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drawings/drawing2.xml" ContentType="application/vnd.openxmlformats-officedocument.drawing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drawings/drawing4.xml" ContentType="application/vnd.openxmlformats-officedocument.drawing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drawings/drawing5.xml" ContentType="application/vnd.openxmlformats-officedocument.drawing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gm12\Dropbox\REFdata\20180215 Files added by Mustafa\Commodity Tables\Updated\"/>
    </mc:Choice>
  </mc:AlternateContent>
  <bookViews>
    <workbookView xWindow="600" yWindow="456" windowWidth="19680" windowHeight="8088" tabRatio="795"/>
  </bookViews>
  <sheets>
    <sheet name="Intro" sheetId="13" r:id="rId1"/>
    <sheet name="Tea (All)" sheetId="1" r:id="rId2"/>
    <sheet name="Graphs (All)" sheetId="2" r:id="rId3"/>
    <sheet name="Collective Graph (All)" sheetId="3" r:id="rId4"/>
    <sheet name="Tea (Adjusted)" sheetId="30" r:id="rId5"/>
    <sheet name="Graph - 1" sheetId="17" r:id="rId6"/>
    <sheet name="Graph - 2" sheetId="18" r:id="rId7"/>
    <sheet name="Graph - 3" sheetId="19" r:id="rId8"/>
  </sheets>
  <calcPr calcId="152511"/>
</workbook>
</file>

<file path=xl/calcChain.xml><?xml version="1.0" encoding="utf-8"?>
<calcChain xmlns="http://schemas.openxmlformats.org/spreadsheetml/2006/main">
  <c r="AN6" i="30" l="1"/>
  <c r="AM6" i="30"/>
  <c r="AL6" i="30"/>
  <c r="M28" i="1"/>
  <c r="P79" i="30" l="1"/>
  <c r="K77" i="30"/>
  <c r="AF80" i="30"/>
  <c r="AE80" i="30"/>
  <c r="AH79" i="30"/>
  <c r="AF79" i="30"/>
  <c r="AE79" i="30"/>
  <c r="AD79" i="30"/>
  <c r="W79" i="30"/>
  <c r="T79" i="30"/>
  <c r="S79" i="30"/>
  <c r="R79" i="30"/>
  <c r="D79" i="30"/>
  <c r="C79" i="30"/>
  <c r="AH78" i="30"/>
  <c r="AG78" i="30"/>
  <c r="AF78" i="30"/>
  <c r="AE78" i="30"/>
  <c r="AD78" i="30"/>
  <c r="T78" i="30"/>
  <c r="S78" i="30"/>
  <c r="R78" i="30"/>
  <c r="P78" i="30"/>
  <c r="C78" i="30"/>
  <c r="AH77" i="30"/>
  <c r="AF77" i="30"/>
  <c r="AE77" i="30"/>
  <c r="AC77" i="30"/>
  <c r="AB77" i="30"/>
  <c r="AA77" i="30"/>
  <c r="Z77" i="30"/>
  <c r="T77" i="30"/>
  <c r="S77" i="30"/>
  <c r="R77" i="30"/>
  <c r="P77" i="30"/>
  <c r="E77" i="30"/>
  <c r="C77" i="30"/>
  <c r="AH76" i="30"/>
  <c r="AF76" i="30"/>
  <c r="AE76" i="30"/>
  <c r="AC76" i="30"/>
  <c r="AB76" i="30"/>
  <c r="AA76" i="30"/>
  <c r="Z76" i="30"/>
  <c r="T76" i="30"/>
  <c r="S76" i="30"/>
  <c r="R76" i="30"/>
  <c r="N76" i="30"/>
  <c r="M76" i="30"/>
  <c r="E76" i="30"/>
  <c r="C76" i="30"/>
  <c r="AI75" i="30"/>
  <c r="AH75" i="30"/>
  <c r="AF75" i="30"/>
  <c r="AE75" i="30"/>
  <c r="AC75" i="30"/>
  <c r="AB75" i="30"/>
  <c r="AA75" i="30"/>
  <c r="Z75" i="30"/>
  <c r="V75" i="30"/>
  <c r="T75" i="30"/>
  <c r="S75" i="30"/>
  <c r="R75" i="30"/>
  <c r="N75" i="30"/>
  <c r="M75" i="30"/>
  <c r="C75" i="30"/>
  <c r="AI74" i="30"/>
  <c r="AH74" i="30"/>
  <c r="AF74" i="30"/>
  <c r="AE74" i="30"/>
  <c r="AA74" i="30"/>
  <c r="V74" i="30"/>
  <c r="T74" i="30"/>
  <c r="S74" i="30"/>
  <c r="R74" i="30"/>
  <c r="N74" i="30"/>
  <c r="M74" i="30"/>
  <c r="C74" i="30"/>
  <c r="AI73" i="30"/>
  <c r="AH73" i="30"/>
  <c r="AF73" i="30"/>
  <c r="AE73" i="30"/>
  <c r="AA73" i="30"/>
  <c r="Z73" i="30"/>
  <c r="V73" i="30"/>
  <c r="S73" i="30"/>
  <c r="R73" i="30"/>
  <c r="P73" i="30"/>
  <c r="N73" i="30"/>
  <c r="M73" i="30"/>
  <c r="C73" i="30"/>
  <c r="AI72" i="30"/>
  <c r="AF72" i="30"/>
  <c r="AE72" i="30"/>
  <c r="V72" i="30"/>
  <c r="T72" i="30"/>
  <c r="S72" i="30"/>
  <c r="R72" i="30"/>
  <c r="P72" i="30"/>
  <c r="N72" i="30"/>
  <c r="M72" i="30"/>
  <c r="G72" i="30"/>
  <c r="C72" i="30"/>
  <c r="AI71" i="30"/>
  <c r="AF71" i="30"/>
  <c r="AE71" i="30"/>
  <c r="U71" i="30"/>
  <c r="T71" i="30"/>
  <c r="S71" i="30"/>
  <c r="R71" i="30"/>
  <c r="N71" i="30"/>
  <c r="M71" i="30"/>
  <c r="I71" i="30"/>
  <c r="C71" i="30"/>
  <c r="AI70" i="30"/>
  <c r="AF70" i="30"/>
  <c r="AE70" i="30"/>
  <c r="T70" i="30"/>
  <c r="S70" i="30"/>
  <c r="R70" i="30"/>
  <c r="N70" i="30"/>
  <c r="M70" i="30"/>
  <c r="I70" i="30"/>
  <c r="C70" i="30"/>
  <c r="AI69" i="30"/>
  <c r="AH69" i="30"/>
  <c r="X69" i="30"/>
  <c r="U69" i="30"/>
  <c r="T69" i="30"/>
  <c r="S69" i="30"/>
  <c r="R69" i="30"/>
  <c r="N69" i="30"/>
  <c r="M69" i="30"/>
  <c r="I69" i="30"/>
  <c r="C69" i="30"/>
  <c r="AK68" i="30"/>
  <c r="AJ68" i="30"/>
  <c r="AI68" i="30"/>
  <c r="AH68" i="30"/>
  <c r="T68" i="30"/>
  <c r="N68" i="30"/>
  <c r="M68" i="30"/>
  <c r="C68" i="30"/>
  <c r="AK67" i="30"/>
  <c r="AJ67" i="30"/>
  <c r="AI67" i="30"/>
  <c r="AH67" i="30"/>
  <c r="T67" i="30"/>
  <c r="N67" i="30"/>
  <c r="M67" i="30"/>
  <c r="C67" i="30"/>
  <c r="AK66" i="30"/>
  <c r="AJ66" i="30"/>
  <c r="AI66" i="30"/>
  <c r="AH66" i="30"/>
  <c r="N66" i="30"/>
  <c r="M66" i="30"/>
  <c r="C66" i="30"/>
  <c r="AK65" i="30"/>
  <c r="AJ65" i="30"/>
  <c r="AI65" i="30"/>
  <c r="AH65" i="30"/>
  <c r="Q65" i="30"/>
  <c r="N65" i="30"/>
  <c r="M65" i="30"/>
  <c r="C65" i="30"/>
  <c r="AK64" i="30"/>
  <c r="AJ64" i="30"/>
  <c r="AI64" i="30"/>
  <c r="AH64" i="30"/>
  <c r="Y64" i="30"/>
  <c r="N64" i="30"/>
  <c r="M64" i="30"/>
  <c r="F64" i="30"/>
  <c r="C64" i="30"/>
  <c r="AK63" i="30"/>
  <c r="AJ63" i="30"/>
  <c r="AI63" i="30"/>
  <c r="AH63" i="30"/>
  <c r="Q63" i="30"/>
  <c r="N63" i="30"/>
  <c r="M63" i="30"/>
  <c r="F63" i="30"/>
  <c r="AK62" i="30"/>
  <c r="AJ62" i="30"/>
  <c r="AI62" i="30"/>
  <c r="AH62" i="30"/>
  <c r="Q62" i="30"/>
  <c r="N62" i="30"/>
  <c r="M62" i="30"/>
  <c r="F62" i="30"/>
  <c r="AK61" i="30"/>
  <c r="AJ61" i="30"/>
  <c r="AI61" i="30"/>
  <c r="AG61" i="30"/>
  <c r="V61" i="30"/>
  <c r="N61" i="30"/>
  <c r="M61" i="30"/>
  <c r="F61" i="30"/>
  <c r="AK60" i="30"/>
  <c r="AJ60" i="30"/>
  <c r="AI60" i="30"/>
  <c r="AG60" i="30"/>
  <c r="Y60" i="30"/>
  <c r="X60" i="30"/>
  <c r="Q60" i="30"/>
  <c r="N60" i="30"/>
  <c r="M60" i="30"/>
  <c r="F60" i="30"/>
  <c r="AK59" i="30"/>
  <c r="AJ59" i="30"/>
  <c r="AI59" i="30"/>
  <c r="AH59" i="30"/>
  <c r="AG59" i="30"/>
  <c r="Y59" i="30"/>
  <c r="Q59" i="30"/>
  <c r="N59" i="30"/>
  <c r="M59" i="30"/>
  <c r="F59" i="30"/>
  <c r="C59" i="30"/>
  <c r="AK58" i="30"/>
  <c r="AJ58" i="30"/>
  <c r="AI58" i="30"/>
  <c r="AH58" i="30"/>
  <c r="AG58" i="30"/>
  <c r="N58" i="30"/>
  <c r="M58" i="30"/>
  <c r="C58" i="30"/>
  <c r="AK57" i="30"/>
  <c r="AJ57" i="30"/>
  <c r="AI57" i="30"/>
  <c r="AH57" i="30"/>
  <c r="AG57" i="30"/>
  <c r="N57" i="30"/>
  <c r="M57" i="30"/>
  <c r="C57" i="30"/>
  <c r="AK56" i="30"/>
  <c r="AJ56" i="30"/>
  <c r="AI56" i="30"/>
  <c r="AG56" i="30"/>
  <c r="N56" i="30"/>
  <c r="M56" i="30"/>
  <c r="J56" i="30"/>
  <c r="C56" i="30"/>
  <c r="AK55" i="30"/>
  <c r="AJ55" i="30"/>
  <c r="AI55" i="30"/>
  <c r="AG55" i="30"/>
  <c r="N55" i="30"/>
  <c r="M55" i="30"/>
  <c r="C55" i="30"/>
  <c r="AK54" i="30"/>
  <c r="AJ54" i="30"/>
  <c r="AI54" i="30"/>
  <c r="AG54" i="30"/>
  <c r="N54" i="30"/>
  <c r="M54" i="30"/>
  <c r="C54" i="30"/>
  <c r="AG53" i="30"/>
  <c r="N53" i="30"/>
  <c r="M53" i="30"/>
  <c r="AG52" i="30"/>
  <c r="N52" i="30"/>
  <c r="M52" i="30"/>
  <c r="AG51" i="30"/>
  <c r="N51" i="30"/>
  <c r="M51" i="30"/>
  <c r="N50" i="30"/>
  <c r="M50" i="30"/>
  <c r="J50" i="30"/>
  <c r="N49" i="30"/>
  <c r="M49" i="30"/>
  <c r="J49" i="30"/>
  <c r="N48" i="30"/>
  <c r="M48" i="30"/>
  <c r="J48" i="30"/>
  <c r="N47" i="30"/>
  <c r="M47" i="30"/>
  <c r="AG46" i="30"/>
  <c r="N46" i="30"/>
  <c r="M46" i="30"/>
  <c r="AG45" i="30"/>
  <c r="AA45" i="30"/>
  <c r="N45" i="30"/>
  <c r="M45" i="30"/>
  <c r="D45" i="30"/>
  <c r="C45" i="30"/>
  <c r="AG44" i="30"/>
  <c r="N44" i="30"/>
  <c r="M44" i="30"/>
  <c r="C44" i="30"/>
  <c r="AG43" i="30"/>
  <c r="O43" i="30"/>
  <c r="AG42" i="30"/>
  <c r="X42" i="30"/>
  <c r="O42" i="30"/>
  <c r="N42" i="30"/>
  <c r="M42" i="30"/>
  <c r="C42" i="30"/>
  <c r="Y41" i="30"/>
  <c r="X41" i="30"/>
  <c r="O41" i="30"/>
  <c r="N41" i="30"/>
  <c r="M41" i="30"/>
  <c r="C41" i="30"/>
  <c r="X40" i="30"/>
  <c r="N40" i="30"/>
  <c r="M40" i="30"/>
  <c r="O39" i="30"/>
  <c r="N39" i="30"/>
  <c r="M39" i="30"/>
  <c r="O38" i="30"/>
  <c r="N38" i="30"/>
  <c r="M38" i="30"/>
  <c r="N37" i="30"/>
  <c r="M37" i="30"/>
  <c r="C37" i="30"/>
  <c r="O36" i="30"/>
  <c r="N36" i="30"/>
  <c r="M36" i="30"/>
  <c r="C36" i="30"/>
  <c r="O35" i="30"/>
  <c r="C34" i="30"/>
  <c r="O33" i="30"/>
  <c r="O32" i="30"/>
  <c r="O31" i="30"/>
  <c r="C31" i="30"/>
  <c r="H25" i="30"/>
  <c r="A8" i="30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K6" i="30"/>
  <c r="AJ6" i="30"/>
  <c r="AI6" i="30"/>
  <c r="AH6" i="30"/>
  <c r="AG6" i="30"/>
  <c r="AF6" i="30"/>
  <c r="AE6" i="30"/>
  <c r="AD6" i="30"/>
  <c r="AC6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6" i="30"/>
  <c r="G6" i="30"/>
  <c r="F6" i="30"/>
  <c r="E6" i="30"/>
  <c r="D6" i="30"/>
  <c r="C6" i="30"/>
  <c r="CN78" i="1"/>
  <c r="CN61" i="1"/>
  <c r="CN60" i="1"/>
  <c r="CN59" i="1"/>
  <c r="CN58" i="1"/>
  <c r="CN57" i="1"/>
  <c r="CN56" i="1"/>
  <c r="CN55" i="1"/>
  <c r="CN54" i="1"/>
  <c r="CN53" i="1"/>
  <c r="CN52" i="1"/>
  <c r="CN51" i="1"/>
  <c r="CN46" i="1"/>
  <c r="CN45" i="1"/>
  <c r="CN44" i="1"/>
  <c r="CN43" i="1"/>
  <c r="CN42" i="1"/>
  <c r="BM75" i="1" l="1"/>
  <c r="BM74" i="1"/>
  <c r="BM73" i="1"/>
  <c r="BM72" i="1"/>
  <c r="BM61" i="1"/>
  <c r="W50" i="1" l="1"/>
  <c r="W49" i="1"/>
  <c r="W48" i="1"/>
  <c r="CQ58" i="1" l="1"/>
  <c r="CQ57" i="1"/>
  <c r="CQ79" i="1" l="1"/>
  <c r="CQ78" i="1"/>
  <c r="CQ77" i="1"/>
  <c r="CQ76" i="1"/>
  <c r="CQ75" i="1"/>
  <c r="CQ74" i="1"/>
  <c r="CQ73" i="1"/>
  <c r="CQ69" i="1"/>
  <c r="CQ68" i="1"/>
  <c r="CQ67" i="1"/>
  <c r="CQ66" i="1"/>
  <c r="CQ65" i="1"/>
  <c r="CQ64" i="1"/>
  <c r="CQ63" i="1"/>
  <c r="CQ62" i="1"/>
  <c r="CQ59" i="1"/>
  <c r="AL54" i="1" l="1"/>
  <c r="AL52" i="1"/>
  <c r="H64" i="1" l="1"/>
  <c r="H63" i="1"/>
  <c r="H62" i="1"/>
  <c r="H61" i="1"/>
  <c r="H60" i="1"/>
  <c r="H59" i="1"/>
  <c r="J72" i="1"/>
  <c r="G77" i="1" l="1"/>
  <c r="G76" i="1"/>
  <c r="F79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59" i="1"/>
  <c r="E58" i="1"/>
  <c r="E57" i="1"/>
  <c r="E56" i="1"/>
  <c r="E55" i="1"/>
  <c r="E54" i="1"/>
  <c r="F45" i="1"/>
  <c r="E45" i="1"/>
  <c r="E44" i="1"/>
  <c r="E42" i="1"/>
  <c r="E41" i="1"/>
  <c r="E37" i="1"/>
  <c r="E36" i="1"/>
  <c r="E34" i="1"/>
  <c r="E31" i="1"/>
  <c r="AR76" i="1" l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2" i="1"/>
  <c r="AR41" i="1"/>
  <c r="AR40" i="1"/>
  <c r="AR39" i="1"/>
  <c r="AR38" i="1"/>
  <c r="AR37" i="1"/>
  <c r="AR36" i="1"/>
  <c r="AO36" i="1"/>
  <c r="AO76" i="1" l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2" i="1"/>
  <c r="AO41" i="1"/>
  <c r="AO40" i="1"/>
  <c r="AO39" i="1"/>
  <c r="AO38" i="1"/>
  <c r="AO37" i="1"/>
  <c r="S25" i="1" l="1"/>
  <c r="CU68" i="1" l="1"/>
  <c r="CU67" i="1"/>
  <c r="CU66" i="1"/>
  <c r="CU65" i="1"/>
  <c r="CU64" i="1"/>
  <c r="CU63" i="1"/>
  <c r="CU62" i="1"/>
  <c r="CU61" i="1"/>
  <c r="CU60" i="1"/>
  <c r="CU59" i="1"/>
  <c r="CU58" i="1"/>
  <c r="CU57" i="1"/>
  <c r="CU56" i="1"/>
  <c r="CU55" i="1"/>
  <c r="CU54" i="1"/>
  <c r="CT75" i="1"/>
  <c r="CT74" i="1"/>
  <c r="CT73" i="1"/>
  <c r="CT72" i="1"/>
  <c r="CT71" i="1"/>
  <c r="CT70" i="1"/>
  <c r="CT69" i="1"/>
  <c r="CT68" i="1"/>
  <c r="CT67" i="1"/>
  <c r="CT66" i="1"/>
  <c r="CT65" i="1"/>
  <c r="CT64" i="1"/>
  <c r="CT63" i="1"/>
  <c r="CT62" i="1"/>
  <c r="CT61" i="1"/>
  <c r="CT60" i="1"/>
  <c r="CT59" i="1"/>
  <c r="CT58" i="1"/>
  <c r="CT57" i="1"/>
  <c r="CT56" i="1"/>
  <c r="CT55" i="1"/>
  <c r="CT54" i="1"/>
  <c r="AU43" i="1" l="1"/>
  <c r="AU42" i="1"/>
  <c r="AU41" i="1"/>
  <c r="AU39" i="1"/>
  <c r="AU38" i="1"/>
  <c r="AU36" i="1"/>
  <c r="AU35" i="1"/>
  <c r="AU33" i="1"/>
  <c r="AU32" i="1"/>
  <c r="AU31" i="1"/>
  <c r="T71" i="1" l="1"/>
  <c r="T70" i="1"/>
  <c r="T69" i="1"/>
  <c r="W56" i="1" l="1"/>
  <c r="CL80" i="1" l="1"/>
  <c r="CL79" i="1"/>
  <c r="CL78" i="1"/>
  <c r="CL77" i="1"/>
  <c r="CL76" i="1"/>
  <c r="CL75" i="1"/>
  <c r="CL74" i="1"/>
  <c r="CL73" i="1"/>
  <c r="CL72" i="1"/>
  <c r="CL71" i="1"/>
  <c r="CL70" i="1"/>
  <c r="CK80" i="1"/>
  <c r="CK79" i="1"/>
  <c r="CK78" i="1"/>
  <c r="CK77" i="1"/>
  <c r="CK76" i="1"/>
  <c r="CK75" i="1"/>
  <c r="CK74" i="1"/>
  <c r="CK73" i="1"/>
  <c r="CK72" i="1"/>
  <c r="CK71" i="1"/>
  <c r="CK70" i="1"/>
  <c r="BG70" i="1" l="1"/>
  <c r="BH79" i="1" l="1"/>
  <c r="BH78" i="1"/>
  <c r="BH77" i="1"/>
  <c r="BH76" i="1"/>
  <c r="BH75" i="1"/>
  <c r="BH74" i="1"/>
  <c r="BH73" i="1"/>
  <c r="BH72" i="1"/>
  <c r="BH71" i="1"/>
  <c r="BH70" i="1"/>
  <c r="BH69" i="1"/>
  <c r="BG69" i="1"/>
  <c r="BG79" i="1"/>
  <c r="BG78" i="1"/>
  <c r="BG77" i="1"/>
  <c r="BG76" i="1"/>
  <c r="BG75" i="1"/>
  <c r="BG74" i="1"/>
  <c r="BG73" i="1"/>
  <c r="BG72" i="1"/>
  <c r="BG71" i="1"/>
  <c r="BJ69" i="1"/>
  <c r="BJ70" i="1"/>
  <c r="BJ71" i="1"/>
  <c r="BJ72" i="1"/>
  <c r="BJ74" i="1"/>
  <c r="BJ75" i="1"/>
  <c r="BJ76" i="1"/>
  <c r="BJ77" i="1"/>
  <c r="BJ78" i="1"/>
  <c r="BJ79" i="1"/>
  <c r="CW68" i="1" l="1"/>
  <c r="CW67" i="1"/>
  <c r="CW66" i="1"/>
  <c r="CW65" i="1"/>
  <c r="CW64" i="1"/>
  <c r="CW63" i="1"/>
  <c r="CW62" i="1"/>
  <c r="CW61" i="1"/>
  <c r="CW60" i="1"/>
  <c r="CW59" i="1"/>
  <c r="CW58" i="1"/>
  <c r="CW57" i="1"/>
  <c r="CW56" i="1"/>
  <c r="CW55" i="1"/>
  <c r="CW54" i="1"/>
  <c r="BL71" i="1" l="1"/>
  <c r="BL69" i="1"/>
  <c r="BJ68" i="1"/>
  <c r="BJ67" i="1"/>
  <c r="BP79" i="1" l="1"/>
  <c r="CH79" i="1" l="1"/>
  <c r="CH78" i="1"/>
  <c r="BD79" i="1" l="1"/>
  <c r="BD73" i="1"/>
  <c r="BD72" i="1"/>
  <c r="BA79" i="1"/>
  <c r="BA78" i="1"/>
  <c r="BA77" i="1"/>
  <c r="BU64" i="1" l="1"/>
  <c r="BU60" i="1"/>
  <c r="BU59" i="1"/>
  <c r="BU41" i="1"/>
  <c r="BS69" i="1"/>
  <c r="BS60" i="1"/>
  <c r="BS42" i="1"/>
  <c r="BS41" i="1"/>
  <c r="BS40" i="1"/>
  <c r="BV77" i="1" l="1"/>
  <c r="BV76" i="1"/>
  <c r="BV75" i="1"/>
  <c r="BV74" i="1"/>
  <c r="BV73" i="1"/>
  <c r="BC65" i="1" l="1"/>
  <c r="BC63" i="1"/>
  <c r="BC62" i="1"/>
  <c r="BC60" i="1"/>
  <c r="BC59" i="1"/>
  <c r="BY77" i="1" l="1"/>
  <c r="BY76" i="1"/>
  <c r="BY75" i="1"/>
  <c r="BY73" i="1"/>
  <c r="CB77" i="1" l="1"/>
  <c r="CB76" i="1"/>
  <c r="CB75" i="1"/>
  <c r="CB74" i="1"/>
  <c r="CB73" i="1"/>
  <c r="CB45" i="1"/>
  <c r="CF77" i="1" l="1"/>
  <c r="CF76" i="1"/>
  <c r="CE76" i="1"/>
  <c r="CF75" i="1"/>
  <c r="CE75" i="1"/>
  <c r="CE77" i="1"/>
  <c r="AF6" i="1" l="1"/>
  <c r="AG6" i="1"/>
  <c r="AH6" i="1"/>
  <c r="C6" i="1" l="1"/>
  <c r="D6" i="1"/>
  <c r="N6" i="1"/>
  <c r="O6" i="1"/>
  <c r="P6" i="1"/>
  <c r="CZ6" i="1"/>
  <c r="DA6" i="1"/>
  <c r="DB6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M6" i="1"/>
  <c r="L6" i="1"/>
  <c r="K6" i="1"/>
  <c r="J6" i="1"/>
  <c r="I6" i="1"/>
  <c r="H6" i="1"/>
  <c r="G6" i="1"/>
  <c r="F6" i="1"/>
  <c r="E6" i="1"/>
</calcChain>
</file>

<file path=xl/comments1.xml><?xml version="1.0" encoding="utf-8"?>
<comments xmlns="http://schemas.openxmlformats.org/spreadsheetml/2006/main">
  <authors>
    <author>Rai Ghulam Mustafa</author>
  </authors>
  <commentList>
    <comment ref="CN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Quantity of imports across the years remained minimal.</t>
        </r>
      </text>
    </comment>
    <comment ref="W4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15 sterling/chest.</t>
        </r>
      </text>
    </comment>
    <comment ref="W4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0.768817204301075 sterling/box.</t>
        </r>
      </text>
    </comment>
    <comment ref="CN5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0.228383942624296 sterling/bundle.</t>
        </r>
      </text>
    </comment>
    <comment ref="BC5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tea, black and tea, white.</t>
        </r>
      </text>
    </comment>
    <comment ref="BC6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tea, black and tea, white.</t>
        </r>
      </text>
    </comment>
    <comment ref="BC6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tea, black and tea, white.</t>
        </r>
      </text>
    </comment>
    <comment ref="BC6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tea, black and tea, white.</t>
        </r>
      </text>
    </comment>
    <comment ref="BC6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tea, black and tea, white.</t>
        </r>
      </text>
    </comment>
    <comment ref="BD7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Tea (China), Tea, Java and Tea, India</t>
        </r>
      </text>
    </comment>
    <comment ref="BD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Tea (China), Tea, Java and Tea, India</t>
        </r>
      </text>
    </comment>
    <comment ref="BM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Tey, Ceylon and Tea, Java.</t>
        </r>
      </text>
    </comment>
    <comment ref="AJ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Coffee, cocoa, tea and spices</t>
        </r>
      </text>
    </comment>
    <comment ref="BM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Tey, Ceylon and Tea, Java.</t>
        </r>
      </text>
    </comment>
    <comment ref="BM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Tey, Ceylon and Tea, Java.</t>
        </r>
      </text>
    </comment>
    <comment ref="CH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Tea, black and Tea, white.</t>
        </r>
      </text>
    </comment>
    <comment ref="BD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Tea (China), Tea, Java and Tea, India</t>
        </r>
      </text>
    </comment>
    <comment ref="BM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Tey, Ceylon and Tea, Java.</t>
        </r>
      </text>
    </comment>
    <comment ref="CH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Tea, black.</t>
        </r>
      </text>
    </comment>
  </commentList>
</comments>
</file>

<file path=xl/comments2.xml><?xml version="1.0" encoding="utf-8"?>
<comments xmlns="http://schemas.openxmlformats.org/spreadsheetml/2006/main">
  <authors>
    <author>Rai Ghulam Mustafa</author>
  </authors>
  <commentList>
    <comment ref="AG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Quantity of imports across the years remained minimal.</t>
        </r>
      </text>
    </comment>
    <comment ref="J4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15 sterling/chest.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0.768817204301075 sterling/box.</t>
        </r>
      </text>
    </comment>
    <comment ref="AG5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0.228383942624296 sterling/bundle.</t>
        </r>
      </text>
    </comment>
    <comment ref="K5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Constantinople.</t>
        </r>
      </text>
    </comment>
    <comment ref="K5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Constantinople.</t>
        </r>
      </text>
    </comment>
    <comment ref="Q5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tea, black and tea, white.</t>
        </r>
      </text>
    </comment>
    <comment ref="Q6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tea, black and tea, white.</t>
        </r>
      </text>
    </comment>
    <comment ref="Q6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tea, black and tea, white.</t>
        </r>
      </text>
    </comment>
    <comment ref="Q6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tea, black and tea, white.</t>
        </r>
      </text>
    </comment>
    <comment ref="Q6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tea, black and tea, white.</t>
        </r>
      </text>
    </comment>
    <comment ref="P72" authorId="0" shapeId="0">
      <text>
        <r>
          <rPr>
            <b/>
            <sz val="9"/>
            <color indexed="81"/>
            <rFont val="Tahoma"/>
            <family val="2"/>
          </rPr>
          <t xml:space="preserve">Rai Ghulam Mustafa:
</t>
        </r>
        <r>
          <rPr>
            <sz val="9"/>
            <color indexed="81"/>
            <rFont val="Tahoma"/>
            <family val="2"/>
          </rPr>
          <t>This is price of Yezd.
This is average price of Tea (China), Tea, Java and Tea, India</t>
        </r>
      </text>
    </comment>
    <comment ref="P73" authorId="0" shapeId="0">
      <text>
        <r>
          <rPr>
            <b/>
            <sz val="9"/>
            <color indexed="81"/>
            <rFont val="Tahoma"/>
            <family val="2"/>
          </rPr>
          <t xml:space="preserve">Rai Ghulam Mustafa:
</t>
        </r>
        <r>
          <rPr>
            <sz val="9"/>
            <color indexed="81"/>
            <rFont val="Tahoma"/>
            <family val="2"/>
          </rPr>
          <t>This is price of Yezd.
This is average price of Tea (China), Tea, Java and Tea, India</t>
        </r>
      </text>
    </comment>
    <comment ref="X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Mazandaran.</t>
        </r>
      </text>
    </comment>
    <comment ref="K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Constantinople.</t>
        </r>
      </text>
    </comment>
    <comment ref="X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Mazandaran.</t>
        </r>
      </text>
    </comment>
    <comment ref="X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Mazandaran.</t>
        </r>
      </text>
    </comment>
    <comment ref="V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Tey, Ceylon and Tea, Java.</t>
        </r>
      </text>
    </comment>
    <comment ref="X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Mazandaran.</t>
        </r>
      </text>
    </comment>
    <comment ref="K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Turkey and Constantinople.</t>
        </r>
      </text>
    </comment>
    <comment ref="L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Coffee, cocoa, tea and spices</t>
        </r>
      </text>
    </comment>
    <comment ref="V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Tey, Ceylon and Tea, Java.</t>
        </r>
      </text>
    </comment>
    <comment ref="X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Mazandaran.</t>
        </r>
      </text>
    </comment>
    <comment ref="V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Tey, Ceylon and Tea, Java.</t>
        </r>
      </text>
    </comment>
    <comment ref="AD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Tea, black and Tea, white.</t>
        </r>
      </text>
    </comment>
    <comment ref="P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avereage price of Ispahan and Yezd.</t>
        </r>
      </text>
    </comment>
    <comment ref="V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Tey, Ceylon and Tea, Java.</t>
        </r>
      </text>
    </comment>
    <comment ref="AD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Tea, black.</t>
        </r>
      </text>
    </comment>
  </commentList>
</comments>
</file>

<file path=xl/sharedStrings.xml><?xml version="1.0" encoding="utf-8"?>
<sst xmlns="http://schemas.openxmlformats.org/spreadsheetml/2006/main" count="584" uniqueCount="56">
  <si>
    <t>Baghdad</t>
  </si>
  <si>
    <t>UK</t>
  </si>
  <si>
    <t>Damascus</t>
  </si>
  <si>
    <t>Izmir</t>
  </si>
  <si>
    <t>Beirut</t>
  </si>
  <si>
    <t>Bahrain</t>
  </si>
  <si>
    <t>Bam</t>
  </si>
  <si>
    <t>Exports</t>
  </si>
  <si>
    <t>Imports</t>
  </si>
  <si>
    <t>Alexandretta</t>
  </si>
  <si>
    <t>Bazaar (Local)</t>
  </si>
  <si>
    <t>Turkey</t>
  </si>
  <si>
    <t>Constantinople</t>
  </si>
  <si>
    <t>Mohammerah</t>
  </si>
  <si>
    <t>Lingah</t>
  </si>
  <si>
    <t>Khorasan</t>
  </si>
  <si>
    <t>Kermanshah</t>
  </si>
  <si>
    <t>Kerman</t>
  </si>
  <si>
    <t>Sultanabad</t>
  </si>
  <si>
    <t>Resht</t>
  </si>
  <si>
    <t>Ispahan</t>
  </si>
  <si>
    <t>Ghilan &amp; Tunekabun</t>
  </si>
  <si>
    <t>Bender Gez &amp; Astarabad</t>
  </si>
  <si>
    <t>Astara</t>
  </si>
  <si>
    <t>Basrah</t>
  </si>
  <si>
    <t>Mosul</t>
  </si>
  <si>
    <t>Palestine</t>
  </si>
  <si>
    <t>Muscat</t>
  </si>
  <si>
    <t>Trebizond (Anatolia)</t>
  </si>
  <si>
    <t>City/Region</t>
  </si>
  <si>
    <t>Category</t>
  </si>
  <si>
    <t>Product</t>
  </si>
  <si>
    <t>Unit (Price)</t>
  </si>
  <si>
    <t>Year</t>
  </si>
  <si>
    <t>Yezd</t>
  </si>
  <si>
    <t>Mazandaran</t>
  </si>
  <si>
    <t>Shiraz</t>
  </si>
  <si>
    <t>Trebizond (Persia)</t>
  </si>
  <si>
    <t>Middle East imports and exports, 1824-1913</t>
  </si>
  <si>
    <t>Values are in pounds sterling.</t>
  </si>
  <si>
    <t>This spreadsheet was put together by Robert Allen in October 2018.</t>
  </si>
  <si>
    <t>Egypt</t>
  </si>
  <si>
    <t>Istanbul (Malatya)</t>
  </si>
  <si>
    <t>Istanbul (Geyve)</t>
  </si>
  <si>
    <t>Istanbul (Nallrihan)</t>
  </si>
  <si>
    <t>trade and were published in the British House of Commons papers in the diplomatic &amp; consular reports on trade and finance as well as in the administration reports on the Persian Gulf Political Residency.</t>
  </si>
  <si>
    <t>There are important issues regarding the accuracy of the returns in view of their provenance and the incentives to underreport values and evade taxation.</t>
  </si>
  <si>
    <t>pound/ton</t>
  </si>
  <si>
    <t>Adana</t>
  </si>
  <si>
    <t>Turkey &amp; Constantinople</t>
  </si>
  <si>
    <t>Tea</t>
  </si>
  <si>
    <t>Ispahan &amp; Yezd</t>
  </si>
  <si>
    <t>Resht &amp; Mazandaran</t>
  </si>
  <si>
    <r>
      <t xml:space="preserve">The spreadsheet shows the Prices of </t>
    </r>
    <r>
      <rPr>
        <b/>
        <i/>
        <sz val="10"/>
        <rFont val="Arial"/>
        <family val="2"/>
      </rPr>
      <t>Imports</t>
    </r>
    <r>
      <rPr>
        <sz val="10"/>
        <rFont val="Arial"/>
        <family val="2"/>
      </rPr>
      <t xml:space="preserve"> and</t>
    </r>
    <r>
      <rPr>
        <b/>
        <i/>
        <sz val="10"/>
        <rFont val="Arial"/>
        <family val="2"/>
      </rPr>
      <t xml:space="preserve"> Exports </t>
    </r>
    <r>
      <rPr>
        <sz val="10"/>
        <rFont val="Arial"/>
        <family val="2"/>
      </rPr>
      <t xml:space="preserve">of </t>
    </r>
    <r>
      <rPr>
        <b/>
        <i/>
        <sz val="10"/>
        <rFont val="Arial"/>
        <family val="2"/>
      </rPr>
      <t>Tea</t>
    </r>
    <r>
      <rPr>
        <sz val="10"/>
        <rFont val="Arial"/>
        <family val="2"/>
      </rPr>
      <t xml:space="preserve"> in leading cities in the </t>
    </r>
    <r>
      <rPr>
        <b/>
        <i/>
        <sz val="10"/>
        <rFont val="Arial"/>
        <family val="2"/>
      </rPr>
      <t xml:space="preserve">Middle East </t>
    </r>
    <r>
      <rPr>
        <sz val="10"/>
        <rFont val="Arial"/>
        <family val="2"/>
      </rPr>
      <t>&amp;</t>
    </r>
    <r>
      <rPr>
        <b/>
        <i/>
        <sz val="10"/>
        <rFont val="Arial"/>
        <family val="2"/>
      </rPr>
      <t xml:space="preserve"> India</t>
    </r>
    <r>
      <rPr>
        <sz val="10"/>
        <rFont val="Arial"/>
        <family val="2"/>
      </rPr>
      <t xml:space="preserve">. The data were compiled by British consuls usually from figures collected by Ottoman customs houses that taxed </t>
    </r>
  </si>
  <si>
    <t>India</t>
  </si>
  <si>
    <t>Wholesale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</si>
</sst>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&quot;?&quot;;\-#,##0&quot;?&quot;"/>
    <numFmt numFmtId="165" formatCode="0.0000"/>
  </numFmts>
  <fonts count="34" x14ac:knownFonts="1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urier"/>
    </font>
    <font>
      <i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34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32"/>
      <name val="Calibri"/>
      <family val="2"/>
    </font>
    <font>
      <b/>
      <sz val="13"/>
      <color indexed="32"/>
      <name val="Calibri"/>
      <family val="2"/>
    </font>
    <font>
      <b/>
      <sz val="11"/>
      <color indexed="32"/>
      <name val="Calibri"/>
      <family val="2"/>
    </font>
    <font>
      <sz val="11"/>
      <color indexed="32"/>
      <name val="Calibri"/>
      <family val="2"/>
    </font>
    <font>
      <sz val="11"/>
      <color indexed="34"/>
      <name val="Calibri"/>
      <family val="2"/>
    </font>
    <font>
      <sz val="11"/>
      <color indexed="37"/>
      <name val="Calibri"/>
      <family val="2"/>
    </font>
    <font>
      <b/>
      <sz val="11"/>
      <color indexed="22"/>
      <name val="Calibri"/>
      <family val="2"/>
    </font>
    <font>
      <b/>
      <sz val="18"/>
      <color indexed="32"/>
      <name val="Cambria"/>
      <family val="1"/>
    </font>
    <font>
      <sz val="11"/>
      <color indexed="10"/>
      <name val="Calibri"/>
      <family val="2"/>
    </font>
    <font>
      <sz val="8"/>
      <color indexed="9"/>
      <name val="Arial"/>
      <family val="2"/>
    </font>
    <font>
      <b/>
      <i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8"/>
      </patternFill>
    </fill>
    <fill>
      <patternFill patternType="solid">
        <fgColor indexed="17"/>
      </patternFill>
    </fill>
    <fill>
      <patternFill patternType="solid">
        <fgColor indexed="8"/>
        <bgColor indexed="8"/>
      </patternFill>
    </fill>
    <fill>
      <patternFill patternType="solid">
        <fgColor indexed="11"/>
        <bgColor indexed="11"/>
      </patternFill>
    </fill>
    <fill>
      <patternFill patternType="solid">
        <fgColor indexed="52"/>
      </patternFill>
    </fill>
    <fill>
      <patternFill patternType="solid">
        <fgColor indexed="17"/>
        <bgColor indexed="17"/>
      </patternFill>
    </fill>
    <fill>
      <patternFill patternType="solid">
        <fgColor indexed="8"/>
      </patternFill>
    </fill>
    <fill>
      <patternFill patternType="solid">
        <fgColor indexed="19"/>
      </patternFill>
    </fill>
    <fill>
      <patternFill patternType="solid">
        <fgColor indexed="32"/>
      </patternFill>
    </fill>
    <fill>
      <patternFill patternType="solid">
        <fgColor indexed="38"/>
      </patternFill>
    </fill>
  </fills>
  <borders count="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double">
        <color indexed="0"/>
      </left>
      <right style="double">
        <color indexed="0"/>
      </right>
      <top style="double">
        <color indexed="0"/>
      </top>
      <bottom style="double">
        <color indexed="0"/>
      </bottom>
      <diagonal/>
    </border>
    <border>
      <left/>
      <right/>
      <top/>
      <bottom style="thick">
        <color indexed="0"/>
      </bottom>
      <diagonal/>
    </border>
    <border>
      <left/>
      <right/>
      <top/>
      <bottom style="thick">
        <color indexed="17"/>
      </bottom>
      <diagonal/>
    </border>
    <border>
      <left/>
      <right/>
      <top/>
      <bottom style="double">
        <color indexed="1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double">
        <color indexed="0"/>
      </bottom>
      <diagonal/>
    </border>
  </borders>
  <cellStyleXfs count="60">
    <xf numFmtId="0" fontId="0" fillId="0" borderId="0">
      <alignment vertical="top"/>
    </xf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9" fillId="0" borderId="0">
      <alignment vertical="top"/>
    </xf>
    <xf numFmtId="0" fontId="9" fillId="0" borderId="0">
      <alignment vertical="top"/>
    </xf>
    <xf numFmtId="0" fontId="5" fillId="0" borderId="1" applyNumberFormat="0" applyFont="0" applyBorder="0" applyAlignment="0" applyProtection="0"/>
    <xf numFmtId="0" fontId="6" fillId="0" borderId="0">
      <alignment vertical="top"/>
    </xf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6" fillId="0" borderId="0">
      <alignment vertical="top"/>
    </xf>
    <xf numFmtId="0" fontId="15" fillId="0" borderId="0">
      <alignment vertical="top"/>
    </xf>
    <xf numFmtId="0" fontId="15" fillId="2" borderId="0" applyNumberFormat="0" applyFont="0" applyFill="0" applyProtection="0"/>
    <xf numFmtId="0" fontId="15" fillId="2" borderId="0" applyNumberFormat="0" applyFont="0" applyFill="0" applyProtection="0"/>
    <xf numFmtId="0" fontId="15" fillId="2" borderId="0" applyNumberFormat="0" applyFont="0" applyFill="0" applyProtection="0"/>
    <xf numFmtId="0" fontId="15" fillId="2" borderId="0" applyNumberFormat="0" applyFont="0" applyFill="0" applyProtection="0"/>
    <xf numFmtId="0" fontId="15" fillId="3" borderId="0" applyNumberFormat="0" applyFont="0" applyFill="0" applyProtection="0"/>
    <xf numFmtId="0" fontId="15" fillId="4" borderId="0" applyNumberFormat="0" applyFont="0" applyFill="0" applyProtection="0"/>
    <xf numFmtId="0" fontId="15" fillId="2" borderId="0" applyNumberFormat="0" applyFont="0" applyFill="0" applyProtection="0"/>
    <xf numFmtId="0" fontId="15" fillId="2" borderId="0" applyNumberFormat="0" applyFont="0" applyFill="0" applyProtection="0"/>
    <xf numFmtId="0" fontId="15" fillId="5" borderId="0" applyNumberFormat="0" applyFont="0" applyFill="0" applyProtection="0"/>
    <xf numFmtId="0" fontId="15" fillId="2" borderId="0" applyNumberFormat="0" applyFont="0" applyFill="0" applyProtection="0"/>
    <xf numFmtId="0" fontId="15" fillId="2" borderId="0" applyNumberFormat="0" applyFont="0" applyFill="0" applyProtection="0"/>
    <xf numFmtId="0" fontId="15" fillId="6" borderId="0" applyNumberFormat="0" applyFont="0" applyFill="0" applyProtection="0"/>
    <xf numFmtId="0" fontId="17" fillId="2" borderId="0" applyNumberFormat="0" applyFont="0" applyFill="0" applyProtection="0"/>
    <xf numFmtId="0" fontId="17" fillId="2" borderId="0" applyNumberFormat="0" applyFont="0" applyFill="0" applyProtection="0"/>
    <xf numFmtId="0" fontId="17" fillId="5" borderId="0" applyNumberFormat="0" applyFont="0" applyFill="0" applyProtection="0"/>
    <xf numFmtId="0" fontId="17" fillId="7" borderId="0" applyNumberFormat="0" applyFont="0" applyFill="0" applyProtection="0"/>
    <xf numFmtId="0" fontId="17" fillId="8" borderId="0" applyNumberFormat="0" applyFont="0" applyFill="0" applyProtection="0"/>
    <xf numFmtId="0" fontId="17" fillId="9" borderId="0" applyNumberFormat="0" applyFont="0" applyFill="0" applyProtection="0"/>
    <xf numFmtId="0" fontId="17" fillId="4" borderId="0" applyNumberFormat="0" applyFont="0" applyFill="0" applyProtection="0"/>
    <xf numFmtId="0" fontId="17" fillId="4" borderId="0" applyNumberFormat="0" applyFont="0" applyFill="0" applyProtection="0"/>
    <xf numFmtId="0" fontId="17" fillId="10" borderId="0" applyNumberFormat="0" applyFont="0" applyFill="0" applyProtection="0"/>
    <xf numFmtId="0" fontId="17" fillId="7" borderId="0" applyNumberFormat="0" applyFont="0" applyFill="0" applyProtection="0"/>
    <xf numFmtId="0" fontId="17" fillId="8" borderId="0" applyNumberFormat="0" applyFont="0" applyFill="0" applyProtection="0"/>
    <xf numFmtId="0" fontId="17" fillId="11" borderId="0" applyNumberFormat="0" applyFont="0" applyFill="0" applyProtection="0"/>
    <xf numFmtId="0" fontId="18" fillId="2" borderId="0" applyNumberFormat="0" applyFont="0" applyFill="0" applyProtection="0"/>
    <xf numFmtId="0" fontId="19" fillId="8" borderId="2" applyNumberFormat="0" applyFont="0" applyProtection="0"/>
    <xf numFmtId="0" fontId="20" fillId="11" borderId="3" applyNumberFormat="0" applyFont="0" applyProtection="0"/>
    <xf numFmtId="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1" fillId="0" borderId="0" applyNumberFormat="0" applyFont="0" applyFill="0" applyAlignment="0" applyProtection="0"/>
    <xf numFmtId="0" fontId="22" fillId="2" borderId="0" applyNumberFormat="0" applyFont="0" applyFill="0" applyProtection="0"/>
    <xf numFmtId="0" fontId="23" fillId="0" borderId="4" applyNumberFormat="0" applyFont="0" applyAlignment="0" applyProtection="0"/>
    <xf numFmtId="0" fontId="24" fillId="0" borderId="4" applyNumberFormat="0" applyFont="0" applyAlignment="0" applyProtection="0"/>
    <xf numFmtId="0" fontId="25" fillId="0" borderId="5" applyNumberFormat="0" applyFont="0" applyAlignment="0" applyProtection="0"/>
    <xf numFmtId="0" fontId="25" fillId="0" borderId="0" applyNumberFormat="0" applyFont="0" applyFill="0" applyAlignment="0" applyProtection="0"/>
    <xf numFmtId="0" fontId="26" fillId="4" borderId="2" applyNumberFormat="0" applyFont="0" applyProtection="0"/>
    <xf numFmtId="0" fontId="27" fillId="0" borderId="6" applyNumberFormat="0" applyFont="0" applyAlignment="0" applyProtection="0"/>
    <xf numFmtId="0" fontId="28" fillId="2" borderId="0" applyNumberFormat="0" applyFont="0" applyFill="0" applyProtection="0"/>
    <xf numFmtId="0" fontId="15" fillId="4" borderId="7" applyNumberFormat="0" applyFont="0" applyBorder="0" applyProtection="0"/>
    <xf numFmtId="0" fontId="29" fillId="8" borderId="7" applyNumberFormat="0" applyFont="0" applyProtection="0"/>
    <xf numFmtId="0" fontId="30" fillId="0" borderId="0" applyNumberFormat="0" applyFont="0" applyFill="0" applyAlignment="0" applyProtection="0"/>
    <xf numFmtId="0" fontId="16" fillId="0" borderId="8" applyNumberFormat="0" applyFont="0" applyAlignment="0" applyProtection="0"/>
    <xf numFmtId="0" fontId="31" fillId="0" borderId="0" applyNumberFormat="0" applyFont="0" applyFill="0" applyAlignment="0" applyProtection="0"/>
  </cellStyleXfs>
  <cellXfs count="18">
    <xf numFmtId="0" fontId="0" fillId="0" borderId="0" xfId="0" applyAlignment="1"/>
    <xf numFmtId="165" fontId="0" fillId="0" borderId="0" xfId="0" applyNumberFormat="1" applyAlignment="1"/>
    <xf numFmtId="0" fontId="0" fillId="0" borderId="0" xfId="0" applyAlignment="1">
      <alignment wrapText="1"/>
    </xf>
    <xf numFmtId="165" fontId="0" fillId="0" borderId="0" xfId="0" applyNumberFormat="1" applyFill="1" applyAlignment="1"/>
    <xf numFmtId="0" fontId="10" fillId="2" borderId="0" xfId="7" applyFont="1" applyFill="1" applyBorder="1" applyAlignment="1">
      <alignment horizontal="left"/>
    </xf>
    <xf numFmtId="0" fontId="10" fillId="2" borderId="0" xfId="7" applyFont="1" applyFill="1" applyBorder="1" applyAlignment="1">
      <alignment horizontal="left" wrapText="1"/>
    </xf>
    <xf numFmtId="0" fontId="11" fillId="2" borderId="0" xfId="7" applyFont="1" applyFill="1" applyBorder="1" applyAlignment="1">
      <alignment horizontal="left"/>
    </xf>
    <xf numFmtId="0" fontId="11" fillId="2" borderId="0" xfId="7" applyFont="1" applyFill="1" applyBorder="1" applyAlignment="1">
      <alignment horizontal="left" wrapText="1"/>
    </xf>
    <xf numFmtId="0" fontId="11" fillId="2" borderId="0" xfId="7" applyFont="1" applyFill="1" applyBorder="1" applyAlignment="1" applyProtection="1">
      <alignment horizontal="right"/>
    </xf>
    <xf numFmtId="0" fontId="0" fillId="0" borderId="0" xfId="0" applyAlignment="1">
      <alignment horizontal="left"/>
    </xf>
    <xf numFmtId="0" fontId="6" fillId="0" borderId="0" xfId="10" applyAlignment="1"/>
    <xf numFmtId="165" fontId="13" fillId="0" borderId="0" xfId="7" applyNumberFormat="1" applyFont="1" applyBorder="1" applyAlignment="1" applyProtection="1">
      <alignment horizontal="center"/>
    </xf>
    <xf numFmtId="0" fontId="12" fillId="0" borderId="0" xfId="0" applyFont="1" applyAlignment="1"/>
    <xf numFmtId="0" fontId="0" fillId="0" borderId="0" xfId="0" applyFill="1" applyAlignment="1"/>
    <xf numFmtId="0" fontId="32" fillId="0" borderId="0" xfId="8" applyFont="1" applyFill="1" applyBorder="1" applyAlignment="1" applyProtection="1">
      <alignment horizontal="right"/>
    </xf>
    <xf numFmtId="165" fontId="6" fillId="0" borderId="0" xfId="0" quotePrefix="1" applyNumberFormat="1" applyFont="1" applyAlignment="1"/>
    <xf numFmtId="165" fontId="13" fillId="0" borderId="0" xfId="8" applyNumberFormat="1" applyFont="1" applyBorder="1" applyAlignment="1" applyProtection="1">
      <alignment horizontal="center"/>
    </xf>
    <xf numFmtId="1" fontId="0" fillId="0" borderId="0" xfId="0" applyNumberFormat="1" applyAlignment="1"/>
  </cellXfs>
  <cellStyles count="60">
    <cellStyle name="20% - Accent1 2" xfId="17"/>
    <cellStyle name="20% - Accent2 2" xfId="18"/>
    <cellStyle name="20% - Accent3 2" xfId="19"/>
    <cellStyle name="20% - Accent4 2" xfId="20"/>
    <cellStyle name="20% - Accent5 2" xfId="21"/>
    <cellStyle name="20% - Accent6 2" xfId="22"/>
    <cellStyle name="40% - Accent1 2" xfId="23"/>
    <cellStyle name="40% - Accent2 2" xfId="24"/>
    <cellStyle name="40% - Accent3 2" xfId="25"/>
    <cellStyle name="40% - Accent4 2" xfId="26"/>
    <cellStyle name="40% - Accent5 2" xfId="27"/>
    <cellStyle name="40% - Accent6 2" xfId="28"/>
    <cellStyle name="60% - Accent1 2" xfId="29"/>
    <cellStyle name="60% - Accent2 2" xfId="30"/>
    <cellStyle name="60% - Accent3 2" xfId="31"/>
    <cellStyle name="60% - Accent4 2" xfId="32"/>
    <cellStyle name="60% - Accent5 2" xfId="33"/>
    <cellStyle name="60% - Accent6 2" xfId="34"/>
    <cellStyle name="Accent1 2" xfId="35"/>
    <cellStyle name="Accent2 2" xfId="36"/>
    <cellStyle name="Accent3 2" xfId="37"/>
    <cellStyle name="Accent4 2" xfId="38"/>
    <cellStyle name="Accent5 2" xfId="39"/>
    <cellStyle name="Accent6 2" xfId="40"/>
    <cellStyle name="Bad 2" xfId="41"/>
    <cellStyle name="Calculation 2" xfId="42"/>
    <cellStyle name="Check Cell 2" xfId="43"/>
    <cellStyle name="Comma 2" xfId="13"/>
    <cellStyle name="Comma0" xfId="1"/>
    <cellStyle name="Comma0 2" xfId="44"/>
    <cellStyle name="Currency0" xfId="2"/>
    <cellStyle name="Currency0 2" xfId="45"/>
    <cellStyle name="Date" xfId="3"/>
    <cellStyle name="Explanatory Text 2" xfId="46"/>
    <cellStyle name="Fixed" xfId="4"/>
    <cellStyle name="Good 2" xfId="47"/>
    <cellStyle name="Heading 1" xfId="5" builtinId="16" customBuiltin="1"/>
    <cellStyle name="Heading 1 2" xfId="48"/>
    <cellStyle name="Heading 2" xfId="6" builtinId="17" customBuiltin="1"/>
    <cellStyle name="Heading 2 2" xfId="49"/>
    <cellStyle name="Heading 3 2" xfId="50"/>
    <cellStyle name="Heading 4 2" xfId="51"/>
    <cellStyle name="Input 2" xfId="52"/>
    <cellStyle name="Linked Cell 2" xfId="53"/>
    <cellStyle name="Neutral 2" xfId="54"/>
    <cellStyle name="Normal" xfId="0" builtinId="0"/>
    <cellStyle name="Normal 2" xfId="10"/>
    <cellStyle name="Normal 2 2" xfId="14"/>
    <cellStyle name="Normal 3" xfId="7"/>
    <cellStyle name="Normal 3 2" xfId="8"/>
    <cellStyle name="Normal 4" xfId="11"/>
    <cellStyle name="Normal 4 2" xfId="15"/>
    <cellStyle name="Normal 5" xfId="12"/>
    <cellStyle name="Normal 6" xfId="16"/>
    <cellStyle name="Note 2" xfId="55"/>
    <cellStyle name="Output 2" xfId="56"/>
    <cellStyle name="Title 2" xfId="57"/>
    <cellStyle name="Total" xfId="9" builtinId="25" customBuiltin="1"/>
    <cellStyle name="Total 2" xfId="58"/>
    <cellStyle name="Warning Text 2" xfId="5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UK,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(All)'!$D$7:$D$107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(All)'!$D$7:$D$107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056688"/>
        <c:axId val="299060608"/>
      </c:scatterChart>
      <c:valAx>
        <c:axId val="2990566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9060608"/>
        <c:crosses val="autoZero"/>
        <c:crossBetween val="midCat"/>
        <c:majorUnit val="5"/>
      </c:valAx>
      <c:valAx>
        <c:axId val="29906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90566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(All)'!$E$7:$E$107</c:f>
              <c:numCache>
                <c:formatCode>0.0000</c:formatCode>
                <c:ptCount val="81"/>
                <c:pt idx="9">
                  <c:v>581.81200588439265</c:v>
                </c:pt>
                <c:pt idx="12">
                  <c:v>613.70349296788004</c:v>
                </c:pt>
                <c:pt idx="14">
                  <c:v>538.66989286160288</c:v>
                </c:pt>
                <c:pt idx="15">
                  <c:v>613.63382196351643</c:v>
                </c:pt>
                <c:pt idx="19">
                  <c:v>329.68438575209535</c:v>
                </c:pt>
                <c:pt idx="20">
                  <c:v>258.42139592287873</c:v>
                </c:pt>
                <c:pt idx="22">
                  <c:v>262.84603481174076</c:v>
                </c:pt>
                <c:pt idx="23">
                  <c:v>270.82240762812927</c:v>
                </c:pt>
                <c:pt idx="32">
                  <c:v>158.12500000000011</c:v>
                </c:pt>
                <c:pt idx="33">
                  <c:v>136.50684931506851</c:v>
                </c:pt>
                <c:pt idx="34">
                  <c:v>108.05687203791469</c:v>
                </c:pt>
                <c:pt idx="35">
                  <c:v>107.95986622073588</c:v>
                </c:pt>
                <c:pt idx="36">
                  <c:v>107.95718939041411</c:v>
                </c:pt>
                <c:pt idx="37">
                  <c:v>99.999999999999915</c:v>
                </c:pt>
                <c:pt idx="42">
                  <c:v>87.843137254901961</c:v>
                </c:pt>
                <c:pt idx="43">
                  <c:v>176.40630022500801</c:v>
                </c:pt>
                <c:pt idx="44">
                  <c:v>197.64705882352951</c:v>
                </c:pt>
                <c:pt idx="45">
                  <c:v>197.64705882352951</c:v>
                </c:pt>
                <c:pt idx="46">
                  <c:v>109.80392156862756</c:v>
                </c:pt>
                <c:pt idx="47">
                  <c:v>54.895151661061377</c:v>
                </c:pt>
                <c:pt idx="48">
                  <c:v>76.871061476850358</c:v>
                </c:pt>
                <c:pt idx="49">
                  <c:v>65.882352941176578</c:v>
                </c:pt>
                <c:pt idx="50">
                  <c:v>65.859102534294266</c:v>
                </c:pt>
                <c:pt idx="51">
                  <c:v>77.95933081277802</c:v>
                </c:pt>
                <c:pt idx="52">
                  <c:v>82.352658511790679</c:v>
                </c:pt>
                <c:pt idx="53">
                  <c:v>118.55906564057047</c:v>
                </c:pt>
                <c:pt idx="54">
                  <c:v>90.921815534724601</c:v>
                </c:pt>
                <c:pt idx="55">
                  <c:v>100.66292446468071</c:v>
                </c:pt>
                <c:pt idx="56">
                  <c:v>99.114247670930467</c:v>
                </c:pt>
                <c:pt idx="57">
                  <c:v>109.75160843716922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(All)'!$E$7:$E$107</c:f>
              <c:numCache>
                <c:formatCode>0.0000</c:formatCode>
                <c:ptCount val="81"/>
                <c:pt idx="9">
                  <c:v>581.81200588439265</c:v>
                </c:pt>
                <c:pt idx="12">
                  <c:v>613.70349296788004</c:v>
                </c:pt>
                <c:pt idx="14">
                  <c:v>538.66989286160288</c:v>
                </c:pt>
                <c:pt idx="15">
                  <c:v>613.63382196351643</c:v>
                </c:pt>
                <c:pt idx="19">
                  <c:v>329.68438575209535</c:v>
                </c:pt>
                <c:pt idx="20">
                  <c:v>258.42139592287873</c:v>
                </c:pt>
                <c:pt idx="22">
                  <c:v>262.84603481174076</c:v>
                </c:pt>
                <c:pt idx="23">
                  <c:v>270.82240762812927</c:v>
                </c:pt>
                <c:pt idx="32">
                  <c:v>158.12500000000011</c:v>
                </c:pt>
                <c:pt idx="33">
                  <c:v>136.50684931506851</c:v>
                </c:pt>
                <c:pt idx="34">
                  <c:v>108.05687203791469</c:v>
                </c:pt>
                <c:pt idx="35">
                  <c:v>107.95986622073588</c:v>
                </c:pt>
                <c:pt idx="36">
                  <c:v>107.95718939041411</c:v>
                </c:pt>
                <c:pt idx="37">
                  <c:v>99.999999999999915</c:v>
                </c:pt>
                <c:pt idx="42">
                  <c:v>87.843137254901961</c:v>
                </c:pt>
                <c:pt idx="43">
                  <c:v>176.40630022500801</c:v>
                </c:pt>
                <c:pt idx="44">
                  <c:v>197.64705882352951</c:v>
                </c:pt>
                <c:pt idx="45">
                  <c:v>197.64705882352951</c:v>
                </c:pt>
                <c:pt idx="46">
                  <c:v>109.80392156862756</c:v>
                </c:pt>
                <c:pt idx="47">
                  <c:v>54.895151661061377</c:v>
                </c:pt>
                <c:pt idx="48">
                  <c:v>76.871061476850358</c:v>
                </c:pt>
                <c:pt idx="49">
                  <c:v>65.882352941176578</c:v>
                </c:pt>
                <c:pt idx="50">
                  <c:v>65.859102534294266</c:v>
                </c:pt>
                <c:pt idx="51">
                  <c:v>77.95933081277802</c:v>
                </c:pt>
                <c:pt idx="52">
                  <c:v>82.352658511790679</c:v>
                </c:pt>
                <c:pt idx="53">
                  <c:v>118.55906564057047</c:v>
                </c:pt>
                <c:pt idx="54">
                  <c:v>90.921815534724601</c:v>
                </c:pt>
                <c:pt idx="55">
                  <c:v>100.66292446468071</c:v>
                </c:pt>
                <c:pt idx="56">
                  <c:v>99.114247670930467</c:v>
                </c:pt>
                <c:pt idx="57">
                  <c:v>109.75160843716922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35968"/>
        <c:axId val="762137088"/>
      </c:scatterChart>
      <c:valAx>
        <c:axId val="7621359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37088"/>
        <c:crosses val="autoZero"/>
        <c:crossBetween val="midCat"/>
        <c:majorUnit val="5"/>
      </c:valAx>
      <c:valAx>
        <c:axId val="76213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359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India,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(All)'!$DA$7:$DA$107</c:f>
              <c:numCache>
                <c:formatCode>General</c:formatCode>
                <c:ptCount val="81"/>
                <c:pt idx="13" formatCode="0.0000">
                  <c:v>209.25228405711681</c:v>
                </c:pt>
                <c:pt idx="14" formatCode="0.0000">
                  <c:v>191.94902394232582</c:v>
                </c:pt>
                <c:pt idx="15" formatCode="0.0000">
                  <c:v>189.77179120437458</c:v>
                </c:pt>
                <c:pt idx="16" formatCode="0.0000">
                  <c:v>162.01798754385783</c:v>
                </c:pt>
                <c:pt idx="17" formatCode="0.0000">
                  <c:v>151.78305149263724</c:v>
                </c:pt>
                <c:pt idx="18" formatCode="0.0000">
                  <c:v>155.91770397913982</c:v>
                </c:pt>
                <c:pt idx="19" formatCode="0.0000">
                  <c:v>186.16218002311228</c:v>
                </c:pt>
                <c:pt idx="20" formatCode="0.0000">
                  <c:v>183.29794202658434</c:v>
                </c:pt>
                <c:pt idx="21" formatCode="0.0000">
                  <c:v>151.14687287327141</c:v>
                </c:pt>
                <c:pt idx="22" formatCode="0.0000">
                  <c:v>162.0054090893166</c:v>
                </c:pt>
                <c:pt idx="23" formatCode="0.0000">
                  <c:v>123.78935063353461</c:v>
                </c:pt>
                <c:pt idx="24" formatCode="0.0000">
                  <c:v>108.41871410423558</c:v>
                </c:pt>
                <c:pt idx="25" formatCode="0.0000">
                  <c:v>112.34387234817174</c:v>
                </c:pt>
                <c:pt idx="26" formatCode="0.0000">
                  <c:v>98.61313855595985</c:v>
                </c:pt>
                <c:pt idx="27" formatCode="0.0000">
                  <c:v>105.81225663355191</c:v>
                </c:pt>
                <c:pt idx="28" formatCode="0.0000">
                  <c:v>90.451055222251398</c:v>
                </c:pt>
                <c:pt idx="29" formatCode="0.0000">
                  <c:v>86.276727918100534</c:v>
                </c:pt>
                <c:pt idx="30" formatCode="0.0000">
                  <c:v>75.858768044236385</c:v>
                </c:pt>
                <c:pt idx="31" formatCode="0.0000">
                  <c:v>79.11830106676021</c:v>
                </c:pt>
                <c:pt idx="32" formatCode="0.0000">
                  <c:v>64.522856189522855</c:v>
                </c:pt>
                <c:pt idx="33" formatCode="0.0000">
                  <c:v>58.81055297721965</c:v>
                </c:pt>
                <c:pt idx="34" formatCode="0.0000">
                  <c:v>52.752411502411505</c:v>
                </c:pt>
                <c:pt idx="35" formatCode="0.0000">
                  <c:v>64.382185215518547</c:v>
                </c:pt>
                <c:pt idx="36" formatCode="0.0000">
                  <c:v>60.471532138198803</c:v>
                </c:pt>
                <c:pt idx="37" formatCode="0.0000">
                  <c:v>44.275184275184266</c:v>
                </c:pt>
                <c:pt idx="38" formatCode="0.0000">
                  <c:v>56.526068004627007</c:v>
                </c:pt>
                <c:pt idx="39" formatCode="0.0000">
                  <c:v>36.78972972899394</c:v>
                </c:pt>
                <c:pt idx="40" formatCode="0.0000">
                  <c:v>54.479960165695957</c:v>
                </c:pt>
                <c:pt idx="41" formatCode="0.0000">
                  <c:v>51.13184644846018</c:v>
                </c:pt>
                <c:pt idx="42" formatCode="0.0000">
                  <c:v>49.428283064191724</c:v>
                </c:pt>
                <c:pt idx="43" formatCode="0.0000">
                  <c:v>49.448294847522135</c:v>
                </c:pt>
                <c:pt idx="44" formatCode="0.0000">
                  <c:v>45.811146923617251</c:v>
                </c:pt>
                <c:pt idx="45" formatCode="0.0000">
                  <c:v>49.232804205706117</c:v>
                </c:pt>
                <c:pt idx="46" formatCode="0.0000">
                  <c:v>37.836258880580395</c:v>
                </c:pt>
                <c:pt idx="47" formatCode="0.0000">
                  <c:v>42.841616948691588</c:v>
                </c:pt>
                <c:pt idx="48" formatCode="0.0000">
                  <c:v>46.744314456777978</c:v>
                </c:pt>
                <c:pt idx="49" formatCode="0.0000">
                  <c:v>49.492147343359044</c:v>
                </c:pt>
                <c:pt idx="50" formatCode="0.0000">
                  <c:v>42.837897898052795</c:v>
                </c:pt>
                <c:pt idx="51" formatCode="0.0000">
                  <c:v>43.792538160538605</c:v>
                </c:pt>
                <c:pt idx="52" formatCode="0.0000">
                  <c:v>59.743327195435022</c:v>
                </c:pt>
                <c:pt idx="53" formatCode="0.0000">
                  <c:v>63.193493582613854</c:v>
                </c:pt>
                <c:pt idx="54" formatCode="0.0000">
                  <c:v>54.149481034159201</c:v>
                </c:pt>
                <c:pt idx="55" formatCode="0.0000">
                  <c:v>54.944951368967615</c:v>
                </c:pt>
                <c:pt idx="56" formatCode="0.0000">
                  <c:v>61.430755664451027</c:v>
                </c:pt>
                <c:pt idx="57" formatCode="0.0000">
                  <c:v>61.070698971971645</c:v>
                </c:pt>
                <c:pt idx="58" formatCode="0.0000">
                  <c:v>57.562550512179769</c:v>
                </c:pt>
                <c:pt idx="59" formatCode="0.0000">
                  <c:v>39.068750000000001</c:v>
                </c:pt>
                <c:pt idx="60" formatCode="0.0000">
                  <c:v>53.174395938284114</c:v>
                </c:pt>
                <c:pt idx="61" formatCode="0.0000">
                  <c:v>51.880273610147562</c:v>
                </c:pt>
                <c:pt idx="62" formatCode="0.0000">
                  <c:v>48.303365714329281</c:v>
                </c:pt>
                <c:pt idx="63" formatCode="0.0000">
                  <c:v>41.923257732956387</c:v>
                </c:pt>
                <c:pt idx="64" formatCode="0.0000">
                  <c:v>42.17954324631922</c:v>
                </c:pt>
                <c:pt idx="65" formatCode="0.0000">
                  <c:v>50.144582238052784</c:v>
                </c:pt>
                <c:pt idx="66" formatCode="0.0000">
                  <c:v>18.287500000000001</c:v>
                </c:pt>
                <c:pt idx="67" formatCode="0.0000">
                  <c:v>54.250000000000007</c:v>
                </c:pt>
                <c:pt idx="68" formatCode="0.0000">
                  <c:v>79.40625</c:v>
                </c:pt>
                <c:pt idx="69" formatCode="0.0000">
                  <c:v>76.5625</c:v>
                </c:pt>
                <c:pt idx="70" formatCode="0.0000">
                  <c:v>73.5</c:v>
                </c:pt>
                <c:pt idx="71" formatCode="0.0000">
                  <c:v>71.96875</c:v>
                </c:pt>
                <c:pt idx="72" formatCode="0.0000">
                  <c:v>62.125</c:v>
                </c:pt>
                <c:pt idx="73" formatCode="0.0000">
                  <c:v>63.437500000000007</c:v>
                </c:pt>
                <c:pt idx="74" formatCode="0.0000">
                  <c:v>55.5625</c:v>
                </c:pt>
                <c:pt idx="75" formatCode="0.0000">
                  <c:v>38.654411764705877</c:v>
                </c:pt>
                <c:pt idx="76" formatCode="0.0000">
                  <c:v>29.286764705882351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(All)'!$DA$7:$DA$107</c:f>
              <c:numCache>
                <c:formatCode>General</c:formatCode>
                <c:ptCount val="81"/>
                <c:pt idx="13" formatCode="0.0000">
                  <c:v>209.25228405711681</c:v>
                </c:pt>
                <c:pt idx="14" formatCode="0.0000">
                  <c:v>191.94902394232582</c:v>
                </c:pt>
                <c:pt idx="15" formatCode="0.0000">
                  <c:v>189.77179120437458</c:v>
                </c:pt>
                <c:pt idx="16" formatCode="0.0000">
                  <c:v>162.01798754385783</c:v>
                </c:pt>
                <c:pt idx="17" formatCode="0.0000">
                  <c:v>151.78305149263724</c:v>
                </c:pt>
                <c:pt idx="18" formatCode="0.0000">
                  <c:v>155.91770397913982</c:v>
                </c:pt>
                <c:pt idx="19" formatCode="0.0000">
                  <c:v>186.16218002311228</c:v>
                </c:pt>
                <c:pt idx="20" formatCode="0.0000">
                  <c:v>183.29794202658434</c:v>
                </c:pt>
                <c:pt idx="21" formatCode="0.0000">
                  <c:v>151.14687287327141</c:v>
                </c:pt>
                <c:pt idx="22" formatCode="0.0000">
                  <c:v>162.0054090893166</c:v>
                </c:pt>
                <c:pt idx="23" formatCode="0.0000">
                  <c:v>123.78935063353461</c:v>
                </c:pt>
                <c:pt idx="24" formatCode="0.0000">
                  <c:v>108.41871410423558</c:v>
                </c:pt>
                <c:pt idx="25" formatCode="0.0000">
                  <c:v>112.34387234817174</c:v>
                </c:pt>
                <c:pt idx="26" formatCode="0.0000">
                  <c:v>98.61313855595985</c:v>
                </c:pt>
                <c:pt idx="27" formatCode="0.0000">
                  <c:v>105.81225663355191</c:v>
                </c:pt>
                <c:pt idx="28" formatCode="0.0000">
                  <c:v>90.451055222251398</c:v>
                </c:pt>
                <c:pt idx="29" formatCode="0.0000">
                  <c:v>86.276727918100534</c:v>
                </c:pt>
                <c:pt idx="30" formatCode="0.0000">
                  <c:v>75.858768044236385</c:v>
                </c:pt>
                <c:pt idx="31" formatCode="0.0000">
                  <c:v>79.11830106676021</c:v>
                </c:pt>
                <c:pt idx="32" formatCode="0.0000">
                  <c:v>64.522856189522855</c:v>
                </c:pt>
                <c:pt idx="33" formatCode="0.0000">
                  <c:v>58.81055297721965</c:v>
                </c:pt>
                <c:pt idx="34" formatCode="0.0000">
                  <c:v>52.752411502411505</c:v>
                </c:pt>
                <c:pt idx="35" formatCode="0.0000">
                  <c:v>64.382185215518547</c:v>
                </c:pt>
                <c:pt idx="36" formatCode="0.0000">
                  <c:v>60.471532138198803</c:v>
                </c:pt>
                <c:pt idx="37" formatCode="0.0000">
                  <c:v>44.275184275184266</c:v>
                </c:pt>
                <c:pt idx="38" formatCode="0.0000">
                  <c:v>56.526068004627007</c:v>
                </c:pt>
                <c:pt idx="39" formatCode="0.0000">
                  <c:v>36.78972972899394</c:v>
                </c:pt>
                <c:pt idx="40" formatCode="0.0000">
                  <c:v>54.479960165695957</c:v>
                </c:pt>
                <c:pt idx="41" formatCode="0.0000">
                  <c:v>51.13184644846018</c:v>
                </c:pt>
                <c:pt idx="42" formatCode="0.0000">
                  <c:v>49.428283064191724</c:v>
                </c:pt>
                <c:pt idx="43" formatCode="0.0000">
                  <c:v>49.448294847522135</c:v>
                </c:pt>
                <c:pt idx="44" formatCode="0.0000">
                  <c:v>45.811146923617251</c:v>
                </c:pt>
                <c:pt idx="45" formatCode="0.0000">
                  <c:v>49.232804205706117</c:v>
                </c:pt>
                <c:pt idx="46" formatCode="0.0000">
                  <c:v>37.836258880580395</c:v>
                </c:pt>
                <c:pt idx="47" formatCode="0.0000">
                  <c:v>42.841616948691588</c:v>
                </c:pt>
                <c:pt idx="48" formatCode="0.0000">
                  <c:v>46.744314456777978</c:v>
                </c:pt>
                <c:pt idx="49" formatCode="0.0000">
                  <c:v>49.492147343359044</c:v>
                </c:pt>
                <c:pt idx="50" formatCode="0.0000">
                  <c:v>42.837897898052795</c:v>
                </c:pt>
                <c:pt idx="51" formatCode="0.0000">
                  <c:v>43.792538160538605</c:v>
                </c:pt>
                <c:pt idx="52" formatCode="0.0000">
                  <c:v>59.743327195435022</c:v>
                </c:pt>
                <c:pt idx="53" formatCode="0.0000">
                  <c:v>63.193493582613854</c:v>
                </c:pt>
                <c:pt idx="54" formatCode="0.0000">
                  <c:v>54.149481034159201</c:v>
                </c:pt>
                <c:pt idx="55" formatCode="0.0000">
                  <c:v>54.944951368967615</c:v>
                </c:pt>
                <c:pt idx="56" formatCode="0.0000">
                  <c:v>61.430755664451027</c:v>
                </c:pt>
                <c:pt idx="57" formatCode="0.0000">
                  <c:v>61.070698971971645</c:v>
                </c:pt>
                <c:pt idx="58" formatCode="0.0000">
                  <c:v>57.562550512179769</c:v>
                </c:pt>
                <c:pt idx="59" formatCode="0.0000">
                  <c:v>39.068750000000001</c:v>
                </c:pt>
                <c:pt idx="60" formatCode="0.0000">
                  <c:v>53.174395938284114</c:v>
                </c:pt>
                <c:pt idx="61" formatCode="0.0000">
                  <c:v>51.880273610147562</c:v>
                </c:pt>
                <c:pt idx="62" formatCode="0.0000">
                  <c:v>48.303365714329281</c:v>
                </c:pt>
                <c:pt idx="63" formatCode="0.0000">
                  <c:v>41.923257732956387</c:v>
                </c:pt>
                <c:pt idx="64" formatCode="0.0000">
                  <c:v>42.17954324631922</c:v>
                </c:pt>
                <c:pt idx="65" formatCode="0.0000">
                  <c:v>50.144582238052784</c:v>
                </c:pt>
                <c:pt idx="66" formatCode="0.0000">
                  <c:v>18.287500000000001</c:v>
                </c:pt>
                <c:pt idx="67" formatCode="0.0000">
                  <c:v>54.250000000000007</c:v>
                </c:pt>
                <c:pt idx="68" formatCode="0.0000">
                  <c:v>79.40625</c:v>
                </c:pt>
                <c:pt idx="69" formatCode="0.0000">
                  <c:v>76.5625</c:v>
                </c:pt>
                <c:pt idx="70" formatCode="0.0000">
                  <c:v>73.5</c:v>
                </c:pt>
                <c:pt idx="71" formatCode="0.0000">
                  <c:v>71.96875</c:v>
                </c:pt>
                <c:pt idx="72" formatCode="0.0000">
                  <c:v>62.125</c:v>
                </c:pt>
                <c:pt idx="73" formatCode="0.0000">
                  <c:v>63.437500000000007</c:v>
                </c:pt>
                <c:pt idx="74" formatCode="0.0000">
                  <c:v>55.5625</c:v>
                </c:pt>
                <c:pt idx="75" formatCode="0.0000">
                  <c:v>38.654411764705877</c:v>
                </c:pt>
                <c:pt idx="76" formatCode="0.0000">
                  <c:v>29.286764705882351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097920"/>
        <c:axId val="690099040"/>
      </c:scatterChart>
      <c:valAx>
        <c:axId val="6900979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099040"/>
        <c:crosses val="autoZero"/>
        <c:crossBetween val="midCat"/>
        <c:majorUnit val="5"/>
      </c:valAx>
      <c:valAx>
        <c:axId val="69009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0979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India, Wholesale,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(All)'!$DB$7:$DB$107</c:f>
              <c:numCache>
                <c:formatCode>General</c:formatCode>
                <c:ptCount val="81"/>
                <c:pt idx="18" formatCode="0.0000">
                  <c:v>196.0291666666667</c:v>
                </c:pt>
                <c:pt idx="29" formatCode="0.0000">
                  <c:v>98.67936117936118</c:v>
                </c:pt>
                <c:pt idx="30" formatCode="0.0000">
                  <c:v>100.22727272727273</c:v>
                </c:pt>
                <c:pt idx="31" formatCode="0.0000">
                  <c:v>96.250000000000014</c:v>
                </c:pt>
                <c:pt idx="32" formatCode="0.0000">
                  <c:v>94.791666666666671</c:v>
                </c:pt>
                <c:pt idx="33" formatCode="0.0000">
                  <c:v>83.572891072891082</c:v>
                </c:pt>
                <c:pt idx="34" formatCode="0.0000">
                  <c:v>91.781670831670809</c:v>
                </c:pt>
                <c:pt idx="35" formatCode="0.0000">
                  <c:v>90.883281872911482</c:v>
                </c:pt>
                <c:pt idx="36" formatCode="0.0000">
                  <c:v>98.778077903077872</c:v>
                </c:pt>
                <c:pt idx="37" formatCode="0.0000">
                  <c:v>78.523387022349979</c:v>
                </c:pt>
                <c:pt idx="38" formatCode="0.0000">
                  <c:v>71.815006073522113</c:v>
                </c:pt>
                <c:pt idx="39" formatCode="0.0000">
                  <c:v>67.429270305901426</c:v>
                </c:pt>
                <c:pt idx="40" formatCode="0.0000">
                  <c:v>69.177141985694817</c:v>
                </c:pt>
                <c:pt idx="41" formatCode="0.0000">
                  <c:v>63.880255255211459</c:v>
                </c:pt>
                <c:pt idx="42" formatCode="0.0000">
                  <c:v>59.408439367701042</c:v>
                </c:pt>
                <c:pt idx="43" formatCode="0.0000">
                  <c:v>58.139874249249239</c:v>
                </c:pt>
                <c:pt idx="44" formatCode="0.0000">
                  <c:v>62.709645771475202</c:v>
                </c:pt>
                <c:pt idx="45" formatCode="0.0000">
                  <c:v>61.817917897581886</c:v>
                </c:pt>
                <c:pt idx="46" formatCode="0.0000">
                  <c:v>60.052373025195266</c:v>
                </c:pt>
                <c:pt idx="47" formatCode="0.0000">
                  <c:v>58.952577575503504</c:v>
                </c:pt>
                <c:pt idx="48" formatCode="0.0000">
                  <c:v>61.298668233446229</c:v>
                </c:pt>
                <c:pt idx="49" formatCode="0.0000">
                  <c:v>69.106327071812288</c:v>
                </c:pt>
                <c:pt idx="50" formatCode="0.0000">
                  <c:v>69.142342342398521</c:v>
                </c:pt>
                <c:pt idx="51" formatCode="0.0000">
                  <c:v>76.32350532345383</c:v>
                </c:pt>
                <c:pt idx="52" formatCode="0.0000">
                  <c:v>86.044119099019284</c:v>
                </c:pt>
                <c:pt idx="53" formatCode="0.0000">
                  <c:v>86.002211493026536</c:v>
                </c:pt>
                <c:pt idx="54" formatCode="0.0000">
                  <c:v>87.864114114114116</c:v>
                </c:pt>
                <c:pt idx="55" formatCode="0.0000">
                  <c:v>85.06971251142815</c:v>
                </c:pt>
                <c:pt idx="56" formatCode="0.0000">
                  <c:v>82.744590314332456</c:v>
                </c:pt>
                <c:pt idx="57" formatCode="0.0000">
                  <c:v>79.035293356789865</c:v>
                </c:pt>
                <c:pt idx="58" formatCode="0.0000">
                  <c:v>79.539837913795836</c:v>
                </c:pt>
                <c:pt idx="59" formatCode="0.0000">
                  <c:v>73.1111111111111</c:v>
                </c:pt>
                <c:pt idx="60" formatCode="0.0000">
                  <c:v>85.069444444444443</c:v>
                </c:pt>
                <c:pt idx="61" formatCode="0.0000">
                  <c:v>84.598953703600017</c:v>
                </c:pt>
                <c:pt idx="62" formatCode="0.0000">
                  <c:v>78.182287036933346</c:v>
                </c:pt>
                <c:pt idx="63" formatCode="0.0000">
                  <c:v>91.387722209777777</c:v>
                </c:pt>
                <c:pt idx="64" formatCode="0.0000">
                  <c:v>95.8296449976948</c:v>
                </c:pt>
                <c:pt idx="65" formatCode="0.0000">
                  <c:v>56.054934297225053</c:v>
                </c:pt>
                <c:pt idx="66" formatCode="0.0000">
                  <c:v>69.61111111080001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(All)'!$DB$7:$DB$107</c:f>
              <c:numCache>
                <c:formatCode>General</c:formatCode>
                <c:ptCount val="81"/>
                <c:pt idx="18" formatCode="0.0000">
                  <c:v>196.0291666666667</c:v>
                </c:pt>
                <c:pt idx="29" formatCode="0.0000">
                  <c:v>98.67936117936118</c:v>
                </c:pt>
                <c:pt idx="30" formatCode="0.0000">
                  <c:v>100.22727272727273</c:v>
                </c:pt>
                <c:pt idx="31" formatCode="0.0000">
                  <c:v>96.250000000000014</c:v>
                </c:pt>
                <c:pt idx="32" formatCode="0.0000">
                  <c:v>94.791666666666671</c:v>
                </c:pt>
                <c:pt idx="33" formatCode="0.0000">
                  <c:v>83.572891072891082</c:v>
                </c:pt>
                <c:pt idx="34" formatCode="0.0000">
                  <c:v>91.781670831670809</c:v>
                </c:pt>
                <c:pt idx="35" formatCode="0.0000">
                  <c:v>90.883281872911482</c:v>
                </c:pt>
                <c:pt idx="36" formatCode="0.0000">
                  <c:v>98.778077903077872</c:v>
                </c:pt>
                <c:pt idx="37" formatCode="0.0000">
                  <c:v>78.523387022349979</c:v>
                </c:pt>
                <c:pt idx="38" formatCode="0.0000">
                  <c:v>71.815006073522113</c:v>
                </c:pt>
                <c:pt idx="39" formatCode="0.0000">
                  <c:v>67.429270305901426</c:v>
                </c:pt>
                <c:pt idx="40" formatCode="0.0000">
                  <c:v>69.177141985694817</c:v>
                </c:pt>
                <c:pt idx="41" formatCode="0.0000">
                  <c:v>63.880255255211459</c:v>
                </c:pt>
                <c:pt idx="42" formatCode="0.0000">
                  <c:v>59.408439367701042</c:v>
                </c:pt>
                <c:pt idx="43" formatCode="0.0000">
                  <c:v>58.139874249249239</c:v>
                </c:pt>
                <c:pt idx="44" formatCode="0.0000">
                  <c:v>62.709645771475202</c:v>
                </c:pt>
                <c:pt idx="45" formatCode="0.0000">
                  <c:v>61.817917897581886</c:v>
                </c:pt>
                <c:pt idx="46" formatCode="0.0000">
                  <c:v>60.052373025195266</c:v>
                </c:pt>
                <c:pt idx="47" formatCode="0.0000">
                  <c:v>58.952577575503504</c:v>
                </c:pt>
                <c:pt idx="48" formatCode="0.0000">
                  <c:v>61.298668233446229</c:v>
                </c:pt>
                <c:pt idx="49" formatCode="0.0000">
                  <c:v>69.106327071812288</c:v>
                </c:pt>
                <c:pt idx="50" formatCode="0.0000">
                  <c:v>69.142342342398521</c:v>
                </c:pt>
                <c:pt idx="51" formatCode="0.0000">
                  <c:v>76.32350532345383</c:v>
                </c:pt>
                <c:pt idx="52" formatCode="0.0000">
                  <c:v>86.044119099019284</c:v>
                </c:pt>
                <c:pt idx="53" formatCode="0.0000">
                  <c:v>86.002211493026536</c:v>
                </c:pt>
                <c:pt idx="54" formatCode="0.0000">
                  <c:v>87.864114114114116</c:v>
                </c:pt>
                <c:pt idx="55" formatCode="0.0000">
                  <c:v>85.06971251142815</c:v>
                </c:pt>
                <c:pt idx="56" formatCode="0.0000">
                  <c:v>82.744590314332456</c:v>
                </c:pt>
                <c:pt idx="57" formatCode="0.0000">
                  <c:v>79.035293356789865</c:v>
                </c:pt>
                <c:pt idx="58" formatCode="0.0000">
                  <c:v>79.539837913795836</c:v>
                </c:pt>
                <c:pt idx="59" formatCode="0.0000">
                  <c:v>73.1111111111111</c:v>
                </c:pt>
                <c:pt idx="60" formatCode="0.0000">
                  <c:v>85.069444444444443</c:v>
                </c:pt>
                <c:pt idx="61" formatCode="0.0000">
                  <c:v>84.598953703600017</c:v>
                </c:pt>
                <c:pt idx="62" formatCode="0.0000">
                  <c:v>78.182287036933346</c:v>
                </c:pt>
                <c:pt idx="63" formatCode="0.0000">
                  <c:v>91.387722209777777</c:v>
                </c:pt>
                <c:pt idx="64" formatCode="0.0000">
                  <c:v>95.8296449976948</c:v>
                </c:pt>
                <c:pt idx="65" formatCode="0.0000">
                  <c:v>56.054934297225053</c:v>
                </c:pt>
                <c:pt idx="66" formatCode="0.0000">
                  <c:v>69.61111111080001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104080"/>
        <c:axId val="690104640"/>
      </c:scatterChart>
      <c:valAx>
        <c:axId val="6901040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04640"/>
        <c:crosses val="autoZero"/>
        <c:crossBetween val="midCat"/>
        <c:majorUnit val="5"/>
      </c:valAx>
      <c:valAx>
        <c:axId val="69010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040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Istanbul (Nallrihan),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(All)'!$AF$7:$AF$107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(All)'!$AF$7:$AF$107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109680"/>
        <c:axId val="690110240"/>
      </c:scatterChart>
      <c:valAx>
        <c:axId val="6901096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10240"/>
        <c:crosses val="autoZero"/>
        <c:crossBetween val="midCat"/>
        <c:majorUnit val="5"/>
      </c:valAx>
      <c:valAx>
        <c:axId val="69011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096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(Nallrihan),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(All)'!$AG$7:$AG$107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(All)'!$AG$7:$AG$107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115280"/>
        <c:axId val="690115840"/>
      </c:scatterChart>
      <c:valAx>
        <c:axId val="6901152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15840"/>
        <c:crosses val="autoZero"/>
        <c:crossBetween val="midCat"/>
        <c:majorUnit val="5"/>
      </c:valAx>
      <c:valAx>
        <c:axId val="69011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152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(Nallrihan),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(All)'!$AH$7:$AH$107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(All)'!$AH$7:$AH$107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120880"/>
        <c:axId val="690121440"/>
      </c:scatterChart>
      <c:valAx>
        <c:axId val="6901208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21440"/>
        <c:crosses val="autoZero"/>
        <c:crossBetween val="midCat"/>
        <c:majorUnit val="5"/>
      </c:valAx>
      <c:valAx>
        <c:axId val="69012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208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chemeClr val="tx1"/>
                </a:solidFill>
              </a:rPr>
              <a:t>Tea, in</a:t>
            </a:r>
            <a:r>
              <a:rPr lang="en-US" sz="2000" b="1" baseline="0">
                <a:solidFill>
                  <a:schemeClr val="tx1"/>
                </a:solidFill>
              </a:rPr>
              <a:t> pound/ton</a:t>
            </a:r>
            <a:endParaRPr lang="en-US" sz="20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9568237258822105"/>
          <c:y val="3.453617106445374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1294848573010613E-2"/>
          <c:y val="3.7703768565431867E-2"/>
          <c:w val="0.51979701879312823"/>
          <c:h val="0.90432163943954558"/>
        </c:manualLayout>
      </c:layout>
      <c:lineChart>
        <c:grouping val="standard"/>
        <c:varyColors val="0"/>
        <c:ser>
          <c:idx val="1"/>
          <c:order val="0"/>
          <c:tx>
            <c:strRef>
              <c:f>'Tea (All)'!$D$6</c:f>
              <c:strCache>
                <c:ptCount val="1"/>
                <c:pt idx="0">
                  <c:v>UK, Exports, in pound/ton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(All)'!$D$7:$D$107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2"/>
          <c:order val="1"/>
          <c:tx>
            <c:strRef>
              <c:f>'Tea (All)'!$C$6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(All)'!$C$7:$C$107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4"/>
          <c:order val="2"/>
          <c:tx>
            <c:strRef>
              <c:f>'Tea (All)'!$E$6</c:f>
              <c:strCache>
                <c:ptCount val="1"/>
                <c:pt idx="0">
                  <c:v>Baghdad, Imports, in pound/ton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(All)'!$E$7:$E$107</c:f>
              <c:numCache>
                <c:formatCode>0.0000</c:formatCode>
                <c:ptCount val="81"/>
                <c:pt idx="9">
                  <c:v>581.81200588439265</c:v>
                </c:pt>
                <c:pt idx="12">
                  <c:v>613.70349296788004</c:v>
                </c:pt>
                <c:pt idx="14">
                  <c:v>538.66989286160288</c:v>
                </c:pt>
                <c:pt idx="15">
                  <c:v>613.63382196351643</c:v>
                </c:pt>
                <c:pt idx="19">
                  <c:v>329.68438575209535</c:v>
                </c:pt>
                <c:pt idx="20">
                  <c:v>258.42139592287873</c:v>
                </c:pt>
                <c:pt idx="22">
                  <c:v>262.84603481174076</c:v>
                </c:pt>
                <c:pt idx="23">
                  <c:v>270.82240762812927</c:v>
                </c:pt>
                <c:pt idx="32">
                  <c:v>158.12500000000011</c:v>
                </c:pt>
                <c:pt idx="33">
                  <c:v>136.50684931506851</c:v>
                </c:pt>
                <c:pt idx="34">
                  <c:v>108.05687203791469</c:v>
                </c:pt>
                <c:pt idx="35">
                  <c:v>107.95986622073588</c:v>
                </c:pt>
                <c:pt idx="36">
                  <c:v>107.95718939041411</c:v>
                </c:pt>
                <c:pt idx="37">
                  <c:v>99.999999999999915</c:v>
                </c:pt>
                <c:pt idx="42">
                  <c:v>87.843137254901961</c:v>
                </c:pt>
                <c:pt idx="43">
                  <c:v>176.40630022500801</c:v>
                </c:pt>
                <c:pt idx="44">
                  <c:v>197.64705882352951</c:v>
                </c:pt>
                <c:pt idx="45">
                  <c:v>197.64705882352951</c:v>
                </c:pt>
                <c:pt idx="46">
                  <c:v>109.80392156862756</c:v>
                </c:pt>
                <c:pt idx="47">
                  <c:v>54.895151661061377</c:v>
                </c:pt>
                <c:pt idx="48">
                  <c:v>76.871061476850358</c:v>
                </c:pt>
                <c:pt idx="49">
                  <c:v>65.882352941176578</c:v>
                </c:pt>
                <c:pt idx="50">
                  <c:v>65.859102534294266</c:v>
                </c:pt>
                <c:pt idx="51">
                  <c:v>77.95933081277802</c:v>
                </c:pt>
                <c:pt idx="52">
                  <c:v>82.352658511790679</c:v>
                </c:pt>
                <c:pt idx="53">
                  <c:v>118.55906564057047</c:v>
                </c:pt>
                <c:pt idx="54">
                  <c:v>90.921815534724601</c:v>
                </c:pt>
                <c:pt idx="55">
                  <c:v>100.66292446468071</c:v>
                </c:pt>
                <c:pt idx="56">
                  <c:v>99.114247670930467</c:v>
                </c:pt>
                <c:pt idx="57">
                  <c:v>109.75160843716922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'Tea (All)'!$F$6</c:f>
              <c:strCache>
                <c:ptCount val="1"/>
                <c:pt idx="0">
                  <c:v>Baghdad, Exports, in pound/ton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(All)'!$F$7:$F$107</c:f>
              <c:numCache>
                <c:formatCode>0.0000</c:formatCode>
                <c:ptCount val="81"/>
                <c:pt idx="23">
                  <c:v>270.80768926509091</c:v>
                </c:pt>
                <c:pt idx="57">
                  <c:v>109.80392156862756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'Tea (All)'!$G$6</c:f>
              <c:strCache>
                <c:ptCount val="1"/>
                <c:pt idx="0">
                  <c:v>Baghdad,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(All)'!$G$7:$G$107</c:f>
              <c:numCache>
                <c:formatCode>0.0000</c:formatCode>
                <c:ptCount val="81"/>
                <c:pt idx="54">
                  <c:v>88.964202499470375</c:v>
                </c:pt>
                <c:pt idx="55">
                  <c:v>81.55051895784797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'Tea (All)'!$H$6</c:f>
              <c:strCache>
                <c:ptCount val="1"/>
                <c:pt idx="0">
                  <c:v>Basrah,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(All)'!$H$7:$H$107</c:f>
              <c:numCache>
                <c:formatCode>0.0000</c:formatCode>
                <c:ptCount val="81"/>
                <c:pt idx="37">
                  <c:v>65.678635090399737</c:v>
                </c:pt>
                <c:pt idx="38">
                  <c:v>65.882352941176578</c:v>
                </c:pt>
                <c:pt idx="39">
                  <c:v>27.453156450848354</c:v>
                </c:pt>
                <c:pt idx="40">
                  <c:v>27.448786945861123</c:v>
                </c:pt>
                <c:pt idx="41">
                  <c:v>27.450980392156833</c:v>
                </c:pt>
                <c:pt idx="42">
                  <c:v>27.452480855692929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'Tea (All)'!$I$6</c:f>
              <c:strCache>
                <c:ptCount val="1"/>
                <c:pt idx="0">
                  <c:v>Basrah,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(All)'!$I$7:$I$107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3"/>
          <c:order val="7"/>
          <c:tx>
            <c:strRef>
              <c:f>'Tea (All)'!$J$6</c:f>
              <c:strCache>
                <c:ptCount val="1"/>
                <c:pt idx="0">
                  <c:v>Basrah,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(All)'!$J$7:$J$107</c:f>
              <c:numCache>
                <c:formatCode>0.0000</c:formatCode>
                <c:ptCount val="81"/>
                <c:pt idx="50" formatCode="General">
                  <c:v>38.080000000000005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'Tea (All)'!$K$6</c:f>
              <c:strCache>
                <c:ptCount val="1"/>
                <c:pt idx="0">
                  <c:v>Mosul,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(All)'!$K$7:$K$107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7"/>
          <c:order val="9"/>
          <c:tx>
            <c:strRef>
              <c:f>'Tea (All)'!$L$6</c:f>
              <c:strCache>
                <c:ptCount val="1"/>
                <c:pt idx="0">
                  <c:v>Mosul,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(All)'!$L$7:$L$107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9"/>
          <c:order val="10"/>
          <c:tx>
            <c:strRef>
              <c:f>'Tea (All)'!$M$6</c:f>
              <c:strCache>
                <c:ptCount val="1"/>
                <c:pt idx="0">
                  <c:v>Mosul,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(All)'!$M$7:$M$107</c:f>
              <c:numCache>
                <c:formatCode>0.0000</c:formatCode>
                <c:ptCount val="81"/>
                <c:pt idx="6">
                  <c:v>26666.666666666668</c:v>
                </c:pt>
              </c:numCache>
            </c:numRef>
          </c:val>
          <c:smooth val="0"/>
        </c:ser>
        <c:ser>
          <c:idx val="21"/>
          <c:order val="11"/>
          <c:tx>
            <c:strRef>
              <c:f>'Tea (All)'!$Q$6</c:f>
              <c:strCache>
                <c:ptCount val="1"/>
                <c:pt idx="0">
                  <c:v>Palestine,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(All)'!$Q$7:$Q$107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23"/>
          <c:order val="12"/>
          <c:tx>
            <c:strRef>
              <c:f>'Tea (All)'!$R$6</c:f>
              <c:strCache>
                <c:ptCount val="1"/>
                <c:pt idx="0">
                  <c:v>Palestine,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(All)'!$R$7:$R$107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25"/>
          <c:order val="13"/>
          <c:tx>
            <c:strRef>
              <c:f>'Tea (All)'!$S$6</c:f>
              <c:strCache>
                <c:ptCount val="1"/>
                <c:pt idx="0">
                  <c:v>Palestine,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(All)'!$S$7:$S$107</c:f>
              <c:numCache>
                <c:formatCode>0.0000</c:formatCode>
                <c:ptCount val="81"/>
                <c:pt idx="3">
                  <c:v>362.87432754851267</c:v>
                </c:pt>
              </c:numCache>
            </c:numRef>
          </c:val>
          <c:smooth val="0"/>
        </c:ser>
        <c:ser>
          <c:idx val="29"/>
          <c:order val="14"/>
          <c:tx>
            <c:strRef>
              <c:f>'Tea (All)'!$U$6</c:f>
              <c:strCache>
                <c:ptCount val="1"/>
                <c:pt idx="0">
                  <c:v>Damascus,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(All)'!$U$7:$U$107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31"/>
          <c:order val="15"/>
          <c:tx>
            <c:strRef>
              <c:f>'Tea (All)'!$V$6</c:f>
              <c:strCache>
                <c:ptCount val="1"/>
                <c:pt idx="0">
                  <c:v>Damascus,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(All)'!$V$7:$V$107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33"/>
          <c:order val="16"/>
          <c:tx>
            <c:strRef>
              <c:f>'Tea (All)'!$W$6</c:f>
              <c:strCache>
                <c:ptCount val="1"/>
                <c:pt idx="0">
                  <c:v>Beirut,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(All)'!$W$7:$W$107</c:f>
              <c:numCache>
                <c:formatCode>0.0000</c:formatCode>
                <c:ptCount val="81"/>
                <c:pt idx="26">
                  <c:v>135.7466063348416</c:v>
                </c:pt>
                <c:pt idx="27">
                  <c:v>135.7466063348416</c:v>
                </c:pt>
                <c:pt idx="28">
                  <c:v>113.1221719457014</c:v>
                </c:pt>
                <c:pt idx="34">
                  <c:v>101.81818181818191</c:v>
                </c:pt>
                <c:pt idx="35">
                  <c:v>109.66666666666671</c:v>
                </c:pt>
                <c:pt idx="36">
                  <c:v>119</c:v>
                </c:pt>
              </c:numCache>
            </c:numRef>
          </c:val>
          <c:smooth val="0"/>
        </c:ser>
        <c:ser>
          <c:idx val="35"/>
          <c:order val="17"/>
          <c:tx>
            <c:strRef>
              <c:f>'Tea (All)'!$X$6</c:f>
              <c:strCache>
                <c:ptCount val="1"/>
                <c:pt idx="0">
                  <c:v>Beirut,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(All)'!$X$7:$X$107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37"/>
          <c:order val="18"/>
          <c:tx>
            <c:strRef>
              <c:f>'Tea (All)'!$Y$6</c:f>
              <c:strCache>
                <c:ptCount val="1"/>
                <c:pt idx="0">
                  <c:v>Beirut,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(All)'!$Y$7:$Y$107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38"/>
          <c:order val="19"/>
          <c:tx>
            <c:strRef>
              <c:f>'Tea (All)'!$Z$6</c:f>
              <c:strCache>
                <c:ptCount val="1"/>
                <c:pt idx="0">
                  <c:v>Istanbul (Malatya), Imports, in pound/ton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(All)'!$Z$7:$Z$107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40"/>
          <c:order val="20"/>
          <c:tx>
            <c:strRef>
              <c:f>'Tea (All)'!$AA$6</c:f>
              <c:strCache>
                <c:ptCount val="1"/>
                <c:pt idx="0">
                  <c:v>Istanbul (Malatya), Exports,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(All)'!$AA$7:$AA$107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42"/>
          <c:order val="21"/>
          <c:tx>
            <c:strRef>
              <c:f>'Tea (All)'!$AB$6</c:f>
              <c:strCache>
                <c:ptCount val="1"/>
                <c:pt idx="0">
                  <c:v>Istanbul (Malatya), Bazaar (Local), in pound/ton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(All)'!$AB$7:$AB$107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43"/>
          <c:order val="22"/>
          <c:tx>
            <c:strRef>
              <c:f>'Tea (All)'!$AC$6</c:f>
              <c:strCache>
                <c:ptCount val="1"/>
                <c:pt idx="0">
                  <c:v>Istanbul (Geyve),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(All)'!$AC$7:$AC$107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45"/>
          <c:order val="23"/>
          <c:tx>
            <c:strRef>
              <c:f>'Tea (All)'!$AD$6</c:f>
              <c:strCache>
                <c:ptCount val="1"/>
                <c:pt idx="0">
                  <c:v>Istanbul (Geyve),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(All)'!$AD$7:$AD$107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47"/>
          <c:order val="24"/>
          <c:tx>
            <c:strRef>
              <c:f>'Tea (All)'!$AE$6</c:f>
              <c:strCache>
                <c:ptCount val="1"/>
                <c:pt idx="0">
                  <c:v>Istanbul (Geyve),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(All)'!$AE$7:$AE$107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49"/>
          <c:order val="25"/>
          <c:tx>
            <c:strRef>
              <c:f>'Tea (All)'!$AI$6</c:f>
              <c:strCache>
                <c:ptCount val="1"/>
                <c:pt idx="0">
                  <c:v>Turkey,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(All)'!$AI$7:$AI$107</c:f>
              <c:numCache>
                <c:formatCode>0.0000</c:formatCode>
                <c:ptCount val="81"/>
                <c:pt idx="55">
                  <c:v>71.540880503144649</c:v>
                </c:pt>
                <c:pt idx="56">
                  <c:v>80.840743734842363</c:v>
                </c:pt>
              </c:numCache>
            </c:numRef>
          </c:val>
          <c:smooth val="0"/>
        </c:ser>
        <c:ser>
          <c:idx val="51"/>
          <c:order val="26"/>
          <c:tx>
            <c:strRef>
              <c:f>'Tea (All)'!$AJ$6</c:f>
              <c:strCache>
                <c:ptCount val="1"/>
                <c:pt idx="0">
                  <c:v>Turkey,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(All)'!$AJ$7:$AJ$107</c:f>
              <c:numCache>
                <c:formatCode>0.0000</c:formatCode>
                <c:ptCount val="81"/>
                <c:pt idx="55">
                  <c:v>43.022820800598581</c:v>
                </c:pt>
              </c:numCache>
            </c:numRef>
          </c:val>
          <c:smooth val="0"/>
        </c:ser>
        <c:ser>
          <c:idx val="53"/>
          <c:order val="27"/>
          <c:tx>
            <c:strRef>
              <c:f>'Tea (All)'!$AK$6</c:f>
              <c:strCache>
                <c:ptCount val="1"/>
                <c:pt idx="0">
                  <c:v>Turkey,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(All)'!$AK$7:$AK$107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55"/>
          <c:order val="28"/>
          <c:tx>
            <c:strRef>
              <c:f>'Tea (All)'!$AL$6</c:f>
              <c:strCache>
                <c:ptCount val="1"/>
                <c:pt idx="0">
                  <c:v>Constantinople, Imports, in pound/ton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(All)'!$AL$7:$AL$107</c:f>
              <c:numCache>
                <c:formatCode>0.0000</c:formatCode>
                <c:ptCount val="81"/>
                <c:pt idx="30">
                  <c:v>187.21872187218727</c:v>
                </c:pt>
                <c:pt idx="32">
                  <c:v>136.56538067599863</c:v>
                </c:pt>
                <c:pt idx="52">
                  <c:v>110.11904761904762</c:v>
                </c:pt>
                <c:pt idx="55">
                  <c:v>68.181818181818187</c:v>
                </c:pt>
              </c:numCache>
            </c:numRef>
          </c:val>
          <c:smooth val="0"/>
        </c:ser>
        <c:ser>
          <c:idx val="57"/>
          <c:order val="29"/>
          <c:tx>
            <c:strRef>
              <c:f>'Tea (All)'!$AM$6</c:f>
              <c:strCache>
                <c:ptCount val="1"/>
                <c:pt idx="0">
                  <c:v>Constantinople, Exports, in pound/ton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(All)'!$AM$7:$AM$107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59"/>
          <c:order val="30"/>
          <c:tx>
            <c:strRef>
              <c:f>'Tea (All)'!$AN$6</c:f>
              <c:strCache>
                <c:ptCount val="1"/>
                <c:pt idx="0">
                  <c:v>Constantinople, Bazaar (Local), in pound/ton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(All)'!$AN$7:$AN$107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61"/>
          <c:order val="31"/>
          <c:tx>
            <c:strRef>
              <c:f>'Tea (All)'!$AO$6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(All)'!$AO$7:$AO$107</c:f>
              <c:numCache>
                <c:formatCode>0.0000</c:formatCode>
                <c:ptCount val="81"/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160</c:v>
                </c:pt>
                <c:pt idx="22">
                  <c:v>200</c:v>
                </c:pt>
                <c:pt idx="23">
                  <c:v>160</c:v>
                </c:pt>
                <c:pt idx="24">
                  <c:v>160</c:v>
                </c:pt>
                <c:pt idx="25">
                  <c:v>160</c:v>
                </c:pt>
                <c:pt idx="26">
                  <c:v>160</c:v>
                </c:pt>
                <c:pt idx="27">
                  <c:v>160</c:v>
                </c:pt>
                <c:pt idx="28">
                  <c:v>160</c:v>
                </c:pt>
                <c:pt idx="29">
                  <c:v>110</c:v>
                </c:pt>
                <c:pt idx="30">
                  <c:v>100</c:v>
                </c:pt>
                <c:pt idx="31">
                  <c:v>100</c:v>
                </c:pt>
                <c:pt idx="32">
                  <c:v>100.01895734597159</c:v>
                </c:pt>
                <c:pt idx="33">
                  <c:v>120.04683840749421</c:v>
                </c:pt>
                <c:pt idx="34">
                  <c:v>120.03053435114501</c:v>
                </c:pt>
                <c:pt idx="35">
                  <c:v>120</c:v>
                </c:pt>
                <c:pt idx="36">
                  <c:v>119.95850622406641</c:v>
                </c:pt>
                <c:pt idx="37">
                  <c:v>120.0280504908836</c:v>
                </c:pt>
                <c:pt idx="38">
                  <c:v>99.964349376114001</c:v>
                </c:pt>
                <c:pt idx="39">
                  <c:v>91.973018549746996</c:v>
                </c:pt>
                <c:pt idx="40">
                  <c:v>92.034139402560399</c:v>
                </c:pt>
                <c:pt idx="41">
                  <c:v>91.979434447300804</c:v>
                </c:pt>
                <c:pt idx="42">
                  <c:v>80</c:v>
                </c:pt>
                <c:pt idx="43">
                  <c:v>80.02265005662521</c:v>
                </c:pt>
                <c:pt idx="44">
                  <c:v>60.063091482649796</c:v>
                </c:pt>
                <c:pt idx="45">
                  <c:v>59.927971188475404</c:v>
                </c:pt>
                <c:pt idx="46">
                  <c:v>79.956896551724199</c:v>
                </c:pt>
                <c:pt idx="47">
                  <c:v>72.168067226890798</c:v>
                </c:pt>
                <c:pt idx="48">
                  <c:v>56.682692307692399</c:v>
                </c:pt>
                <c:pt idx="49">
                  <c:v>72.176656151419593</c:v>
                </c:pt>
                <c:pt idx="50">
                  <c:v>71.966527196652791</c:v>
                </c:pt>
                <c:pt idx="51">
                  <c:v>71.989596879063797</c:v>
                </c:pt>
                <c:pt idx="52">
                  <c:v>72.026143790849602</c:v>
                </c:pt>
                <c:pt idx="53">
                  <c:v>67.077441077440994</c:v>
                </c:pt>
                <c:pt idx="54">
                  <c:v>73.262599469495996</c:v>
                </c:pt>
              </c:numCache>
            </c:numRef>
          </c:val>
          <c:smooth val="0"/>
        </c:ser>
        <c:ser>
          <c:idx val="63"/>
          <c:order val="32"/>
          <c:tx>
            <c:strRef>
              <c:f>'Tea (All)'!$AP$6</c:f>
              <c:strCache>
                <c:ptCount val="1"/>
                <c:pt idx="0">
                  <c:v>Trebizond (Anatolia),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(All)'!$AP$7:$AP$107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65"/>
          <c:order val="33"/>
          <c:tx>
            <c:strRef>
              <c:f>'Tea (All)'!$AQ$6</c:f>
              <c:strCache>
                <c:ptCount val="1"/>
                <c:pt idx="0">
                  <c:v>Trebizond (Anatolia),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(All)'!$AQ$7:$AQ$107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67"/>
          <c:order val="34"/>
          <c:tx>
            <c:strRef>
              <c:f>'Tea (All)'!$AR$6</c:f>
              <c:strCache>
                <c:ptCount val="1"/>
                <c:pt idx="0">
                  <c:v>Trebizond (Persia),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(All)'!$AR$7:$AR$107</c:f>
              <c:numCache>
                <c:formatCode>0.0000</c:formatCode>
                <c:ptCount val="81"/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2">
                  <c:v>200</c:v>
                </c:pt>
                <c:pt idx="23">
                  <c:v>160</c:v>
                </c:pt>
                <c:pt idx="24">
                  <c:v>160</c:v>
                </c:pt>
                <c:pt idx="25">
                  <c:v>160</c:v>
                </c:pt>
                <c:pt idx="26">
                  <c:v>160</c:v>
                </c:pt>
                <c:pt idx="27">
                  <c:v>160</c:v>
                </c:pt>
                <c:pt idx="28">
                  <c:v>247.97064634490599</c:v>
                </c:pt>
                <c:pt idx="29">
                  <c:v>174.22790202342921</c:v>
                </c:pt>
                <c:pt idx="30">
                  <c:v>160</c:v>
                </c:pt>
                <c:pt idx="31">
                  <c:v>160</c:v>
                </c:pt>
                <c:pt idx="32">
                  <c:v>120</c:v>
                </c:pt>
                <c:pt idx="33">
                  <c:v>120</c:v>
                </c:pt>
                <c:pt idx="34">
                  <c:v>120</c:v>
                </c:pt>
                <c:pt idx="35">
                  <c:v>120</c:v>
                </c:pt>
                <c:pt idx="36">
                  <c:v>120</c:v>
                </c:pt>
                <c:pt idx="37">
                  <c:v>120</c:v>
                </c:pt>
                <c:pt idx="38">
                  <c:v>120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92.001278772378598</c:v>
                </c:pt>
                <c:pt idx="43">
                  <c:v>87.997512437811011</c:v>
                </c:pt>
                <c:pt idx="44">
                  <c:v>80</c:v>
                </c:pt>
                <c:pt idx="45">
                  <c:v>60</c:v>
                </c:pt>
                <c:pt idx="46">
                  <c:v>72</c:v>
                </c:pt>
                <c:pt idx="47">
                  <c:v>80</c:v>
                </c:pt>
                <c:pt idx="48">
                  <c:v>80</c:v>
                </c:pt>
                <c:pt idx="49">
                  <c:v>80</c:v>
                </c:pt>
                <c:pt idx="50">
                  <c:v>80</c:v>
                </c:pt>
                <c:pt idx="51">
                  <c:v>80.011474469305796</c:v>
                </c:pt>
                <c:pt idx="52">
                  <c:v>84.021257750221409</c:v>
                </c:pt>
                <c:pt idx="53">
                  <c:v>73.400000000000006</c:v>
                </c:pt>
                <c:pt idx="54">
                  <c:v>56</c:v>
                </c:pt>
              </c:numCache>
            </c:numRef>
          </c:val>
          <c:smooth val="0"/>
        </c:ser>
        <c:ser>
          <c:idx val="69"/>
          <c:order val="35"/>
          <c:tx>
            <c:strRef>
              <c:f>'Tea (All)'!$AS$6</c:f>
              <c:strCache>
                <c:ptCount val="1"/>
                <c:pt idx="0">
                  <c:v>Trebizond (Persia),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(All)'!$AS$7:$AS$107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71"/>
          <c:order val="36"/>
          <c:tx>
            <c:strRef>
              <c:f>'Tea (All)'!$AT$6</c:f>
              <c:strCache>
                <c:ptCount val="1"/>
                <c:pt idx="0">
                  <c:v>Adana, 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(All)'!$AT$7:$AT$107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73"/>
          <c:order val="37"/>
          <c:tx>
            <c:strRef>
              <c:f>'Tea (All)'!$AU$6</c:f>
              <c:strCache>
                <c:ptCount val="1"/>
                <c:pt idx="0">
                  <c:v>Izmir, 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(All)'!$AU$7:$AU$107</c:f>
              <c:numCache>
                <c:formatCode>0.0000</c:formatCode>
                <c:ptCount val="81"/>
                <c:pt idx="9">
                  <c:v>336</c:v>
                </c:pt>
                <c:pt idx="10">
                  <c:v>448</c:v>
                </c:pt>
                <c:pt idx="11">
                  <c:v>448</c:v>
                </c:pt>
                <c:pt idx="13">
                  <c:v>392</c:v>
                </c:pt>
                <c:pt idx="14">
                  <c:v>392</c:v>
                </c:pt>
                <c:pt idx="16">
                  <c:v>448</c:v>
                </c:pt>
                <c:pt idx="17">
                  <c:v>429.33333333333411</c:v>
                </c:pt>
                <c:pt idx="19">
                  <c:v>448</c:v>
                </c:pt>
                <c:pt idx="20">
                  <c:v>336</c:v>
                </c:pt>
                <c:pt idx="21">
                  <c:v>336</c:v>
                </c:pt>
                <c:pt idx="53">
                  <c:v>41.176470588235297</c:v>
                </c:pt>
                <c:pt idx="55">
                  <c:v>63.247863247863251</c:v>
                </c:pt>
              </c:numCache>
            </c:numRef>
          </c:val>
          <c:smooth val="0"/>
        </c:ser>
        <c:ser>
          <c:idx val="75"/>
          <c:order val="38"/>
          <c:tx>
            <c:strRef>
              <c:f>'Tea (All)'!$AV$6</c:f>
              <c:strCache>
                <c:ptCount val="1"/>
                <c:pt idx="0">
                  <c:v>Izmir,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(All)'!$AV$7:$AV$107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77"/>
          <c:order val="39"/>
          <c:tx>
            <c:strRef>
              <c:f>'Tea (All)'!$AW$6</c:f>
              <c:strCache>
                <c:ptCount val="1"/>
                <c:pt idx="0">
                  <c:v>Izmir, 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(All)'!$AW$7:$AW$107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79"/>
          <c:order val="40"/>
          <c:tx>
            <c:strRef>
              <c:f>'Tea (All)'!$AX$6</c:f>
              <c:strCache>
                <c:ptCount val="1"/>
                <c:pt idx="0">
                  <c:v>Alexandretta,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(All)'!$AX$7:$AX$107</c:f>
              <c:numCache>
                <c:formatCode>General</c:formatCode>
                <c:ptCount val="81"/>
              </c:numCache>
            </c:numRef>
          </c:val>
          <c:smooth val="0"/>
        </c:ser>
        <c:ser>
          <c:idx val="81"/>
          <c:order val="41"/>
          <c:tx>
            <c:strRef>
              <c:f>'Tea (All)'!$AY$6</c:f>
              <c:strCache>
                <c:ptCount val="1"/>
                <c:pt idx="0">
                  <c:v>Alexandretta,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(All)'!$AY$7:$AY$107</c:f>
              <c:numCache>
                <c:formatCode>General</c:formatCode>
                <c:ptCount val="81"/>
              </c:numCache>
            </c:numRef>
          </c:val>
          <c:smooth val="0"/>
        </c:ser>
        <c:ser>
          <c:idx val="83"/>
          <c:order val="42"/>
          <c:tx>
            <c:strRef>
              <c:f>'Tea (All)'!$AZ$6</c:f>
              <c:strCache>
                <c:ptCount val="1"/>
                <c:pt idx="0">
                  <c:v>Alexandretta,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(All)'!$AZ$7:$AZ$107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85"/>
          <c:order val="43"/>
          <c:tx>
            <c:strRef>
              <c:f>'Tea (All)'!$BA$6</c:f>
              <c:strCache>
                <c:ptCount val="1"/>
                <c:pt idx="0">
                  <c:v>Ispahan,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(All)'!$BA$7:$BA$107</c:f>
              <c:numCache>
                <c:formatCode>0.0000</c:formatCode>
                <c:ptCount val="81"/>
                <c:pt idx="55">
                  <c:v>162.12389380530979</c:v>
                </c:pt>
                <c:pt idx="56">
                  <c:v>223.265519040166</c:v>
                </c:pt>
                <c:pt idx="57">
                  <c:v>227.52192982456199</c:v>
                </c:pt>
              </c:numCache>
            </c:numRef>
          </c:val>
          <c:smooth val="0"/>
        </c:ser>
        <c:ser>
          <c:idx val="87"/>
          <c:order val="44"/>
          <c:tx>
            <c:strRef>
              <c:f>'Tea (All)'!$BB$6</c:f>
              <c:strCache>
                <c:ptCount val="1"/>
                <c:pt idx="0">
                  <c:v>Ispahan,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(All)'!$BB$7:$BB$107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89"/>
          <c:order val="45"/>
          <c:tx>
            <c:strRef>
              <c:f>'Tea (All)'!$BC$6</c:f>
              <c:strCache>
                <c:ptCount val="1"/>
                <c:pt idx="0">
                  <c:v>Ispahan,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(All)'!$BC$7:$BC$107</c:f>
              <c:numCache>
                <c:formatCode>0.0000</c:formatCode>
                <c:ptCount val="81"/>
                <c:pt idx="37">
                  <c:v>270.61821613968959</c:v>
                </c:pt>
                <c:pt idx="38">
                  <c:v>212.6350245499182</c:v>
                </c:pt>
                <c:pt idx="40">
                  <c:v>179.20000000000002</c:v>
                </c:pt>
                <c:pt idx="41">
                  <c:v>177.42574257425738</c:v>
                </c:pt>
                <c:pt idx="43">
                  <c:v>204.79999999999993</c:v>
                </c:pt>
              </c:numCache>
            </c:numRef>
          </c:val>
          <c:smooth val="0"/>
        </c:ser>
        <c:ser>
          <c:idx val="91"/>
          <c:order val="46"/>
          <c:tx>
            <c:strRef>
              <c:f>'Tea (All)'!$BD$6</c:f>
              <c:strCache>
                <c:ptCount val="1"/>
                <c:pt idx="0">
                  <c:v>Yezd,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(All)'!$BD$7:$BD$107</c:f>
              <c:numCache>
                <c:formatCode>0.0000</c:formatCode>
                <c:ptCount val="81"/>
                <c:pt idx="50">
                  <c:v>200.51741283507897</c:v>
                </c:pt>
                <c:pt idx="51">
                  <c:v>230.17808320401886</c:v>
                </c:pt>
                <c:pt idx="57">
                  <c:v>315.24102564102623</c:v>
                </c:pt>
              </c:numCache>
            </c:numRef>
          </c:val>
          <c:smooth val="0"/>
        </c:ser>
        <c:ser>
          <c:idx val="93"/>
          <c:order val="47"/>
          <c:tx>
            <c:strRef>
              <c:f>'Tea (All)'!$BE$6</c:f>
              <c:strCache>
                <c:ptCount val="1"/>
                <c:pt idx="0">
                  <c:v>Yezd,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(All)'!$BE$7:$BE$107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95"/>
          <c:order val="48"/>
          <c:tx>
            <c:strRef>
              <c:f>'Tea (All)'!$BF$6</c:f>
              <c:strCache>
                <c:ptCount val="1"/>
                <c:pt idx="0">
                  <c:v>Yezd,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(All)'!$BF$7:$BF$107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97"/>
          <c:order val="49"/>
          <c:tx>
            <c:strRef>
              <c:f>'Tea (All)'!$BG$6</c:f>
              <c:strCache>
                <c:ptCount val="1"/>
                <c:pt idx="0">
                  <c:v>Khorasan,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(All)'!$BG$7:$BG$107</c:f>
              <c:numCache>
                <c:formatCode>0.0000</c:formatCode>
                <c:ptCount val="81"/>
                <c:pt idx="47">
                  <c:v>92.358738892240794</c:v>
                </c:pt>
                <c:pt idx="48">
                  <c:v>110.96326008033684</c:v>
                </c:pt>
                <c:pt idx="49">
                  <c:v>141.62863959459713</c:v>
                </c:pt>
                <c:pt idx="50">
                  <c:v>152.90989215952419</c:v>
                </c:pt>
                <c:pt idx="51">
                  <c:v>132.04450697243186</c:v>
                </c:pt>
                <c:pt idx="52">
                  <c:v>181.50163300308347</c:v>
                </c:pt>
                <c:pt idx="53">
                  <c:v>174.84340315171767</c:v>
                </c:pt>
                <c:pt idx="54">
                  <c:v>203.71473089414116</c:v>
                </c:pt>
                <c:pt idx="55">
                  <c:v>167.41601796093082</c:v>
                </c:pt>
                <c:pt idx="56">
                  <c:v>176.67968805650779</c:v>
                </c:pt>
                <c:pt idx="57">
                  <c:v>182.44049814522896</c:v>
                </c:pt>
              </c:numCache>
            </c:numRef>
          </c:val>
          <c:smooth val="0"/>
        </c:ser>
        <c:ser>
          <c:idx val="99"/>
          <c:order val="50"/>
          <c:tx>
            <c:strRef>
              <c:f>'Tea (All)'!$BH$6</c:f>
              <c:strCache>
                <c:ptCount val="1"/>
                <c:pt idx="0">
                  <c:v>Khorasan,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(All)'!$BH$7:$BH$107</c:f>
              <c:numCache>
                <c:formatCode>0.0000</c:formatCode>
                <c:ptCount val="81"/>
                <c:pt idx="47">
                  <c:v>105.15777885079667</c:v>
                </c:pt>
                <c:pt idx="48">
                  <c:v>151.85447101516695</c:v>
                </c:pt>
                <c:pt idx="49">
                  <c:v>125.77589323866806</c:v>
                </c:pt>
                <c:pt idx="50">
                  <c:v>141.34010548935333</c:v>
                </c:pt>
                <c:pt idx="51">
                  <c:v>147.99188004432631</c:v>
                </c:pt>
                <c:pt idx="52">
                  <c:v>186.6736456425019</c:v>
                </c:pt>
                <c:pt idx="53">
                  <c:v>196.08138143272356</c:v>
                </c:pt>
                <c:pt idx="54">
                  <c:v>139.15376335182583</c:v>
                </c:pt>
                <c:pt idx="55">
                  <c:v>182.4198329291296</c:v>
                </c:pt>
                <c:pt idx="56">
                  <c:v>200.14892032762478</c:v>
                </c:pt>
                <c:pt idx="57">
                  <c:v>186.2519602718244</c:v>
                </c:pt>
              </c:numCache>
            </c:numRef>
          </c:val>
          <c:smooth val="0"/>
        </c:ser>
        <c:ser>
          <c:idx val="101"/>
          <c:order val="51"/>
          <c:tx>
            <c:strRef>
              <c:f>'Tea (All)'!$BI$6</c:f>
              <c:strCache>
                <c:ptCount val="1"/>
                <c:pt idx="0">
                  <c:v>Khorasan,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(All)'!$BI$7:$BI$107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03"/>
          <c:order val="52"/>
          <c:tx>
            <c:strRef>
              <c:f>'Tea (All)'!$BJ$6</c:f>
              <c:strCache>
                <c:ptCount val="1"/>
                <c:pt idx="0">
                  <c:v>Kermanshah,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(All)'!$BJ$7:$BJ$107</c:f>
              <c:numCache>
                <c:formatCode>0.0000</c:formatCode>
                <c:ptCount val="81"/>
                <c:pt idx="45">
                  <c:v>100.7156094826034</c:v>
                </c:pt>
                <c:pt idx="46">
                  <c:v>99.426462309167391</c:v>
                </c:pt>
                <c:pt idx="47">
                  <c:v>117.4045906975016</c:v>
                </c:pt>
                <c:pt idx="48">
                  <c:v>115.9513472959212</c:v>
                </c:pt>
                <c:pt idx="49">
                  <c:v>92.144064665308193</c:v>
                </c:pt>
                <c:pt idx="50">
                  <c:v>87.563574571385203</c:v>
                </c:pt>
                <c:pt idx="52">
                  <c:v>116.9986938887744</c:v>
                </c:pt>
                <c:pt idx="53">
                  <c:v>114.23769507803121</c:v>
                </c:pt>
                <c:pt idx="54">
                  <c:v>107.46470920383959</c:v>
                </c:pt>
                <c:pt idx="55">
                  <c:v>105.79901153212519</c:v>
                </c:pt>
                <c:pt idx="56">
                  <c:v>110.88366336633661</c:v>
                </c:pt>
                <c:pt idx="57">
                  <c:v>135.03115814226919</c:v>
                </c:pt>
              </c:numCache>
            </c:numRef>
          </c:val>
          <c:smooth val="0"/>
        </c:ser>
        <c:ser>
          <c:idx val="105"/>
          <c:order val="53"/>
          <c:tx>
            <c:strRef>
              <c:f>'Tea (All)'!$BK$6</c:f>
              <c:strCache>
                <c:ptCount val="1"/>
                <c:pt idx="0">
                  <c:v>Kermanshah,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(All)'!$BK$7:$BK$107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07"/>
          <c:order val="54"/>
          <c:tx>
            <c:strRef>
              <c:f>'Tea (All)'!$BL$6</c:f>
              <c:strCache>
                <c:ptCount val="1"/>
                <c:pt idx="0">
                  <c:v>Kermanshah,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(All)'!$BL$7:$BL$107</c:f>
              <c:numCache>
                <c:formatCode>0.0000</c:formatCode>
                <c:ptCount val="81"/>
                <c:pt idx="47">
                  <c:v>108.82591093117399</c:v>
                </c:pt>
                <c:pt idx="49">
                  <c:v>125.10789540492519</c:v>
                </c:pt>
              </c:numCache>
            </c:numRef>
          </c:val>
          <c:smooth val="0"/>
        </c:ser>
        <c:ser>
          <c:idx val="109"/>
          <c:order val="55"/>
          <c:tx>
            <c:strRef>
              <c:f>'Tea (All)'!$BM$6</c:f>
              <c:strCache>
                <c:ptCount val="1"/>
                <c:pt idx="0">
                  <c:v>Kerman, Imports, in pound/ton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(All)'!$BM$7:$BM$107</c:f>
              <c:numCache>
                <c:formatCode>0.0000</c:formatCode>
                <c:ptCount val="81"/>
                <c:pt idx="39">
                  <c:v>179.20000000000002</c:v>
                </c:pt>
                <c:pt idx="50">
                  <c:v>98.036199095022596</c:v>
                </c:pt>
                <c:pt idx="51">
                  <c:v>98.039215686274602</c:v>
                </c:pt>
                <c:pt idx="52">
                  <c:v>98.031674208144807</c:v>
                </c:pt>
                <c:pt idx="53">
                  <c:v>27.144823367487398</c:v>
                </c:pt>
                <c:pt idx="54">
                  <c:v>118.77828054298641</c:v>
                </c:pt>
                <c:pt idx="55">
                  <c:v>114.25339366515833</c:v>
                </c:pt>
                <c:pt idx="56">
                  <c:v>106.33484162895924</c:v>
                </c:pt>
                <c:pt idx="57">
                  <c:v>96.15384615384616</c:v>
                </c:pt>
              </c:numCache>
            </c:numRef>
          </c:val>
          <c:smooth val="0"/>
        </c:ser>
        <c:ser>
          <c:idx val="111"/>
          <c:order val="56"/>
          <c:tx>
            <c:strRef>
              <c:f>'Tea (All)'!$BN$6</c:f>
              <c:strCache>
                <c:ptCount val="1"/>
                <c:pt idx="0">
                  <c:v>Kerman, Exports, in pound/ton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(All)'!$BN$7:$BN$107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13"/>
          <c:order val="57"/>
          <c:tx>
            <c:strRef>
              <c:f>'Tea (All)'!$BO$6</c:f>
              <c:strCache>
                <c:ptCount val="1"/>
                <c:pt idx="0">
                  <c:v>Kerman, Bazaar (Local), in pound/ton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(All)'!$BO$7:$BO$107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15"/>
          <c:order val="58"/>
          <c:tx>
            <c:strRef>
              <c:f>'Tea (All)'!$BP$6</c:f>
              <c:strCache>
                <c:ptCount val="1"/>
                <c:pt idx="0">
                  <c:v>Bam,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(All)'!$BP$7:$BP$107</c:f>
              <c:numCache>
                <c:formatCode>0.0000</c:formatCode>
                <c:ptCount val="81"/>
                <c:pt idx="57">
                  <c:v>470.51762940735165</c:v>
                </c:pt>
              </c:numCache>
            </c:numRef>
          </c:val>
          <c:smooth val="0"/>
        </c:ser>
        <c:ser>
          <c:idx val="117"/>
          <c:order val="59"/>
          <c:tx>
            <c:strRef>
              <c:f>'Tea (All)'!$BQ$6</c:f>
              <c:strCache>
                <c:ptCount val="1"/>
                <c:pt idx="0">
                  <c:v>Bam,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(All)'!$BQ$7:$BQ$107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19"/>
          <c:order val="60"/>
          <c:tx>
            <c:strRef>
              <c:f>'Tea (All)'!$BR$6</c:f>
              <c:strCache>
                <c:ptCount val="1"/>
                <c:pt idx="0">
                  <c:v>Bam,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(All)'!$BR$7:$BR$107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21"/>
          <c:order val="61"/>
          <c:tx>
            <c:strRef>
              <c:f>'Tea (All)'!$BS$6</c:f>
              <c:strCache>
                <c:ptCount val="1"/>
                <c:pt idx="0">
                  <c:v>Resht,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(All)'!$BS$7:$BS$107</c:f>
              <c:numCache>
                <c:formatCode>0.0000</c:formatCode>
                <c:ptCount val="81"/>
                <c:pt idx="18">
                  <c:v>320.00000000000028</c:v>
                </c:pt>
                <c:pt idx="19">
                  <c:v>308.96551724138016</c:v>
                </c:pt>
                <c:pt idx="20">
                  <c:v>344.71111111111134</c:v>
                </c:pt>
                <c:pt idx="38">
                  <c:v>263.86149463072445</c:v>
                </c:pt>
                <c:pt idx="47">
                  <c:v>114.45795339412358</c:v>
                </c:pt>
              </c:numCache>
            </c:numRef>
          </c:val>
          <c:smooth val="0"/>
        </c:ser>
        <c:ser>
          <c:idx val="123"/>
          <c:order val="62"/>
          <c:tx>
            <c:strRef>
              <c:f>'Tea (All)'!$BT$6</c:f>
              <c:strCache>
                <c:ptCount val="1"/>
                <c:pt idx="0">
                  <c:v>Resht,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(All)'!$BT$7:$BT$107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25"/>
          <c:order val="63"/>
          <c:tx>
            <c:strRef>
              <c:f>'Tea (All)'!$BU$6</c:f>
              <c:strCache>
                <c:ptCount val="1"/>
                <c:pt idx="0">
                  <c:v>Resht,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(All)'!$BU$7:$BU$107</c:f>
              <c:numCache>
                <c:formatCode>0.0000</c:formatCode>
                <c:ptCount val="81"/>
                <c:pt idx="19">
                  <c:v>252.98823529411712</c:v>
                </c:pt>
                <c:pt idx="37">
                  <c:v>280</c:v>
                </c:pt>
                <c:pt idx="38">
                  <c:v>224</c:v>
                </c:pt>
                <c:pt idx="42">
                  <c:v>181.01010101010098</c:v>
                </c:pt>
              </c:numCache>
            </c:numRef>
          </c:val>
          <c:smooth val="0"/>
        </c:ser>
        <c:ser>
          <c:idx val="127"/>
          <c:order val="64"/>
          <c:tx>
            <c:strRef>
              <c:f>'Tea (All)'!$BV$6</c:f>
              <c:strCache>
                <c:ptCount val="1"/>
                <c:pt idx="0">
                  <c:v>Mazandaran,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(All)'!$BV$7:$BV$107</c:f>
              <c:numCache>
                <c:formatCode>0.0000</c:formatCode>
                <c:ptCount val="81"/>
                <c:pt idx="51">
                  <c:v>160.63506642611119</c:v>
                </c:pt>
                <c:pt idx="52">
                  <c:v>178.67199072583236</c:v>
                </c:pt>
                <c:pt idx="53">
                  <c:v>159.82418658907164</c:v>
                </c:pt>
                <c:pt idx="54">
                  <c:v>154.0140142640727</c:v>
                </c:pt>
                <c:pt idx="55">
                  <c:v>140.17603703870884</c:v>
                </c:pt>
              </c:numCache>
            </c:numRef>
          </c:val>
          <c:smooth val="0"/>
        </c:ser>
        <c:ser>
          <c:idx val="129"/>
          <c:order val="65"/>
          <c:tx>
            <c:strRef>
              <c:f>'Tea (All)'!$BW$6</c:f>
              <c:strCache>
                <c:ptCount val="1"/>
                <c:pt idx="0">
                  <c:v>Mazandaran,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(All)'!$BW$7:$BW$107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31"/>
          <c:order val="66"/>
          <c:tx>
            <c:strRef>
              <c:f>'Tea (All)'!$BX$6</c:f>
              <c:strCache>
                <c:ptCount val="1"/>
                <c:pt idx="0">
                  <c:v>Mazandaran,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(All)'!$BX$7:$BX$107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33"/>
          <c:order val="67"/>
          <c:tx>
            <c:strRef>
              <c:f>'Tea (All)'!$BY$6</c:f>
              <c:strCache>
                <c:ptCount val="1"/>
                <c:pt idx="0">
                  <c:v>Ghilan &amp; Tunekabun,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(All)'!$BY$7:$BY$107</c:f>
              <c:numCache>
                <c:formatCode>0.0000</c:formatCode>
                <c:ptCount val="81"/>
                <c:pt idx="51">
                  <c:v>191.59940399628135</c:v>
                </c:pt>
                <c:pt idx="53">
                  <c:v>165.24665517524414</c:v>
                </c:pt>
                <c:pt idx="54">
                  <c:v>197.13474469390911</c:v>
                </c:pt>
                <c:pt idx="55">
                  <c:v>167.98004171050593</c:v>
                </c:pt>
              </c:numCache>
            </c:numRef>
          </c:val>
          <c:smooth val="0"/>
        </c:ser>
        <c:ser>
          <c:idx val="135"/>
          <c:order val="68"/>
          <c:tx>
            <c:strRef>
              <c:f>'Tea (All)'!$BZ$6</c:f>
              <c:strCache>
                <c:ptCount val="1"/>
                <c:pt idx="0">
                  <c:v>Ghilan &amp; Tunekabun,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(All)'!$BZ$7:$BZ$107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37"/>
          <c:order val="69"/>
          <c:tx>
            <c:strRef>
              <c:f>'Tea (All)'!$CA$6</c:f>
              <c:strCache>
                <c:ptCount val="1"/>
                <c:pt idx="0">
                  <c:v>Ghilan &amp; Tunekabun,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(All)'!$CA$7:$CA$107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39"/>
          <c:order val="70"/>
          <c:tx>
            <c:strRef>
              <c:f>'Tea (All)'!$CB$6</c:f>
              <c:strCache>
                <c:ptCount val="1"/>
                <c:pt idx="0">
                  <c:v>Bender Gez &amp; Astarabad,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(All)'!$CB$7:$CB$107</c:f>
              <c:numCache>
                <c:formatCode>0.0000</c:formatCode>
                <c:ptCount val="81"/>
                <c:pt idx="23">
                  <c:v>365.58322683154273</c:v>
                </c:pt>
                <c:pt idx="51">
                  <c:v>153.73589046822741</c:v>
                </c:pt>
                <c:pt idx="52">
                  <c:v>160.09327456277546</c:v>
                </c:pt>
                <c:pt idx="53">
                  <c:v>142.00634225449593</c:v>
                </c:pt>
                <c:pt idx="54">
                  <c:v>147.13929061508767</c:v>
                </c:pt>
                <c:pt idx="55">
                  <c:v>143.47501418007903</c:v>
                </c:pt>
              </c:numCache>
            </c:numRef>
          </c:val>
          <c:smooth val="0"/>
        </c:ser>
        <c:ser>
          <c:idx val="141"/>
          <c:order val="71"/>
          <c:tx>
            <c:strRef>
              <c:f>'Tea (All)'!$CC$6</c:f>
              <c:strCache>
                <c:ptCount val="1"/>
                <c:pt idx="0">
                  <c:v>Bender Gez &amp; Astarabad,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(All)'!$CC$7:$CC$107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43"/>
          <c:order val="72"/>
          <c:tx>
            <c:strRef>
              <c:f>'Tea (All)'!$CD$6</c:f>
              <c:strCache>
                <c:ptCount val="1"/>
                <c:pt idx="0">
                  <c:v>Bender Gez &amp; Astarabad,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(All)'!$CD$7:$CD$107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45"/>
          <c:order val="73"/>
          <c:tx>
            <c:strRef>
              <c:f>'Tea (All)'!$CE$6</c:f>
              <c:strCache>
                <c:ptCount val="1"/>
                <c:pt idx="0">
                  <c:v>Astara,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(All)'!$CE$7:$CE$107</c:f>
              <c:numCache>
                <c:formatCode>0.0000</c:formatCode>
                <c:ptCount val="81"/>
                <c:pt idx="53">
                  <c:v>127.76238655608154</c:v>
                </c:pt>
                <c:pt idx="54">
                  <c:v>172.77032457496134</c:v>
                </c:pt>
                <c:pt idx="55">
                  <c:v>182.05352157042424</c:v>
                </c:pt>
              </c:numCache>
            </c:numRef>
          </c:val>
          <c:smooth val="0"/>
        </c:ser>
        <c:ser>
          <c:idx val="147"/>
          <c:order val="74"/>
          <c:tx>
            <c:strRef>
              <c:f>'Tea (All)'!$CF$6</c:f>
              <c:strCache>
                <c:ptCount val="1"/>
                <c:pt idx="0">
                  <c:v>Astara,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(All)'!$CF$7:$CF$107</c:f>
              <c:numCache>
                <c:formatCode>0.0000</c:formatCode>
                <c:ptCount val="81"/>
                <c:pt idx="53">
                  <c:v>236.35776297193536</c:v>
                </c:pt>
                <c:pt idx="54">
                  <c:v>194.92318795752141</c:v>
                </c:pt>
                <c:pt idx="55">
                  <c:v>196.14975995326859</c:v>
                </c:pt>
              </c:numCache>
            </c:numRef>
          </c:val>
          <c:smooth val="0"/>
        </c:ser>
        <c:ser>
          <c:idx val="149"/>
          <c:order val="75"/>
          <c:tx>
            <c:strRef>
              <c:f>'Tea (All)'!$CG$6</c:f>
              <c:strCache>
                <c:ptCount val="1"/>
                <c:pt idx="0">
                  <c:v>Astara,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(All)'!$CG$7:$CG$107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51"/>
          <c:order val="76"/>
          <c:tx>
            <c:strRef>
              <c:f>'Tea (All)'!$CH$6</c:f>
              <c:strCache>
                <c:ptCount val="1"/>
                <c:pt idx="0">
                  <c:v>Sultanabad,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(All)'!$CH$7:$CH$107</c:f>
              <c:numCache>
                <c:formatCode>0.0000</c:formatCode>
                <c:ptCount val="81"/>
                <c:pt idx="56">
                  <c:v>449.12</c:v>
                </c:pt>
                <c:pt idx="57">
                  <c:v>328.5333333333341</c:v>
                </c:pt>
              </c:numCache>
            </c:numRef>
          </c:val>
          <c:smooth val="0"/>
        </c:ser>
        <c:ser>
          <c:idx val="153"/>
          <c:order val="77"/>
          <c:tx>
            <c:strRef>
              <c:f>'Tea (All)'!$CI$6</c:f>
              <c:strCache>
                <c:ptCount val="1"/>
                <c:pt idx="0">
                  <c:v>Sultanabad,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(All)'!$CI$7:$CI$107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55"/>
          <c:order val="78"/>
          <c:tx>
            <c:strRef>
              <c:f>'Tea (All)'!$CJ$6</c:f>
              <c:strCache>
                <c:ptCount val="1"/>
                <c:pt idx="0">
                  <c:v>Sultanabad,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(All)'!$CJ$7:$CJ$107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56"/>
          <c:order val="79"/>
          <c:tx>
            <c:strRef>
              <c:f>'Tea (All)'!$CK$6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(All)'!$CK$7:$CK$107</c:f>
              <c:numCache>
                <c:formatCode>0.0000</c:formatCode>
                <c:ptCount val="81"/>
                <c:pt idx="48">
                  <c:v>55.974981384958944</c:v>
                </c:pt>
                <c:pt idx="49">
                  <c:v>55.979940298507451</c:v>
                </c:pt>
                <c:pt idx="50">
                  <c:v>65.218541089565917</c:v>
                </c:pt>
                <c:pt idx="51">
                  <c:v>59.733333333333405</c:v>
                </c:pt>
                <c:pt idx="52">
                  <c:v>74.666666666666586</c:v>
                </c:pt>
                <c:pt idx="53">
                  <c:v>74.66639844334675</c:v>
                </c:pt>
                <c:pt idx="54">
                  <c:v>79.333168462580261</c:v>
                </c:pt>
                <c:pt idx="55">
                  <c:v>79.999999999999972</c:v>
                </c:pt>
                <c:pt idx="56">
                  <c:v>93.319610264855299</c:v>
                </c:pt>
                <c:pt idx="57">
                  <c:v>87.148801836705516</c:v>
                </c:pt>
                <c:pt idx="58">
                  <c:v>88.28115942028991</c:v>
                </c:pt>
              </c:numCache>
            </c:numRef>
          </c:val>
          <c:smooth val="0"/>
        </c:ser>
        <c:ser>
          <c:idx val="157"/>
          <c:order val="80"/>
          <c:tx>
            <c:strRef>
              <c:f>'Tea (All)'!$CL$6</c:f>
              <c:strCache>
                <c:ptCount val="1"/>
                <c:pt idx="0">
                  <c:v>Bahrain, Exports,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(All)'!$CL$7:$CL$107</c:f>
              <c:numCache>
                <c:formatCode>0.0000</c:formatCode>
                <c:ptCount val="81"/>
                <c:pt idx="48">
                  <c:v>56</c:v>
                </c:pt>
                <c:pt idx="49">
                  <c:v>65.075098814229278</c:v>
                </c:pt>
                <c:pt idx="50">
                  <c:v>64.678285445124729</c:v>
                </c:pt>
                <c:pt idx="51">
                  <c:v>60.664401294498397</c:v>
                </c:pt>
                <c:pt idx="52">
                  <c:v>77.353556485355583</c:v>
                </c:pt>
                <c:pt idx="53">
                  <c:v>74.666666666666586</c:v>
                </c:pt>
                <c:pt idx="54">
                  <c:v>79.11452848586157</c:v>
                </c:pt>
                <c:pt idx="55">
                  <c:v>74.666666666666586</c:v>
                </c:pt>
                <c:pt idx="56">
                  <c:v>62.826241134751811</c:v>
                </c:pt>
                <c:pt idx="57">
                  <c:v>58.237154150197568</c:v>
                </c:pt>
                <c:pt idx="58">
                  <c:v>85.667711598746138</c:v>
                </c:pt>
              </c:numCache>
            </c:numRef>
          </c:val>
          <c:smooth val="0"/>
        </c:ser>
        <c:ser>
          <c:idx val="158"/>
          <c:order val="81"/>
          <c:tx>
            <c:strRef>
              <c:f>'Tea (All)'!$CM$6</c:f>
              <c:strCache>
                <c:ptCount val="1"/>
                <c:pt idx="0">
                  <c:v>Bahrain,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(All)'!$CM$7:$CM$107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60"/>
          <c:order val="82"/>
          <c:tx>
            <c:strRef>
              <c:f>'Tea (All)'!$CN$6</c:f>
              <c:strCache>
                <c:ptCount val="1"/>
                <c:pt idx="0">
                  <c:v>Muscat, Imports,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(All)'!$CN$7:$CN$107</c:f>
              <c:numCache>
                <c:formatCode>0.0000</c:formatCode>
                <c:ptCount val="81"/>
                <c:pt idx="20">
                  <c:v>43.591060087892004</c:v>
                </c:pt>
                <c:pt idx="21">
                  <c:v>40.429510674923996</c:v>
                </c:pt>
                <c:pt idx="22">
                  <c:v>42.010285381408004</c:v>
                </c:pt>
                <c:pt idx="23">
                  <c:v>40.285803883425402</c:v>
                </c:pt>
                <c:pt idx="24">
                  <c:v>39.279856342935602</c:v>
                </c:pt>
                <c:pt idx="29">
                  <c:v>8.7301875835366012</c:v>
                </c:pt>
                <c:pt idx="30">
                  <c:v>14.888023599249241</c:v>
                </c:pt>
                <c:pt idx="31">
                  <c:v>13.041391328492939</c:v>
                </c:pt>
                <c:pt idx="32">
                  <c:v>19.02784368915918</c:v>
                </c:pt>
                <c:pt idx="33">
                  <c:v>16.430476494666959</c:v>
                </c:pt>
                <c:pt idx="34">
                  <c:v>12.60219853546252</c:v>
                </c:pt>
                <c:pt idx="35">
                  <c:v>7.3194659136592204</c:v>
                </c:pt>
                <c:pt idx="36">
                  <c:v>12.08813627821926</c:v>
                </c:pt>
                <c:pt idx="37">
                  <c:v>11.078487199160541</c:v>
                </c:pt>
                <c:pt idx="38">
                  <c:v>24.7635543110292</c:v>
                </c:pt>
                <c:pt idx="39">
                  <c:v>22.178748154608797</c:v>
                </c:pt>
                <c:pt idx="56">
                  <c:v>48.8888888888888</c:v>
                </c:pt>
              </c:numCache>
            </c:numRef>
          </c:val>
          <c:smooth val="0"/>
        </c:ser>
        <c:ser>
          <c:idx val="162"/>
          <c:order val="83"/>
          <c:tx>
            <c:strRef>
              <c:f>'Tea (All)'!$CO$6</c:f>
              <c:strCache>
                <c:ptCount val="1"/>
                <c:pt idx="0">
                  <c:v>Muscat, Exports, in pound/ton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(All)'!$CO$7:$CO$107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64"/>
          <c:order val="84"/>
          <c:tx>
            <c:strRef>
              <c:f>'Tea (All)'!$CP$6</c:f>
              <c:strCache>
                <c:ptCount val="1"/>
                <c:pt idx="0">
                  <c:v>Muscat, Bazaar (Local), in pound/ton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(All)'!$CP$7:$CP$107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66"/>
          <c:order val="85"/>
          <c:tx>
            <c:strRef>
              <c:f>'Tea (All)'!$CQ$6</c:f>
              <c:strCache>
                <c:ptCount val="1"/>
                <c:pt idx="0">
                  <c:v>Mohammerah, Imports, in pound/ton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(All)'!$CQ$7:$CQ$107</c:f>
              <c:numCache>
                <c:formatCode>0.0000</c:formatCode>
                <c:ptCount val="81"/>
                <c:pt idx="35">
                  <c:v>116.87899684426699</c:v>
                </c:pt>
                <c:pt idx="36">
                  <c:v>71.594427244582008</c:v>
                </c:pt>
                <c:pt idx="37">
                  <c:v>56.561085972850606</c:v>
                </c:pt>
                <c:pt idx="40">
                  <c:v>81.658031088082993</c:v>
                </c:pt>
                <c:pt idx="41">
                  <c:v>92.959183673469411</c:v>
                </c:pt>
                <c:pt idx="42">
                  <c:v>89.824561403508795</c:v>
                </c:pt>
                <c:pt idx="43">
                  <c:v>73.567839195979801</c:v>
                </c:pt>
                <c:pt idx="44">
                  <c:v>66.785714285714192</c:v>
                </c:pt>
                <c:pt idx="45">
                  <c:v>63.647416413373804</c:v>
                </c:pt>
                <c:pt idx="46">
                  <c:v>60</c:v>
                </c:pt>
                <c:pt idx="47">
                  <c:v>43.263347330533797</c:v>
                </c:pt>
                <c:pt idx="51">
                  <c:v>119.87041036717059</c:v>
                </c:pt>
                <c:pt idx="52">
                  <c:v>124.39909297052161</c:v>
                </c:pt>
                <c:pt idx="53">
                  <c:v>156.71159874608159</c:v>
                </c:pt>
                <c:pt idx="54">
                  <c:v>123.0799605133268</c:v>
                </c:pt>
                <c:pt idx="55">
                  <c:v>107.10563380281681</c:v>
                </c:pt>
                <c:pt idx="56">
                  <c:v>97.55660377358501</c:v>
                </c:pt>
                <c:pt idx="57">
                  <c:v>166.03125</c:v>
                </c:pt>
              </c:numCache>
            </c:numRef>
          </c:val>
          <c:smooth val="0"/>
        </c:ser>
        <c:ser>
          <c:idx val="168"/>
          <c:order val="86"/>
          <c:tx>
            <c:strRef>
              <c:f>'Tea (All)'!$CR$6</c:f>
              <c:strCache>
                <c:ptCount val="1"/>
                <c:pt idx="0">
                  <c:v>Mohammerah,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(All)'!$CR$7:$CR$107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70"/>
          <c:order val="87"/>
          <c:tx>
            <c:strRef>
              <c:f>'Tea (All)'!$CS$6</c:f>
              <c:strCache>
                <c:ptCount val="1"/>
                <c:pt idx="0">
                  <c:v>Mohammerah,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(All)'!$CS$7:$CS$107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72"/>
          <c:order val="88"/>
          <c:tx>
            <c:strRef>
              <c:f>'Tea (All)'!$CT$6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(All)'!$CT$7:$CT$107</c:f>
              <c:numCache>
                <c:formatCode>0.0000</c:formatCode>
                <c:ptCount val="81"/>
                <c:pt idx="32">
                  <c:v>202.66124702814602</c:v>
                </c:pt>
                <c:pt idx="33">
                  <c:v>52.9508038894772</c:v>
                </c:pt>
                <c:pt idx="34">
                  <c:v>54.140797642849599</c:v>
                </c:pt>
                <c:pt idx="35">
                  <c:v>58.3649715761576</c:v>
                </c:pt>
                <c:pt idx="36">
                  <c:v>80.769230769230802</c:v>
                </c:pt>
                <c:pt idx="37">
                  <c:v>89.230769230769198</c:v>
                </c:pt>
                <c:pt idx="38">
                  <c:v>82.823369944385803</c:v>
                </c:pt>
                <c:pt idx="39">
                  <c:v>70.407239819004602</c:v>
                </c:pt>
                <c:pt idx="40">
                  <c:v>75.452488687782804</c:v>
                </c:pt>
                <c:pt idx="41">
                  <c:v>86.538461538461604</c:v>
                </c:pt>
                <c:pt idx="42">
                  <c:v>84.766214177978796</c:v>
                </c:pt>
                <c:pt idx="43">
                  <c:v>84.841628959275994</c:v>
                </c:pt>
                <c:pt idx="44">
                  <c:v>144.79638009049779</c:v>
                </c:pt>
                <c:pt idx="45">
                  <c:v>90.497737556560992</c:v>
                </c:pt>
                <c:pt idx="46">
                  <c:v>90.497737556560992</c:v>
                </c:pt>
                <c:pt idx="47">
                  <c:v>88.25</c:v>
                </c:pt>
                <c:pt idx="48">
                  <c:v>110</c:v>
                </c:pt>
                <c:pt idx="49">
                  <c:v>133</c:v>
                </c:pt>
                <c:pt idx="50">
                  <c:v>133.86666666666659</c:v>
                </c:pt>
                <c:pt idx="51">
                  <c:v>154.78260869565221</c:v>
                </c:pt>
                <c:pt idx="52">
                  <c:v>144.7272727272728</c:v>
                </c:pt>
                <c:pt idx="53">
                  <c:v>132.74725274725282</c:v>
                </c:pt>
              </c:numCache>
            </c:numRef>
          </c:val>
          <c:smooth val="0"/>
        </c:ser>
        <c:ser>
          <c:idx val="174"/>
          <c:order val="89"/>
          <c:tx>
            <c:strRef>
              <c:f>'Tea (All)'!$CU$6</c:f>
              <c:strCache>
                <c:ptCount val="1"/>
                <c:pt idx="0">
                  <c:v>Lingah,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(All)'!$CU$7:$CU$107</c:f>
              <c:numCache>
                <c:formatCode>0.0000</c:formatCode>
                <c:ptCount val="81"/>
                <c:pt idx="32">
                  <c:v>133.45794392523359</c:v>
                </c:pt>
                <c:pt idx="33">
                  <c:v>77.322331647591199</c:v>
                </c:pt>
                <c:pt idx="34">
                  <c:v>54.108787140461402</c:v>
                </c:pt>
                <c:pt idx="35">
                  <c:v>58.832801720940601</c:v>
                </c:pt>
                <c:pt idx="36">
                  <c:v>80.788084464554998</c:v>
                </c:pt>
                <c:pt idx="37">
                  <c:v>94.901150961158791</c:v>
                </c:pt>
                <c:pt idx="38">
                  <c:v>92.760180995475196</c:v>
                </c:pt>
                <c:pt idx="39">
                  <c:v>67.995597407362197</c:v>
                </c:pt>
                <c:pt idx="40">
                  <c:v>73.995208943305798</c:v>
                </c:pt>
                <c:pt idx="41">
                  <c:v>72.398190045248796</c:v>
                </c:pt>
                <c:pt idx="42">
                  <c:v>84.961971695388399</c:v>
                </c:pt>
                <c:pt idx="43">
                  <c:v>84.880636604774594</c:v>
                </c:pt>
                <c:pt idx="44">
                  <c:v>92.031597515146785</c:v>
                </c:pt>
                <c:pt idx="45">
                  <c:v>90.497737556560992</c:v>
                </c:pt>
                <c:pt idx="46">
                  <c:v>90.497737556560992</c:v>
                </c:pt>
              </c:numCache>
            </c:numRef>
          </c:val>
          <c:smooth val="0"/>
        </c:ser>
        <c:ser>
          <c:idx val="176"/>
          <c:order val="90"/>
          <c:tx>
            <c:strRef>
              <c:f>'Tea (All)'!$CV$6</c:f>
              <c:strCache>
                <c:ptCount val="1"/>
                <c:pt idx="0">
                  <c:v>Lingah,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(All)'!$CV$7:$CV$107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78"/>
          <c:order val="91"/>
          <c:tx>
            <c:strRef>
              <c:f>'Tea (All)'!$CW$6</c:f>
              <c:strCache>
                <c:ptCount val="1"/>
                <c:pt idx="0">
                  <c:v>Shiraz, Imports,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(All)'!$CW$7:$CW$107</c:f>
              <c:numCache>
                <c:formatCode>General</c:formatCode>
                <c:ptCount val="81"/>
                <c:pt idx="32" formatCode="0.0000">
                  <c:v>122.56582001804941</c:v>
                </c:pt>
                <c:pt idx="33" formatCode="0.0000">
                  <c:v>102.78180565065821</c:v>
                </c:pt>
                <c:pt idx="34" formatCode="0.0000">
                  <c:v>116.41622483727741</c:v>
                </c:pt>
                <c:pt idx="35" formatCode="0.0000">
                  <c:v>137.66021703521699</c:v>
                </c:pt>
                <c:pt idx="36" formatCode="0.0000">
                  <c:v>106.0624590036354</c:v>
                </c:pt>
                <c:pt idx="37" formatCode="0.0000">
                  <c:v>99.389140271493204</c:v>
                </c:pt>
                <c:pt idx="38" formatCode="0.0000">
                  <c:v>98.124057315233813</c:v>
                </c:pt>
                <c:pt idx="39" formatCode="0.0000">
                  <c:v>100.55429864253399</c:v>
                </c:pt>
                <c:pt idx="40" formatCode="0.0000">
                  <c:v>75.414781297134198</c:v>
                </c:pt>
                <c:pt idx="41" formatCode="0.0000">
                  <c:v>75.414781297134198</c:v>
                </c:pt>
                <c:pt idx="42" formatCode="0.0000">
                  <c:v>70.592182521180604</c:v>
                </c:pt>
                <c:pt idx="43" formatCode="0.0000">
                  <c:v>98.379633335234203</c:v>
                </c:pt>
                <c:pt idx="44" formatCode="0.0000">
                  <c:v>98.926513393692389</c:v>
                </c:pt>
                <c:pt idx="45" formatCode="0.0000">
                  <c:v>90.654558358903401</c:v>
                </c:pt>
                <c:pt idx="46" formatCode="0.0000">
                  <c:v>106.2736945089886</c:v>
                </c:pt>
              </c:numCache>
            </c:numRef>
          </c:val>
          <c:smooth val="0"/>
        </c:ser>
        <c:ser>
          <c:idx val="180"/>
          <c:order val="92"/>
          <c:tx>
            <c:strRef>
              <c:f>'Tea (All)'!$CX$6</c:f>
              <c:strCache>
                <c:ptCount val="1"/>
                <c:pt idx="0">
                  <c:v>Shiraz,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(All)'!$CX$7:$CX$107</c:f>
              <c:numCache>
                <c:formatCode>General</c:formatCode>
                <c:ptCount val="81"/>
              </c:numCache>
            </c:numRef>
          </c:val>
          <c:smooth val="0"/>
        </c:ser>
        <c:ser>
          <c:idx val="182"/>
          <c:order val="93"/>
          <c:tx>
            <c:strRef>
              <c:f>'Tea (All)'!$CY$6</c:f>
              <c:strCache>
                <c:ptCount val="1"/>
                <c:pt idx="0">
                  <c:v>Shiraz,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(All)'!$CY$7:$CY$107</c:f>
              <c:numCache>
                <c:formatCode>General</c:formatCode>
                <c:ptCount val="81"/>
              </c:numCache>
            </c:numRef>
          </c:val>
          <c:smooth val="0"/>
        </c:ser>
        <c:ser>
          <c:idx val="0"/>
          <c:order val="94"/>
          <c:tx>
            <c:strRef>
              <c:f>'Tea (All)'!$CZ$6</c:f>
              <c:strCache>
                <c:ptCount val="1"/>
                <c:pt idx="0">
                  <c:v>India, Imports, in pound/ton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(All)'!$CZ$7:$CZ$107</c:f>
              <c:numCache>
                <c:formatCode>General</c:formatCode>
                <c:ptCount val="81"/>
                <c:pt idx="13" formatCode="0.0000">
                  <c:v>224.60280825062134</c:v>
                </c:pt>
                <c:pt idx="14" formatCode="0.0000">
                  <c:v>222.98612062567088</c:v>
                </c:pt>
                <c:pt idx="15" formatCode="0.0000">
                  <c:v>223.55067551977237</c:v>
                </c:pt>
                <c:pt idx="16" formatCode="0.0000">
                  <c:v>223.99960720773802</c:v>
                </c:pt>
                <c:pt idx="17" formatCode="0.0000">
                  <c:v>224.00011061023767</c:v>
                </c:pt>
                <c:pt idx="18" formatCode="0.0000">
                  <c:v>223.99990915583464</c:v>
                </c:pt>
                <c:pt idx="19" formatCode="0.0000">
                  <c:v>224.0023275005455</c:v>
                </c:pt>
                <c:pt idx="20" formatCode="0.0000">
                  <c:v>223.78211845604551</c:v>
                </c:pt>
                <c:pt idx="21" formatCode="0.0000">
                  <c:v>200.11079660681784</c:v>
                </c:pt>
                <c:pt idx="22" formatCode="0.0000">
                  <c:v>178.79929356805104</c:v>
                </c:pt>
                <c:pt idx="23" formatCode="0.0000">
                  <c:v>183.7979228017854</c:v>
                </c:pt>
                <c:pt idx="24" formatCode="0.0000">
                  <c:v>160.43082950813374</c:v>
                </c:pt>
                <c:pt idx="25" formatCode="0.0000">
                  <c:v>187.41980921027195</c:v>
                </c:pt>
                <c:pt idx="26" formatCode="0.0000">
                  <c:v>182.91923897343099</c:v>
                </c:pt>
                <c:pt idx="27" formatCode="0.0000">
                  <c:v>157.21423922013545</c:v>
                </c:pt>
                <c:pt idx="28" formatCode="0.0000">
                  <c:v>157.18761143330721</c:v>
                </c:pt>
                <c:pt idx="29" formatCode="0.0000">
                  <c:v>174.21464599351265</c:v>
                </c:pt>
                <c:pt idx="30" formatCode="0.0000">
                  <c:v>188.21630740354925</c:v>
                </c:pt>
                <c:pt idx="31" formatCode="0.0000">
                  <c:v>170.14470357648483</c:v>
                </c:pt>
                <c:pt idx="32" formatCode="0.0000">
                  <c:v>172.35013200162683</c:v>
                </c:pt>
                <c:pt idx="33" formatCode="0.0000">
                  <c:v>160.97045370255901</c:v>
                </c:pt>
                <c:pt idx="34" formatCode="0.0000">
                  <c:v>149.39758389126587</c:v>
                </c:pt>
                <c:pt idx="35" formatCode="0.0000">
                  <c:v>151.3408860843445</c:v>
                </c:pt>
                <c:pt idx="36" formatCode="0.0000">
                  <c:v>152.68650283186108</c:v>
                </c:pt>
                <c:pt idx="37" formatCode="0.0000">
                  <c:v>156.25342101241031</c:v>
                </c:pt>
                <c:pt idx="38" formatCode="0.0000">
                  <c:v>164.88326935788061</c:v>
                </c:pt>
                <c:pt idx="39" formatCode="0.0000">
                  <c:v>166.66674558001768</c:v>
                </c:pt>
                <c:pt idx="40" formatCode="0.0000">
                  <c:v>75.724368298428985</c:v>
                </c:pt>
                <c:pt idx="41" formatCode="0.0000">
                  <c:v>84.67382754550863</c:v>
                </c:pt>
                <c:pt idx="42" formatCode="0.0000">
                  <c:v>90.599041725887361</c:v>
                </c:pt>
                <c:pt idx="43" formatCode="0.0000">
                  <c:v>82.346748871993569</c:v>
                </c:pt>
                <c:pt idx="44" formatCode="0.0000">
                  <c:v>75.471353282822889</c:v>
                </c:pt>
                <c:pt idx="45" formatCode="0.0000">
                  <c:v>73.961495558536683</c:v>
                </c:pt>
                <c:pt idx="46" formatCode="0.0000">
                  <c:v>76.546701543326549</c:v>
                </c:pt>
                <c:pt idx="47" formatCode="0.0000">
                  <c:v>74.745959312422315</c:v>
                </c:pt>
                <c:pt idx="48" formatCode="0.0000">
                  <c:v>79.929382850915331</c:v>
                </c:pt>
                <c:pt idx="50" formatCode="0.0000">
                  <c:v>75.815303411709863</c:v>
                </c:pt>
                <c:pt idx="51" formatCode="0.0000">
                  <c:v>72.12354366836594</c:v>
                </c:pt>
                <c:pt idx="52" formatCode="0.0000">
                  <c:v>89.853722695729118</c:v>
                </c:pt>
                <c:pt idx="53" formatCode="0.0000">
                  <c:v>86.813650908759882</c:v>
                </c:pt>
                <c:pt idx="54" formatCode="0.0000">
                  <c:v>72.402141784631652</c:v>
                </c:pt>
                <c:pt idx="55" formatCode="0.0000">
                  <c:v>71.346528835980777</c:v>
                </c:pt>
                <c:pt idx="56" formatCode="0.0000">
                  <c:v>66.99572159979175</c:v>
                </c:pt>
                <c:pt idx="57" formatCode="0.0000">
                  <c:v>66.196010294297366</c:v>
                </c:pt>
                <c:pt idx="58" formatCode="0.0000">
                  <c:v>69.206844918839892</c:v>
                </c:pt>
                <c:pt idx="59" formatCode="0.0000">
                  <c:v>71.533550744133294</c:v>
                </c:pt>
                <c:pt idx="60" formatCode="0.0000">
                  <c:v>72.372320282501235</c:v>
                </c:pt>
                <c:pt idx="61" formatCode="0.0000">
                  <c:v>81.389686731012134</c:v>
                </c:pt>
                <c:pt idx="62" formatCode="0.0000">
                  <c:v>87.762654972754646</c:v>
                </c:pt>
                <c:pt idx="63" formatCode="0.0000">
                  <c:v>93.976961550338999</c:v>
                </c:pt>
                <c:pt idx="64" formatCode="0.0000">
                  <c:v>119.12064427446316</c:v>
                </c:pt>
                <c:pt idx="65" formatCode="0.0000">
                  <c:v>163.22423742182917</c:v>
                </c:pt>
              </c:numCache>
            </c:numRef>
          </c:val>
          <c:smooth val="0"/>
        </c:ser>
        <c:ser>
          <c:idx val="3"/>
          <c:order val="95"/>
          <c:tx>
            <c:strRef>
              <c:f>'Tea (All)'!$DA$6</c:f>
              <c:strCache>
                <c:ptCount val="1"/>
                <c:pt idx="0">
                  <c:v>India, Exports, in pound/ton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(All)'!$DA$7:$DA$107</c:f>
              <c:numCache>
                <c:formatCode>General</c:formatCode>
                <c:ptCount val="81"/>
                <c:pt idx="13" formatCode="0.0000">
                  <c:v>209.25228405711681</c:v>
                </c:pt>
                <c:pt idx="14" formatCode="0.0000">
                  <c:v>191.94902394232582</c:v>
                </c:pt>
                <c:pt idx="15" formatCode="0.0000">
                  <c:v>189.77179120437458</c:v>
                </c:pt>
                <c:pt idx="16" formatCode="0.0000">
                  <c:v>162.01798754385783</c:v>
                </c:pt>
                <c:pt idx="17" formatCode="0.0000">
                  <c:v>151.78305149263724</c:v>
                </c:pt>
                <c:pt idx="18" formatCode="0.0000">
                  <c:v>155.91770397913982</c:v>
                </c:pt>
                <c:pt idx="19" formatCode="0.0000">
                  <c:v>186.16218002311228</c:v>
                </c:pt>
                <c:pt idx="20" formatCode="0.0000">
                  <c:v>183.29794202658434</c:v>
                </c:pt>
                <c:pt idx="21" formatCode="0.0000">
                  <c:v>151.14687287327141</c:v>
                </c:pt>
                <c:pt idx="22" formatCode="0.0000">
                  <c:v>162.0054090893166</c:v>
                </c:pt>
                <c:pt idx="23" formatCode="0.0000">
                  <c:v>123.78935063353461</c:v>
                </c:pt>
                <c:pt idx="24" formatCode="0.0000">
                  <c:v>108.41871410423558</c:v>
                </c:pt>
                <c:pt idx="25" formatCode="0.0000">
                  <c:v>112.34387234817174</c:v>
                </c:pt>
                <c:pt idx="26" formatCode="0.0000">
                  <c:v>98.61313855595985</c:v>
                </c:pt>
                <c:pt idx="27" formatCode="0.0000">
                  <c:v>105.81225663355191</c:v>
                </c:pt>
                <c:pt idx="28" formatCode="0.0000">
                  <c:v>90.451055222251398</c:v>
                </c:pt>
                <c:pt idx="29" formatCode="0.0000">
                  <c:v>86.276727918100534</c:v>
                </c:pt>
                <c:pt idx="30" formatCode="0.0000">
                  <c:v>75.858768044236385</c:v>
                </c:pt>
                <c:pt idx="31" formatCode="0.0000">
                  <c:v>79.11830106676021</c:v>
                </c:pt>
                <c:pt idx="32" formatCode="0.0000">
                  <c:v>64.522856189522855</c:v>
                </c:pt>
                <c:pt idx="33" formatCode="0.0000">
                  <c:v>58.81055297721965</c:v>
                </c:pt>
                <c:pt idx="34" formatCode="0.0000">
                  <c:v>52.752411502411505</c:v>
                </c:pt>
                <c:pt idx="35" formatCode="0.0000">
                  <c:v>64.382185215518547</c:v>
                </c:pt>
                <c:pt idx="36" formatCode="0.0000">
                  <c:v>60.471532138198803</c:v>
                </c:pt>
                <c:pt idx="37" formatCode="0.0000">
                  <c:v>44.275184275184266</c:v>
                </c:pt>
                <c:pt idx="38" formatCode="0.0000">
                  <c:v>56.526068004627007</c:v>
                </c:pt>
                <c:pt idx="39" formatCode="0.0000">
                  <c:v>36.78972972899394</c:v>
                </c:pt>
                <c:pt idx="40" formatCode="0.0000">
                  <c:v>54.479960165695957</c:v>
                </c:pt>
                <c:pt idx="41" formatCode="0.0000">
                  <c:v>51.13184644846018</c:v>
                </c:pt>
                <c:pt idx="42" formatCode="0.0000">
                  <c:v>49.428283064191724</c:v>
                </c:pt>
                <c:pt idx="43" formatCode="0.0000">
                  <c:v>49.448294847522135</c:v>
                </c:pt>
                <c:pt idx="44" formatCode="0.0000">
                  <c:v>45.811146923617251</c:v>
                </c:pt>
                <c:pt idx="45" formatCode="0.0000">
                  <c:v>49.232804205706117</c:v>
                </c:pt>
                <c:pt idx="46" formatCode="0.0000">
                  <c:v>37.836258880580395</c:v>
                </c:pt>
                <c:pt idx="47" formatCode="0.0000">
                  <c:v>42.841616948691588</c:v>
                </c:pt>
                <c:pt idx="48" formatCode="0.0000">
                  <c:v>46.744314456777978</c:v>
                </c:pt>
                <c:pt idx="49" formatCode="0.0000">
                  <c:v>49.492147343359044</c:v>
                </c:pt>
                <c:pt idx="50" formatCode="0.0000">
                  <c:v>42.837897898052795</c:v>
                </c:pt>
                <c:pt idx="51" formatCode="0.0000">
                  <c:v>43.792538160538605</c:v>
                </c:pt>
                <c:pt idx="52" formatCode="0.0000">
                  <c:v>59.743327195435022</c:v>
                </c:pt>
                <c:pt idx="53" formatCode="0.0000">
                  <c:v>63.193493582613854</c:v>
                </c:pt>
                <c:pt idx="54" formatCode="0.0000">
                  <c:v>54.149481034159201</c:v>
                </c:pt>
                <c:pt idx="55" formatCode="0.0000">
                  <c:v>54.944951368967615</c:v>
                </c:pt>
                <c:pt idx="56" formatCode="0.0000">
                  <c:v>61.430755664451027</c:v>
                </c:pt>
                <c:pt idx="57" formatCode="0.0000">
                  <c:v>61.070698971971645</c:v>
                </c:pt>
                <c:pt idx="58" formatCode="0.0000">
                  <c:v>57.562550512179769</c:v>
                </c:pt>
                <c:pt idx="59" formatCode="0.0000">
                  <c:v>39.068750000000001</c:v>
                </c:pt>
                <c:pt idx="60" formatCode="0.0000">
                  <c:v>53.174395938284114</c:v>
                </c:pt>
                <c:pt idx="61" formatCode="0.0000">
                  <c:v>51.880273610147562</c:v>
                </c:pt>
                <c:pt idx="62" formatCode="0.0000">
                  <c:v>48.303365714329281</c:v>
                </c:pt>
                <c:pt idx="63" formatCode="0.0000">
                  <c:v>41.923257732956387</c:v>
                </c:pt>
                <c:pt idx="64" formatCode="0.0000">
                  <c:v>42.17954324631922</c:v>
                </c:pt>
                <c:pt idx="65" formatCode="0.0000">
                  <c:v>50.144582238052784</c:v>
                </c:pt>
                <c:pt idx="66" formatCode="0.0000">
                  <c:v>18.287500000000001</c:v>
                </c:pt>
                <c:pt idx="67" formatCode="0.0000">
                  <c:v>54.250000000000007</c:v>
                </c:pt>
                <c:pt idx="68" formatCode="0.0000">
                  <c:v>79.40625</c:v>
                </c:pt>
                <c:pt idx="69" formatCode="0.0000">
                  <c:v>76.5625</c:v>
                </c:pt>
                <c:pt idx="70" formatCode="0.0000">
                  <c:v>73.5</c:v>
                </c:pt>
                <c:pt idx="71" formatCode="0.0000">
                  <c:v>71.96875</c:v>
                </c:pt>
                <c:pt idx="72" formatCode="0.0000">
                  <c:v>62.125</c:v>
                </c:pt>
                <c:pt idx="73" formatCode="0.0000">
                  <c:v>63.437500000000007</c:v>
                </c:pt>
                <c:pt idx="74" formatCode="0.0000">
                  <c:v>55.5625</c:v>
                </c:pt>
                <c:pt idx="75" formatCode="0.0000">
                  <c:v>38.654411764705877</c:v>
                </c:pt>
                <c:pt idx="76" formatCode="0.0000">
                  <c:v>29.286764705882351</c:v>
                </c:pt>
              </c:numCache>
            </c:numRef>
          </c:val>
          <c:smooth val="0"/>
        </c:ser>
        <c:ser>
          <c:idx val="6"/>
          <c:order val="96"/>
          <c:tx>
            <c:strRef>
              <c:f>'Tea (All)'!$DB$6</c:f>
              <c:strCache>
                <c:ptCount val="1"/>
                <c:pt idx="0">
                  <c:v>India, Wholesale, in pound/ton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cat>
          <c:val>
            <c:numRef>
              <c:f>'Tea (All)'!$DB$7:$DB$107</c:f>
              <c:numCache>
                <c:formatCode>General</c:formatCode>
                <c:ptCount val="81"/>
                <c:pt idx="18" formatCode="0.0000">
                  <c:v>196.0291666666667</c:v>
                </c:pt>
                <c:pt idx="29" formatCode="0.0000">
                  <c:v>98.67936117936118</c:v>
                </c:pt>
                <c:pt idx="30" formatCode="0.0000">
                  <c:v>100.22727272727273</c:v>
                </c:pt>
                <c:pt idx="31" formatCode="0.0000">
                  <c:v>96.250000000000014</c:v>
                </c:pt>
                <c:pt idx="32" formatCode="0.0000">
                  <c:v>94.791666666666671</c:v>
                </c:pt>
                <c:pt idx="33" formatCode="0.0000">
                  <c:v>83.572891072891082</c:v>
                </c:pt>
                <c:pt idx="34" formatCode="0.0000">
                  <c:v>91.781670831670809</c:v>
                </c:pt>
                <c:pt idx="35" formatCode="0.0000">
                  <c:v>90.883281872911482</c:v>
                </c:pt>
                <c:pt idx="36" formatCode="0.0000">
                  <c:v>98.778077903077872</c:v>
                </c:pt>
                <c:pt idx="37" formatCode="0.0000">
                  <c:v>78.523387022349979</c:v>
                </c:pt>
                <c:pt idx="38" formatCode="0.0000">
                  <c:v>71.815006073522113</c:v>
                </c:pt>
                <c:pt idx="39" formatCode="0.0000">
                  <c:v>67.429270305901426</c:v>
                </c:pt>
                <c:pt idx="40" formatCode="0.0000">
                  <c:v>69.177141985694817</c:v>
                </c:pt>
                <c:pt idx="41" formatCode="0.0000">
                  <c:v>63.880255255211459</c:v>
                </c:pt>
                <c:pt idx="42" formatCode="0.0000">
                  <c:v>59.408439367701042</c:v>
                </c:pt>
                <c:pt idx="43" formatCode="0.0000">
                  <c:v>58.139874249249239</c:v>
                </c:pt>
                <c:pt idx="44" formatCode="0.0000">
                  <c:v>62.709645771475202</c:v>
                </c:pt>
                <c:pt idx="45" formatCode="0.0000">
                  <c:v>61.817917897581886</c:v>
                </c:pt>
                <c:pt idx="46" formatCode="0.0000">
                  <c:v>60.052373025195266</c:v>
                </c:pt>
                <c:pt idx="47" formatCode="0.0000">
                  <c:v>58.952577575503504</c:v>
                </c:pt>
                <c:pt idx="48" formatCode="0.0000">
                  <c:v>61.298668233446229</c:v>
                </c:pt>
                <c:pt idx="49" formatCode="0.0000">
                  <c:v>69.106327071812288</c:v>
                </c:pt>
                <c:pt idx="50" formatCode="0.0000">
                  <c:v>69.142342342398521</c:v>
                </c:pt>
                <c:pt idx="51" formatCode="0.0000">
                  <c:v>76.32350532345383</c:v>
                </c:pt>
                <c:pt idx="52" formatCode="0.0000">
                  <c:v>86.044119099019284</c:v>
                </c:pt>
                <c:pt idx="53" formatCode="0.0000">
                  <c:v>86.002211493026536</c:v>
                </c:pt>
                <c:pt idx="54" formatCode="0.0000">
                  <c:v>87.864114114114116</c:v>
                </c:pt>
                <c:pt idx="55" formatCode="0.0000">
                  <c:v>85.06971251142815</c:v>
                </c:pt>
                <c:pt idx="56" formatCode="0.0000">
                  <c:v>82.744590314332456</c:v>
                </c:pt>
                <c:pt idx="57" formatCode="0.0000">
                  <c:v>79.035293356789865</c:v>
                </c:pt>
                <c:pt idx="58" formatCode="0.0000">
                  <c:v>79.539837913795836</c:v>
                </c:pt>
                <c:pt idx="59" formatCode="0.0000">
                  <c:v>73.1111111111111</c:v>
                </c:pt>
                <c:pt idx="60" formatCode="0.0000">
                  <c:v>85.069444444444443</c:v>
                </c:pt>
                <c:pt idx="61" formatCode="0.0000">
                  <c:v>84.598953703600017</c:v>
                </c:pt>
                <c:pt idx="62" formatCode="0.0000">
                  <c:v>78.182287036933346</c:v>
                </c:pt>
                <c:pt idx="63" formatCode="0.0000">
                  <c:v>91.387722209777777</c:v>
                </c:pt>
                <c:pt idx="64" formatCode="0.0000">
                  <c:v>95.8296449976948</c:v>
                </c:pt>
                <c:pt idx="65" formatCode="0.0000">
                  <c:v>56.054934297225053</c:v>
                </c:pt>
                <c:pt idx="66" formatCode="0.0000">
                  <c:v>69.61111111080001</c:v>
                </c:pt>
              </c:numCache>
            </c:numRef>
          </c:val>
          <c:smooth val="0"/>
        </c:ser>
        <c:ser>
          <c:idx val="8"/>
          <c:order val="97"/>
          <c:tx>
            <c:strRef>
              <c:f>'Tea (All)'!$AF$6</c:f>
              <c:strCache>
                <c:ptCount val="1"/>
                <c:pt idx="0">
                  <c:v>Istanbul (Nallrihan), Imports, in pound/ton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'Tea (All)'!$AF$7:$AF$107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0"/>
          <c:order val="98"/>
          <c:tx>
            <c:strRef>
              <c:f>'Tea (All)'!$AG$6</c:f>
              <c:strCache>
                <c:ptCount val="1"/>
                <c:pt idx="0">
                  <c:v>Istanbul (Nallrihan), Exports,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val>
            <c:numRef>
              <c:f>'Tea (All)'!$AG$7:$AG$107</c:f>
              <c:numCache>
                <c:formatCode>0.0000</c:formatCode>
                <c:ptCount val="81"/>
              </c:numCache>
            </c:numRef>
          </c:val>
          <c:smooth val="0"/>
        </c:ser>
        <c:ser>
          <c:idx val="12"/>
          <c:order val="99"/>
          <c:tx>
            <c:strRef>
              <c:f>'Tea (All)'!$AH$6</c:f>
              <c:strCache>
                <c:ptCount val="1"/>
                <c:pt idx="0">
                  <c:v>Istanbul (Nallrihan), Bazaar (Local), in pound/ton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'Tea (All)'!$AH$7:$AH$107</c:f>
              <c:numCache>
                <c:formatCode>0.0000</c:formatCode>
                <c:ptCount val="8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857584"/>
        <c:axId val="698860944"/>
      </c:lineChart>
      <c:catAx>
        <c:axId val="69885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860944"/>
        <c:crosses val="autoZero"/>
        <c:auto val="1"/>
        <c:lblAlgn val="ctr"/>
        <c:lblOffset val="100"/>
        <c:noMultiLvlLbl val="0"/>
      </c:catAx>
      <c:valAx>
        <c:axId val="698860944"/>
        <c:scaling>
          <c:orientation val="minMax"/>
          <c:max val="6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8575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480540778341336"/>
          <c:y val="2.7022325866908663E-2"/>
          <c:w val="0.42450218554367336"/>
          <c:h val="0.90805309769848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Tea, Ottomon Empire, in pound/ton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215666093768735E-2"/>
          <c:y val="9.2539920159680641E-2"/>
          <c:w val="0.74900592216582063"/>
          <c:h val="0.83147897119147529"/>
        </c:manualLayout>
      </c:layout>
      <c:lineChart>
        <c:grouping val="standard"/>
        <c:varyColors val="0"/>
        <c:ser>
          <c:idx val="2"/>
          <c:order val="0"/>
          <c:tx>
            <c:strRef>
              <c:f>'Tea (Adjusted)'!$C$6</c:f>
              <c:strCache>
                <c:ptCount val="1"/>
                <c:pt idx="0">
                  <c:v>Baghdad,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(Adjusted)'!$C$7:$C$107</c:f>
              <c:numCache>
                <c:formatCode>0.0000</c:formatCode>
                <c:ptCount val="76"/>
                <c:pt idx="4">
                  <c:v>581.81200588439265</c:v>
                </c:pt>
                <c:pt idx="7">
                  <c:v>613.70349296788004</c:v>
                </c:pt>
                <c:pt idx="9">
                  <c:v>538.66989286160288</c:v>
                </c:pt>
                <c:pt idx="10">
                  <c:v>613.63382196351643</c:v>
                </c:pt>
                <c:pt idx="14">
                  <c:v>329.68438575209535</c:v>
                </c:pt>
                <c:pt idx="15">
                  <c:v>258.42139592287873</c:v>
                </c:pt>
                <c:pt idx="17">
                  <c:v>262.84603481174076</c:v>
                </c:pt>
                <c:pt idx="18">
                  <c:v>270.82240762812927</c:v>
                </c:pt>
                <c:pt idx="27">
                  <c:v>158.12500000000011</c:v>
                </c:pt>
                <c:pt idx="28">
                  <c:v>136.50684931506851</c:v>
                </c:pt>
                <c:pt idx="29">
                  <c:v>108.05687203791469</c:v>
                </c:pt>
                <c:pt idx="30">
                  <c:v>107.95986622073588</c:v>
                </c:pt>
                <c:pt idx="31">
                  <c:v>107.95718939041411</c:v>
                </c:pt>
                <c:pt idx="32">
                  <c:v>99.999999999999915</c:v>
                </c:pt>
                <c:pt idx="37">
                  <c:v>87.843137254901961</c:v>
                </c:pt>
                <c:pt idx="38">
                  <c:v>176.40630022500801</c:v>
                </c:pt>
                <c:pt idx="39">
                  <c:v>197.64705882352951</c:v>
                </c:pt>
                <c:pt idx="40">
                  <c:v>197.64705882352951</c:v>
                </c:pt>
                <c:pt idx="41">
                  <c:v>109.80392156862756</c:v>
                </c:pt>
                <c:pt idx="42">
                  <c:v>54.895151661061377</c:v>
                </c:pt>
                <c:pt idx="43">
                  <c:v>76.871061476850358</c:v>
                </c:pt>
                <c:pt idx="44">
                  <c:v>65.882352941176578</c:v>
                </c:pt>
                <c:pt idx="45">
                  <c:v>65.859102534294266</c:v>
                </c:pt>
                <c:pt idx="46">
                  <c:v>77.95933081277802</c:v>
                </c:pt>
                <c:pt idx="47">
                  <c:v>82.352658511790679</c:v>
                </c:pt>
                <c:pt idx="48">
                  <c:v>118.55906564057047</c:v>
                </c:pt>
                <c:pt idx="49">
                  <c:v>90.921815534724601</c:v>
                </c:pt>
                <c:pt idx="50">
                  <c:v>100.66292446468071</c:v>
                </c:pt>
                <c:pt idx="51">
                  <c:v>99.114247670930467</c:v>
                </c:pt>
                <c:pt idx="52">
                  <c:v>109.75160843716922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'Tea (Adjusted)'!$D$6</c:f>
              <c:strCache>
                <c:ptCount val="1"/>
                <c:pt idx="0">
                  <c:v>Baghdad, Exports,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(Adjusted)'!$D$7:$D$107</c:f>
              <c:numCache>
                <c:formatCode>0.0000</c:formatCode>
                <c:ptCount val="76"/>
                <c:pt idx="18">
                  <c:v>270.80768926509091</c:v>
                </c:pt>
                <c:pt idx="52">
                  <c:v>109.80392156862756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'Tea (Adjusted)'!$F$6</c:f>
              <c:strCache>
                <c:ptCount val="1"/>
                <c:pt idx="0">
                  <c:v>Basrah, Imports,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(Adjusted)'!$F$7:$F$107</c:f>
              <c:numCache>
                <c:formatCode>0.0000</c:formatCode>
                <c:ptCount val="76"/>
                <c:pt idx="32">
                  <c:v>65.678635090399737</c:v>
                </c:pt>
                <c:pt idx="33">
                  <c:v>65.882352941176578</c:v>
                </c:pt>
                <c:pt idx="34">
                  <c:v>27.453156450848354</c:v>
                </c:pt>
                <c:pt idx="35">
                  <c:v>27.448786945861123</c:v>
                </c:pt>
                <c:pt idx="36">
                  <c:v>27.450980392156833</c:v>
                </c:pt>
                <c:pt idx="37">
                  <c:v>27.452480855692929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'Tea (Adjusted)'!$I$6</c:f>
              <c:strCache>
                <c:ptCount val="1"/>
                <c:pt idx="0">
                  <c:v>Damascus, Imports, in pound/ton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(Adjusted)'!$I$7:$I$107</c:f>
              <c:numCache>
                <c:formatCode>0.0000</c:formatCode>
                <c:ptCount val="76"/>
                <c:pt idx="42">
                  <c:v>168.06722689075642</c:v>
                </c:pt>
                <c:pt idx="43">
                  <c:v>200</c:v>
                </c:pt>
                <c:pt idx="44">
                  <c:v>180.95238095238099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'Tea (Adjusted)'!$J$6</c:f>
              <c:strCache>
                <c:ptCount val="1"/>
                <c:pt idx="0">
                  <c:v>Beirut,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(Adjusted)'!$J$7:$J$107</c:f>
              <c:numCache>
                <c:formatCode>0.0000</c:formatCode>
                <c:ptCount val="76"/>
                <c:pt idx="21">
                  <c:v>135.7466063348416</c:v>
                </c:pt>
                <c:pt idx="22">
                  <c:v>135.7466063348416</c:v>
                </c:pt>
                <c:pt idx="23">
                  <c:v>113.1221719457014</c:v>
                </c:pt>
                <c:pt idx="29">
                  <c:v>101.81818181818191</c:v>
                </c:pt>
                <c:pt idx="30">
                  <c:v>109.66666666666671</c:v>
                </c:pt>
                <c:pt idx="31">
                  <c:v>119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'Tea (Adjusted)'!$K$6</c:f>
              <c:strCache>
                <c:ptCount val="1"/>
                <c:pt idx="0">
                  <c:v>Turkey &amp; Constantinople,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(Adjusted)'!$K$7:$K$107</c:f>
              <c:numCache>
                <c:formatCode>0.0000</c:formatCode>
                <c:ptCount val="76"/>
                <c:pt idx="25">
                  <c:v>187.21872187218727</c:v>
                </c:pt>
                <c:pt idx="27">
                  <c:v>136.56538067599863</c:v>
                </c:pt>
                <c:pt idx="47">
                  <c:v>110.11904761904762</c:v>
                </c:pt>
                <c:pt idx="50">
                  <c:v>69.861349342481404</c:v>
                </c:pt>
                <c:pt idx="51">
                  <c:v>80.840743734842363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'Tea (Adjusted)'!$L$6</c:f>
              <c:strCache>
                <c:ptCount val="1"/>
                <c:pt idx="0">
                  <c:v>Turkey,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(Adjusted)'!$L$7:$L$107</c:f>
              <c:numCache>
                <c:formatCode>0.0000</c:formatCode>
                <c:ptCount val="76"/>
                <c:pt idx="50">
                  <c:v>43.022820800598581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'Tea (Adjusted)'!$M$6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(Adjusted)'!$M$7:$M$107</c:f>
              <c:numCache>
                <c:formatCode>0.0000</c:formatCode>
                <c:ptCount val="76"/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160</c:v>
                </c:pt>
                <c:pt idx="17">
                  <c:v>200</c:v>
                </c:pt>
                <c:pt idx="18">
                  <c:v>160</c:v>
                </c:pt>
                <c:pt idx="19">
                  <c:v>160</c:v>
                </c:pt>
                <c:pt idx="20">
                  <c:v>160</c:v>
                </c:pt>
                <c:pt idx="21">
                  <c:v>160</c:v>
                </c:pt>
                <c:pt idx="22">
                  <c:v>160</c:v>
                </c:pt>
                <c:pt idx="23">
                  <c:v>160</c:v>
                </c:pt>
                <c:pt idx="24">
                  <c:v>110</c:v>
                </c:pt>
                <c:pt idx="25">
                  <c:v>100</c:v>
                </c:pt>
                <c:pt idx="26">
                  <c:v>100</c:v>
                </c:pt>
                <c:pt idx="27">
                  <c:v>100.01895734597159</c:v>
                </c:pt>
                <c:pt idx="28">
                  <c:v>120.04683840749421</c:v>
                </c:pt>
                <c:pt idx="29">
                  <c:v>120.03053435114501</c:v>
                </c:pt>
                <c:pt idx="30">
                  <c:v>120</c:v>
                </c:pt>
                <c:pt idx="31">
                  <c:v>119.95850622406641</c:v>
                </c:pt>
                <c:pt idx="32">
                  <c:v>120.0280504908836</c:v>
                </c:pt>
                <c:pt idx="33">
                  <c:v>99.964349376114001</c:v>
                </c:pt>
                <c:pt idx="34">
                  <c:v>91.973018549746996</c:v>
                </c:pt>
                <c:pt idx="35">
                  <c:v>92.034139402560399</c:v>
                </c:pt>
                <c:pt idx="36">
                  <c:v>91.979434447300804</c:v>
                </c:pt>
                <c:pt idx="37">
                  <c:v>80</c:v>
                </c:pt>
                <c:pt idx="38">
                  <c:v>80.02265005662521</c:v>
                </c:pt>
                <c:pt idx="39">
                  <c:v>60.063091482649796</c:v>
                </c:pt>
                <c:pt idx="40">
                  <c:v>59.927971188475404</c:v>
                </c:pt>
                <c:pt idx="41">
                  <c:v>79.956896551724199</c:v>
                </c:pt>
                <c:pt idx="42">
                  <c:v>72.168067226890798</c:v>
                </c:pt>
                <c:pt idx="43">
                  <c:v>56.682692307692399</c:v>
                </c:pt>
                <c:pt idx="44">
                  <c:v>72.176656151419593</c:v>
                </c:pt>
                <c:pt idx="45">
                  <c:v>71.966527196652791</c:v>
                </c:pt>
                <c:pt idx="46">
                  <c:v>71.989596879063797</c:v>
                </c:pt>
                <c:pt idx="47">
                  <c:v>72.026143790849602</c:v>
                </c:pt>
                <c:pt idx="48">
                  <c:v>67.077441077440994</c:v>
                </c:pt>
                <c:pt idx="49">
                  <c:v>73.262599469495996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'Tea (Adjusted)'!$N$6</c:f>
              <c:strCache>
                <c:ptCount val="1"/>
                <c:pt idx="0">
                  <c:v>Trebizond (Persia),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(Adjusted)'!$N$7:$N$107</c:f>
              <c:numCache>
                <c:formatCode>0.0000</c:formatCode>
                <c:ptCount val="76"/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7">
                  <c:v>200</c:v>
                </c:pt>
                <c:pt idx="18">
                  <c:v>160</c:v>
                </c:pt>
                <c:pt idx="19">
                  <c:v>160</c:v>
                </c:pt>
                <c:pt idx="20">
                  <c:v>160</c:v>
                </c:pt>
                <c:pt idx="21">
                  <c:v>160</c:v>
                </c:pt>
                <c:pt idx="22">
                  <c:v>160</c:v>
                </c:pt>
                <c:pt idx="23">
                  <c:v>247.97064634490599</c:v>
                </c:pt>
                <c:pt idx="24">
                  <c:v>174.22790202342921</c:v>
                </c:pt>
                <c:pt idx="25">
                  <c:v>160</c:v>
                </c:pt>
                <c:pt idx="26">
                  <c:v>160</c:v>
                </c:pt>
                <c:pt idx="27">
                  <c:v>120</c:v>
                </c:pt>
                <c:pt idx="28">
                  <c:v>120</c:v>
                </c:pt>
                <c:pt idx="29">
                  <c:v>120</c:v>
                </c:pt>
                <c:pt idx="30">
                  <c:v>120</c:v>
                </c:pt>
                <c:pt idx="31">
                  <c:v>120</c:v>
                </c:pt>
                <c:pt idx="32">
                  <c:v>120</c:v>
                </c:pt>
                <c:pt idx="33">
                  <c:v>120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92.001278772378598</c:v>
                </c:pt>
                <c:pt idx="38">
                  <c:v>87.997512437811011</c:v>
                </c:pt>
                <c:pt idx="39">
                  <c:v>80</c:v>
                </c:pt>
                <c:pt idx="40">
                  <c:v>60</c:v>
                </c:pt>
                <c:pt idx="41">
                  <c:v>72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80.011474469305796</c:v>
                </c:pt>
                <c:pt idx="47">
                  <c:v>84.021257750221409</c:v>
                </c:pt>
                <c:pt idx="48">
                  <c:v>73.400000000000006</c:v>
                </c:pt>
                <c:pt idx="49">
                  <c:v>56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'Tea (Adjusted)'!$O$6</c:f>
              <c:strCache>
                <c:ptCount val="1"/>
                <c:pt idx="0">
                  <c:v>Izmir, 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(Adjusted)'!$O$7:$O$107</c:f>
              <c:numCache>
                <c:formatCode>0.0000</c:formatCode>
                <c:ptCount val="76"/>
                <c:pt idx="4">
                  <c:v>336</c:v>
                </c:pt>
                <c:pt idx="5">
                  <c:v>448</c:v>
                </c:pt>
                <c:pt idx="6">
                  <c:v>448</c:v>
                </c:pt>
                <c:pt idx="8">
                  <c:v>392</c:v>
                </c:pt>
                <c:pt idx="9">
                  <c:v>392</c:v>
                </c:pt>
                <c:pt idx="11">
                  <c:v>448</c:v>
                </c:pt>
                <c:pt idx="12">
                  <c:v>429.33333333333411</c:v>
                </c:pt>
                <c:pt idx="14">
                  <c:v>448</c:v>
                </c:pt>
                <c:pt idx="15">
                  <c:v>336</c:v>
                </c:pt>
                <c:pt idx="16">
                  <c:v>336</c:v>
                </c:pt>
                <c:pt idx="48">
                  <c:v>41.176470588235297</c:v>
                </c:pt>
                <c:pt idx="50">
                  <c:v>63.247863247863251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858144"/>
        <c:axId val="698814464"/>
      </c:lineChart>
      <c:catAx>
        <c:axId val="69885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814464"/>
        <c:crosses val="autoZero"/>
        <c:auto val="1"/>
        <c:lblAlgn val="ctr"/>
        <c:lblOffset val="100"/>
        <c:noMultiLvlLbl val="0"/>
      </c:catAx>
      <c:valAx>
        <c:axId val="698814464"/>
        <c:scaling>
          <c:orientation val="minMax"/>
          <c:max val="6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85814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978774464740132"/>
          <c:y val="0.29863717446995774"/>
          <c:w val="0.19386707768762404"/>
          <c:h val="0.46033523504172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Tea, Black Sea, Mediterranean Sea, Caspian Sea, Persian Gulf &amp; India, in pound/ton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'Tea (Adjusted)'!$I$6</c:f>
              <c:strCache>
                <c:ptCount val="1"/>
                <c:pt idx="0">
                  <c:v>Damascus, Imports, in pound/ton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(Adjusted)'!$I$7:$I$107</c:f>
              <c:numCache>
                <c:formatCode>0.0000</c:formatCode>
                <c:ptCount val="76"/>
                <c:pt idx="42">
                  <c:v>168.06722689075642</c:v>
                </c:pt>
                <c:pt idx="43">
                  <c:v>200</c:v>
                </c:pt>
                <c:pt idx="44">
                  <c:v>180.95238095238099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'Tea (Adjusted)'!$J$6</c:f>
              <c:strCache>
                <c:ptCount val="1"/>
                <c:pt idx="0">
                  <c:v>Beirut,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(Adjusted)'!$J$7:$J$107</c:f>
              <c:numCache>
                <c:formatCode>0.0000</c:formatCode>
                <c:ptCount val="76"/>
                <c:pt idx="21">
                  <c:v>135.7466063348416</c:v>
                </c:pt>
                <c:pt idx="22">
                  <c:v>135.7466063348416</c:v>
                </c:pt>
                <c:pt idx="23">
                  <c:v>113.1221719457014</c:v>
                </c:pt>
                <c:pt idx="29">
                  <c:v>101.81818181818191</c:v>
                </c:pt>
                <c:pt idx="30">
                  <c:v>109.66666666666671</c:v>
                </c:pt>
                <c:pt idx="31">
                  <c:v>119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'Tea (Adjusted)'!$K$6</c:f>
              <c:strCache>
                <c:ptCount val="1"/>
                <c:pt idx="0">
                  <c:v>Turkey &amp; Constantinople,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(Adjusted)'!$K$7:$K$107</c:f>
              <c:numCache>
                <c:formatCode>0.0000</c:formatCode>
                <c:ptCount val="76"/>
                <c:pt idx="25">
                  <c:v>187.21872187218727</c:v>
                </c:pt>
                <c:pt idx="27">
                  <c:v>136.56538067599863</c:v>
                </c:pt>
                <c:pt idx="47">
                  <c:v>110.11904761904762</c:v>
                </c:pt>
                <c:pt idx="50">
                  <c:v>69.861349342481404</c:v>
                </c:pt>
                <c:pt idx="51">
                  <c:v>80.840743734842363</c:v>
                </c:pt>
              </c:numCache>
            </c:numRef>
          </c:val>
          <c:smooth val="0"/>
        </c:ser>
        <c:ser>
          <c:idx val="8"/>
          <c:order val="3"/>
          <c:tx>
            <c:strRef>
              <c:f>'Tea (Adjusted)'!$L$6</c:f>
              <c:strCache>
                <c:ptCount val="1"/>
                <c:pt idx="0">
                  <c:v>Turkey,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(Adjusted)'!$L$7:$L$107</c:f>
              <c:numCache>
                <c:formatCode>0.0000</c:formatCode>
                <c:ptCount val="76"/>
                <c:pt idx="50">
                  <c:v>43.022820800598581</c:v>
                </c:pt>
              </c:numCache>
            </c:numRef>
          </c:val>
          <c:smooth val="0"/>
        </c:ser>
        <c:ser>
          <c:idx val="10"/>
          <c:order val="4"/>
          <c:tx>
            <c:strRef>
              <c:f>'Tea (Adjusted)'!$M$6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(Adjusted)'!$M$7:$M$107</c:f>
              <c:numCache>
                <c:formatCode>0.0000</c:formatCode>
                <c:ptCount val="76"/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160</c:v>
                </c:pt>
                <c:pt idx="17">
                  <c:v>200</c:v>
                </c:pt>
                <c:pt idx="18">
                  <c:v>160</c:v>
                </c:pt>
                <c:pt idx="19">
                  <c:v>160</c:v>
                </c:pt>
                <c:pt idx="20">
                  <c:v>160</c:v>
                </c:pt>
                <c:pt idx="21">
                  <c:v>160</c:v>
                </c:pt>
                <c:pt idx="22">
                  <c:v>160</c:v>
                </c:pt>
                <c:pt idx="23">
                  <c:v>160</c:v>
                </c:pt>
                <c:pt idx="24">
                  <c:v>110</c:v>
                </c:pt>
                <c:pt idx="25">
                  <c:v>100</c:v>
                </c:pt>
                <c:pt idx="26">
                  <c:v>100</c:v>
                </c:pt>
                <c:pt idx="27">
                  <c:v>100.01895734597159</c:v>
                </c:pt>
                <c:pt idx="28">
                  <c:v>120.04683840749421</c:v>
                </c:pt>
                <c:pt idx="29">
                  <c:v>120.03053435114501</c:v>
                </c:pt>
                <c:pt idx="30">
                  <c:v>120</c:v>
                </c:pt>
                <c:pt idx="31">
                  <c:v>119.95850622406641</c:v>
                </c:pt>
                <c:pt idx="32">
                  <c:v>120.0280504908836</c:v>
                </c:pt>
                <c:pt idx="33">
                  <c:v>99.964349376114001</c:v>
                </c:pt>
                <c:pt idx="34">
                  <c:v>91.973018549746996</c:v>
                </c:pt>
                <c:pt idx="35">
                  <c:v>92.034139402560399</c:v>
                </c:pt>
                <c:pt idx="36">
                  <c:v>91.979434447300804</c:v>
                </c:pt>
                <c:pt idx="37">
                  <c:v>80</c:v>
                </c:pt>
                <c:pt idx="38">
                  <c:v>80.02265005662521</c:v>
                </c:pt>
                <c:pt idx="39">
                  <c:v>60.063091482649796</c:v>
                </c:pt>
                <c:pt idx="40">
                  <c:v>59.927971188475404</c:v>
                </c:pt>
                <c:pt idx="41">
                  <c:v>79.956896551724199</c:v>
                </c:pt>
                <c:pt idx="42">
                  <c:v>72.168067226890798</c:v>
                </c:pt>
                <c:pt idx="43">
                  <c:v>56.682692307692399</c:v>
                </c:pt>
                <c:pt idx="44">
                  <c:v>72.176656151419593</c:v>
                </c:pt>
                <c:pt idx="45">
                  <c:v>71.966527196652791</c:v>
                </c:pt>
                <c:pt idx="46">
                  <c:v>71.989596879063797</c:v>
                </c:pt>
                <c:pt idx="47">
                  <c:v>72.026143790849602</c:v>
                </c:pt>
                <c:pt idx="48">
                  <c:v>67.077441077440994</c:v>
                </c:pt>
                <c:pt idx="49">
                  <c:v>73.262599469495996</c:v>
                </c:pt>
              </c:numCache>
            </c:numRef>
          </c:val>
          <c:smooth val="0"/>
        </c:ser>
        <c:ser>
          <c:idx val="11"/>
          <c:order val="5"/>
          <c:tx>
            <c:strRef>
              <c:f>'Tea (Adjusted)'!$N$6</c:f>
              <c:strCache>
                <c:ptCount val="1"/>
                <c:pt idx="0">
                  <c:v>Trebizond (Persia),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(Adjusted)'!$N$7:$N$107</c:f>
              <c:numCache>
                <c:formatCode>0.0000</c:formatCode>
                <c:ptCount val="76"/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7">
                  <c:v>200</c:v>
                </c:pt>
                <c:pt idx="18">
                  <c:v>160</c:v>
                </c:pt>
                <c:pt idx="19">
                  <c:v>160</c:v>
                </c:pt>
                <c:pt idx="20">
                  <c:v>160</c:v>
                </c:pt>
                <c:pt idx="21">
                  <c:v>160</c:v>
                </c:pt>
                <c:pt idx="22">
                  <c:v>160</c:v>
                </c:pt>
                <c:pt idx="23">
                  <c:v>247.97064634490599</c:v>
                </c:pt>
                <c:pt idx="24">
                  <c:v>174.22790202342921</c:v>
                </c:pt>
                <c:pt idx="25">
                  <c:v>160</c:v>
                </c:pt>
                <c:pt idx="26">
                  <c:v>160</c:v>
                </c:pt>
                <c:pt idx="27">
                  <c:v>120</c:v>
                </c:pt>
                <c:pt idx="28">
                  <c:v>120</c:v>
                </c:pt>
                <c:pt idx="29">
                  <c:v>120</c:v>
                </c:pt>
                <c:pt idx="30">
                  <c:v>120</c:v>
                </c:pt>
                <c:pt idx="31">
                  <c:v>120</c:v>
                </c:pt>
                <c:pt idx="32">
                  <c:v>120</c:v>
                </c:pt>
                <c:pt idx="33">
                  <c:v>120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92.001278772378598</c:v>
                </c:pt>
                <c:pt idx="38">
                  <c:v>87.997512437811011</c:v>
                </c:pt>
                <c:pt idx="39">
                  <c:v>80</c:v>
                </c:pt>
                <c:pt idx="40">
                  <c:v>60</c:v>
                </c:pt>
                <c:pt idx="41">
                  <c:v>72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80.011474469305796</c:v>
                </c:pt>
                <c:pt idx="47">
                  <c:v>84.021257750221409</c:v>
                </c:pt>
                <c:pt idx="48">
                  <c:v>73.400000000000006</c:v>
                </c:pt>
                <c:pt idx="49">
                  <c:v>56</c:v>
                </c:pt>
              </c:numCache>
            </c:numRef>
          </c:val>
          <c:smooth val="0"/>
        </c:ser>
        <c:ser>
          <c:idx val="12"/>
          <c:order val="6"/>
          <c:tx>
            <c:strRef>
              <c:f>'Tea (Adjusted)'!$O$6</c:f>
              <c:strCache>
                <c:ptCount val="1"/>
                <c:pt idx="0">
                  <c:v>Izmir, 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(Adjusted)'!$O$7:$O$107</c:f>
              <c:numCache>
                <c:formatCode>0.0000</c:formatCode>
                <c:ptCount val="76"/>
                <c:pt idx="4">
                  <c:v>336</c:v>
                </c:pt>
                <c:pt idx="5">
                  <c:v>448</c:v>
                </c:pt>
                <c:pt idx="6">
                  <c:v>448</c:v>
                </c:pt>
                <c:pt idx="8">
                  <c:v>392</c:v>
                </c:pt>
                <c:pt idx="9">
                  <c:v>392</c:v>
                </c:pt>
                <c:pt idx="11">
                  <c:v>448</c:v>
                </c:pt>
                <c:pt idx="12">
                  <c:v>429.33333333333411</c:v>
                </c:pt>
                <c:pt idx="14">
                  <c:v>448</c:v>
                </c:pt>
                <c:pt idx="15">
                  <c:v>336</c:v>
                </c:pt>
                <c:pt idx="16">
                  <c:v>336</c:v>
                </c:pt>
                <c:pt idx="48">
                  <c:v>41.176470588235297</c:v>
                </c:pt>
                <c:pt idx="50">
                  <c:v>63.247863247863251</c:v>
                </c:pt>
              </c:numCache>
            </c:numRef>
          </c:val>
          <c:smooth val="0"/>
        </c:ser>
        <c:ser>
          <c:idx val="20"/>
          <c:order val="7"/>
          <c:tx>
            <c:strRef>
              <c:f>'Tea (Adjusted)'!$X$6</c:f>
              <c:strCache>
                <c:ptCount val="1"/>
                <c:pt idx="0">
                  <c:v>Resht &amp; Mazandaran,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(Adjusted)'!$X$7:$X$107</c:f>
              <c:numCache>
                <c:formatCode>0.0000</c:formatCode>
                <c:ptCount val="76"/>
                <c:pt idx="13">
                  <c:v>320.00000000000028</c:v>
                </c:pt>
                <c:pt idx="14">
                  <c:v>308.96551724138016</c:v>
                </c:pt>
                <c:pt idx="15">
                  <c:v>344.71111111111134</c:v>
                </c:pt>
                <c:pt idx="33">
                  <c:v>263.86149463072445</c:v>
                </c:pt>
                <c:pt idx="42">
                  <c:v>114.45795339412358</c:v>
                </c:pt>
                <c:pt idx="46">
                  <c:v>160.63506642611119</c:v>
                </c:pt>
                <c:pt idx="47">
                  <c:v>178.67199072583236</c:v>
                </c:pt>
                <c:pt idx="48">
                  <c:v>159.82418658907164</c:v>
                </c:pt>
                <c:pt idx="49">
                  <c:v>154.0140142640727</c:v>
                </c:pt>
                <c:pt idx="50">
                  <c:v>140.17603703870884</c:v>
                </c:pt>
              </c:numCache>
            </c:numRef>
          </c:val>
          <c:smooth val="0"/>
        </c:ser>
        <c:ser>
          <c:idx val="23"/>
          <c:order val="8"/>
          <c:tx>
            <c:strRef>
              <c:f>'Tea (Adjusted)'!$Z$6</c:f>
              <c:strCache>
                <c:ptCount val="1"/>
                <c:pt idx="0">
                  <c:v>Ghilan &amp; Tunekabun,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(Adjusted)'!$Z$7:$Z$107</c:f>
              <c:numCache>
                <c:formatCode>0.0000</c:formatCode>
                <c:ptCount val="76"/>
                <c:pt idx="46">
                  <c:v>191.59940399628135</c:v>
                </c:pt>
                <c:pt idx="48">
                  <c:v>165.24665517524414</c:v>
                </c:pt>
                <c:pt idx="49">
                  <c:v>197.13474469390911</c:v>
                </c:pt>
                <c:pt idx="50">
                  <c:v>167.98004171050593</c:v>
                </c:pt>
              </c:numCache>
            </c:numRef>
          </c:val>
          <c:smooth val="0"/>
        </c:ser>
        <c:ser>
          <c:idx val="24"/>
          <c:order val="9"/>
          <c:tx>
            <c:strRef>
              <c:f>'Tea (Adjusted)'!$AA$6</c:f>
              <c:strCache>
                <c:ptCount val="1"/>
                <c:pt idx="0">
                  <c:v>Bender Gez &amp; Astarabad,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(Adjusted)'!$AA$7:$AA$107</c:f>
              <c:numCache>
                <c:formatCode>0.0000</c:formatCode>
                <c:ptCount val="76"/>
                <c:pt idx="18">
                  <c:v>365.58322683154273</c:v>
                </c:pt>
                <c:pt idx="46">
                  <c:v>153.73589046822741</c:v>
                </c:pt>
                <c:pt idx="47">
                  <c:v>160.09327456277546</c:v>
                </c:pt>
                <c:pt idx="48">
                  <c:v>142.00634225449593</c:v>
                </c:pt>
                <c:pt idx="49">
                  <c:v>147.13929061508767</c:v>
                </c:pt>
                <c:pt idx="50">
                  <c:v>143.47501418007903</c:v>
                </c:pt>
              </c:numCache>
            </c:numRef>
          </c:val>
          <c:smooth val="0"/>
        </c:ser>
        <c:ser>
          <c:idx val="25"/>
          <c:order val="10"/>
          <c:tx>
            <c:strRef>
              <c:f>'Tea (Adjusted)'!$AB$6</c:f>
              <c:strCache>
                <c:ptCount val="1"/>
                <c:pt idx="0">
                  <c:v>Astara,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(Adjusted)'!$AB$7:$AB$107</c:f>
              <c:numCache>
                <c:formatCode>0.0000</c:formatCode>
                <c:ptCount val="76"/>
                <c:pt idx="48">
                  <c:v>127.76238655608154</c:v>
                </c:pt>
                <c:pt idx="49">
                  <c:v>172.77032457496134</c:v>
                </c:pt>
                <c:pt idx="50">
                  <c:v>182.05352157042424</c:v>
                </c:pt>
              </c:numCache>
            </c:numRef>
          </c:val>
          <c:smooth val="0"/>
        </c:ser>
        <c:ser>
          <c:idx val="26"/>
          <c:order val="11"/>
          <c:tx>
            <c:strRef>
              <c:f>'Tea (Adjusted)'!$AC$6</c:f>
              <c:strCache>
                <c:ptCount val="1"/>
                <c:pt idx="0">
                  <c:v>Astara,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(Adjusted)'!$AC$7:$AC$107</c:f>
              <c:numCache>
                <c:formatCode>0.0000</c:formatCode>
                <c:ptCount val="76"/>
                <c:pt idx="48">
                  <c:v>236.35776297193536</c:v>
                </c:pt>
                <c:pt idx="49">
                  <c:v>194.92318795752141</c:v>
                </c:pt>
                <c:pt idx="50">
                  <c:v>196.14975995326859</c:v>
                </c:pt>
              </c:numCache>
            </c:numRef>
          </c:val>
          <c:smooth val="0"/>
        </c:ser>
        <c:ser>
          <c:idx val="27"/>
          <c:order val="12"/>
          <c:tx>
            <c:strRef>
              <c:f>'Tea (Adjusted)'!$AD$6</c:f>
              <c:strCache>
                <c:ptCount val="1"/>
                <c:pt idx="0">
                  <c:v>Sultanabad,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(Adjusted)'!$AD$7:$AD$107</c:f>
              <c:numCache>
                <c:formatCode>0.0000</c:formatCode>
                <c:ptCount val="76"/>
                <c:pt idx="51">
                  <c:v>449.12</c:v>
                </c:pt>
                <c:pt idx="52">
                  <c:v>328.5333333333341</c:v>
                </c:pt>
              </c:numCache>
            </c:numRef>
          </c:val>
          <c:smooth val="0"/>
        </c:ser>
        <c:ser>
          <c:idx val="28"/>
          <c:order val="13"/>
          <c:tx>
            <c:strRef>
              <c:f>'Tea (Adjusted)'!$AE$6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(Adjusted)'!$AE$7:$AE$107</c:f>
              <c:numCache>
                <c:formatCode>0.0000</c:formatCode>
                <c:ptCount val="76"/>
                <c:pt idx="43">
                  <c:v>55.974981384958944</c:v>
                </c:pt>
                <c:pt idx="44">
                  <c:v>55.979940298507451</c:v>
                </c:pt>
                <c:pt idx="45">
                  <c:v>65.218541089565917</c:v>
                </c:pt>
                <c:pt idx="46">
                  <c:v>59.733333333333405</c:v>
                </c:pt>
                <c:pt idx="47">
                  <c:v>74.666666666666586</c:v>
                </c:pt>
                <c:pt idx="48">
                  <c:v>74.66639844334675</c:v>
                </c:pt>
                <c:pt idx="49">
                  <c:v>79.333168462580261</c:v>
                </c:pt>
                <c:pt idx="50">
                  <c:v>79.999999999999972</c:v>
                </c:pt>
                <c:pt idx="51">
                  <c:v>93.319610264855299</c:v>
                </c:pt>
                <c:pt idx="52">
                  <c:v>87.148801836705516</c:v>
                </c:pt>
                <c:pt idx="53">
                  <c:v>88.28115942028991</c:v>
                </c:pt>
              </c:numCache>
            </c:numRef>
          </c:val>
          <c:smooth val="0"/>
        </c:ser>
        <c:ser>
          <c:idx val="29"/>
          <c:order val="14"/>
          <c:tx>
            <c:strRef>
              <c:f>'Tea (Adjusted)'!$AF$6</c:f>
              <c:strCache>
                <c:ptCount val="1"/>
                <c:pt idx="0">
                  <c:v>Bahrain,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(Adjusted)'!$AF$7:$AF$107</c:f>
              <c:numCache>
                <c:formatCode>0.0000</c:formatCode>
                <c:ptCount val="76"/>
                <c:pt idx="43">
                  <c:v>56</c:v>
                </c:pt>
                <c:pt idx="44">
                  <c:v>65.075098814229278</c:v>
                </c:pt>
                <c:pt idx="45">
                  <c:v>64.678285445124729</c:v>
                </c:pt>
                <c:pt idx="46">
                  <c:v>60.664401294498397</c:v>
                </c:pt>
                <c:pt idx="47">
                  <c:v>77.353556485355583</c:v>
                </c:pt>
                <c:pt idx="48">
                  <c:v>74.666666666666586</c:v>
                </c:pt>
                <c:pt idx="49">
                  <c:v>79.11452848586157</c:v>
                </c:pt>
                <c:pt idx="50">
                  <c:v>74.666666666666586</c:v>
                </c:pt>
                <c:pt idx="51">
                  <c:v>62.826241134751811</c:v>
                </c:pt>
                <c:pt idx="52">
                  <c:v>58.237154150197568</c:v>
                </c:pt>
                <c:pt idx="53">
                  <c:v>85.667711598746138</c:v>
                </c:pt>
              </c:numCache>
            </c:numRef>
          </c:val>
          <c:smooth val="0"/>
        </c:ser>
        <c:ser>
          <c:idx val="30"/>
          <c:order val="15"/>
          <c:tx>
            <c:strRef>
              <c:f>'Tea (Adjusted)'!$AG$6</c:f>
              <c:strCache>
                <c:ptCount val="1"/>
                <c:pt idx="0">
                  <c:v>Muscat,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(Adjusted)'!$AG$7:$AG$107</c:f>
              <c:numCache>
                <c:formatCode>0.0000</c:formatCode>
                <c:ptCount val="76"/>
                <c:pt idx="15">
                  <c:v>43.591060087892004</c:v>
                </c:pt>
                <c:pt idx="16">
                  <c:v>40.429510674923996</c:v>
                </c:pt>
                <c:pt idx="17">
                  <c:v>42.010285381408004</c:v>
                </c:pt>
                <c:pt idx="18">
                  <c:v>40.285803883425402</c:v>
                </c:pt>
                <c:pt idx="19">
                  <c:v>39.279856342935602</c:v>
                </c:pt>
                <c:pt idx="24">
                  <c:v>8.7301875835366012</c:v>
                </c:pt>
                <c:pt idx="25">
                  <c:v>14.888023599249241</c:v>
                </c:pt>
                <c:pt idx="26">
                  <c:v>13.041391328492939</c:v>
                </c:pt>
                <c:pt idx="27">
                  <c:v>19.02784368915918</c:v>
                </c:pt>
                <c:pt idx="28">
                  <c:v>16.430476494666959</c:v>
                </c:pt>
                <c:pt idx="29">
                  <c:v>12.60219853546252</c:v>
                </c:pt>
                <c:pt idx="30">
                  <c:v>7.3194659136592204</c:v>
                </c:pt>
                <c:pt idx="31">
                  <c:v>12.08813627821926</c:v>
                </c:pt>
                <c:pt idx="32">
                  <c:v>11.078487199160541</c:v>
                </c:pt>
                <c:pt idx="33">
                  <c:v>24.7635543110292</c:v>
                </c:pt>
                <c:pt idx="34">
                  <c:v>22.178748154608797</c:v>
                </c:pt>
                <c:pt idx="51">
                  <c:v>48.8888888888888</c:v>
                </c:pt>
              </c:numCache>
            </c:numRef>
          </c:val>
          <c:smooth val="0"/>
        </c:ser>
        <c:ser>
          <c:idx val="31"/>
          <c:order val="16"/>
          <c:tx>
            <c:strRef>
              <c:f>'Tea (Adjusted)'!$AH$6</c:f>
              <c:strCache>
                <c:ptCount val="1"/>
                <c:pt idx="0">
                  <c:v>Mohammerah,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(Adjusted)'!$AH$7:$AH$107</c:f>
              <c:numCache>
                <c:formatCode>0.0000</c:formatCode>
                <c:ptCount val="76"/>
                <c:pt idx="30">
                  <c:v>116.87899684426699</c:v>
                </c:pt>
                <c:pt idx="31">
                  <c:v>71.594427244582008</c:v>
                </c:pt>
                <c:pt idx="32">
                  <c:v>56.561085972850606</c:v>
                </c:pt>
                <c:pt idx="35">
                  <c:v>81.658031088082993</c:v>
                </c:pt>
                <c:pt idx="36">
                  <c:v>92.959183673469411</c:v>
                </c:pt>
                <c:pt idx="37">
                  <c:v>89.824561403508795</c:v>
                </c:pt>
                <c:pt idx="38">
                  <c:v>73.567839195979801</c:v>
                </c:pt>
                <c:pt idx="39">
                  <c:v>66.785714285714192</c:v>
                </c:pt>
                <c:pt idx="40">
                  <c:v>63.647416413373804</c:v>
                </c:pt>
                <c:pt idx="41">
                  <c:v>60</c:v>
                </c:pt>
                <c:pt idx="42">
                  <c:v>43.263347330533797</c:v>
                </c:pt>
                <c:pt idx="46">
                  <c:v>119.87041036717059</c:v>
                </c:pt>
                <c:pt idx="47">
                  <c:v>124.39909297052161</c:v>
                </c:pt>
                <c:pt idx="48">
                  <c:v>156.71159874608159</c:v>
                </c:pt>
                <c:pt idx="49">
                  <c:v>123.0799605133268</c:v>
                </c:pt>
                <c:pt idx="50">
                  <c:v>107.10563380281681</c:v>
                </c:pt>
                <c:pt idx="51">
                  <c:v>97.55660377358501</c:v>
                </c:pt>
                <c:pt idx="52">
                  <c:v>166.03125</c:v>
                </c:pt>
              </c:numCache>
            </c:numRef>
          </c:val>
          <c:smooth val="0"/>
        </c:ser>
        <c:ser>
          <c:idx val="32"/>
          <c:order val="17"/>
          <c:tx>
            <c:strRef>
              <c:f>'Tea (Adjusted)'!$AI$6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(Adjusted)'!$AI$7:$AI$107</c:f>
              <c:numCache>
                <c:formatCode>0.0000</c:formatCode>
                <c:ptCount val="76"/>
                <c:pt idx="27">
                  <c:v>202.66124702814602</c:v>
                </c:pt>
                <c:pt idx="28">
                  <c:v>52.9508038894772</c:v>
                </c:pt>
                <c:pt idx="29">
                  <c:v>54.140797642849599</c:v>
                </c:pt>
                <c:pt idx="30">
                  <c:v>58.3649715761576</c:v>
                </c:pt>
                <c:pt idx="31">
                  <c:v>80.769230769230802</c:v>
                </c:pt>
                <c:pt idx="32">
                  <c:v>89.230769230769198</c:v>
                </c:pt>
                <c:pt idx="33">
                  <c:v>82.823369944385803</c:v>
                </c:pt>
                <c:pt idx="34">
                  <c:v>70.407239819004602</c:v>
                </c:pt>
                <c:pt idx="35">
                  <c:v>75.452488687782804</c:v>
                </c:pt>
                <c:pt idx="36">
                  <c:v>86.538461538461604</c:v>
                </c:pt>
                <c:pt idx="37">
                  <c:v>84.766214177978796</c:v>
                </c:pt>
                <c:pt idx="38">
                  <c:v>84.841628959275994</c:v>
                </c:pt>
                <c:pt idx="39">
                  <c:v>144.79638009049779</c:v>
                </c:pt>
                <c:pt idx="40">
                  <c:v>90.497737556560992</c:v>
                </c:pt>
                <c:pt idx="41">
                  <c:v>90.497737556560992</c:v>
                </c:pt>
                <c:pt idx="42">
                  <c:v>88.25</c:v>
                </c:pt>
                <c:pt idx="43">
                  <c:v>110</c:v>
                </c:pt>
                <c:pt idx="44">
                  <c:v>133</c:v>
                </c:pt>
                <c:pt idx="45">
                  <c:v>133.86666666666659</c:v>
                </c:pt>
                <c:pt idx="46">
                  <c:v>154.78260869565221</c:v>
                </c:pt>
                <c:pt idx="47">
                  <c:v>144.7272727272728</c:v>
                </c:pt>
                <c:pt idx="48">
                  <c:v>132.74725274725282</c:v>
                </c:pt>
              </c:numCache>
            </c:numRef>
          </c:val>
          <c:smooth val="0"/>
        </c:ser>
        <c:ser>
          <c:idx val="33"/>
          <c:order val="18"/>
          <c:tx>
            <c:strRef>
              <c:f>'Tea (Adjusted)'!$AJ$6</c:f>
              <c:strCache>
                <c:ptCount val="1"/>
                <c:pt idx="0">
                  <c:v>Lingah,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(Adjusted)'!$AJ$7:$AJ$107</c:f>
              <c:numCache>
                <c:formatCode>0.0000</c:formatCode>
                <c:ptCount val="76"/>
                <c:pt idx="27">
                  <c:v>133.45794392523359</c:v>
                </c:pt>
                <c:pt idx="28">
                  <c:v>77.322331647591199</c:v>
                </c:pt>
                <c:pt idx="29">
                  <c:v>54.108787140461402</c:v>
                </c:pt>
                <c:pt idx="30">
                  <c:v>58.832801720940601</c:v>
                </c:pt>
                <c:pt idx="31">
                  <c:v>80.788084464554998</c:v>
                </c:pt>
                <c:pt idx="32">
                  <c:v>94.901150961158791</c:v>
                </c:pt>
                <c:pt idx="33">
                  <c:v>92.760180995475196</c:v>
                </c:pt>
                <c:pt idx="34">
                  <c:v>67.995597407362197</c:v>
                </c:pt>
                <c:pt idx="35">
                  <c:v>73.995208943305798</c:v>
                </c:pt>
                <c:pt idx="36">
                  <c:v>72.398190045248796</c:v>
                </c:pt>
                <c:pt idx="37">
                  <c:v>84.961971695388399</c:v>
                </c:pt>
                <c:pt idx="38">
                  <c:v>84.880636604774594</c:v>
                </c:pt>
                <c:pt idx="39">
                  <c:v>92.031597515146785</c:v>
                </c:pt>
                <c:pt idx="40">
                  <c:v>90.497737556560992</c:v>
                </c:pt>
                <c:pt idx="41">
                  <c:v>90.497737556560992</c:v>
                </c:pt>
              </c:numCache>
            </c:numRef>
          </c:val>
          <c:smooth val="0"/>
        </c:ser>
        <c:ser>
          <c:idx val="34"/>
          <c:order val="19"/>
          <c:tx>
            <c:strRef>
              <c:f>'Tea (Adjusted)'!$AK$6</c:f>
              <c:strCache>
                <c:ptCount val="1"/>
                <c:pt idx="0">
                  <c:v>Shiraz,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(Adjusted)'!$AK$7:$AK$107</c:f>
              <c:numCache>
                <c:formatCode>General</c:formatCode>
                <c:ptCount val="76"/>
                <c:pt idx="27" formatCode="0.0000">
                  <c:v>122.56582001804941</c:v>
                </c:pt>
                <c:pt idx="28" formatCode="0.0000">
                  <c:v>102.78180565065821</c:v>
                </c:pt>
                <c:pt idx="29" formatCode="0.0000">
                  <c:v>116.41622483727741</c:v>
                </c:pt>
                <c:pt idx="30" formatCode="0.0000">
                  <c:v>137.66021703521699</c:v>
                </c:pt>
                <c:pt idx="31" formatCode="0.0000">
                  <c:v>106.0624590036354</c:v>
                </c:pt>
                <c:pt idx="32" formatCode="0.0000">
                  <c:v>99.389140271493204</c:v>
                </c:pt>
                <c:pt idx="33" formatCode="0.0000">
                  <c:v>98.124057315233813</c:v>
                </c:pt>
                <c:pt idx="34" formatCode="0.0000">
                  <c:v>100.55429864253399</c:v>
                </c:pt>
                <c:pt idx="35" formatCode="0.0000">
                  <c:v>75.414781297134198</c:v>
                </c:pt>
                <c:pt idx="36" formatCode="0.0000">
                  <c:v>75.414781297134198</c:v>
                </c:pt>
                <c:pt idx="37" formatCode="0.0000">
                  <c:v>70.592182521180604</c:v>
                </c:pt>
                <c:pt idx="38" formatCode="0.0000">
                  <c:v>98.379633335234203</c:v>
                </c:pt>
                <c:pt idx="39" formatCode="0.0000">
                  <c:v>98.926513393692389</c:v>
                </c:pt>
                <c:pt idx="40" formatCode="0.0000">
                  <c:v>90.654558358903401</c:v>
                </c:pt>
                <c:pt idx="41" formatCode="0.0000">
                  <c:v>106.2736945089886</c:v>
                </c:pt>
              </c:numCache>
            </c:numRef>
          </c:val>
          <c:smooth val="0"/>
        </c:ser>
        <c:ser>
          <c:idx val="0"/>
          <c:order val="20"/>
          <c:tx>
            <c:strRef>
              <c:f>'Tea (Adjusted)'!$AL$6</c:f>
              <c:strCache>
                <c:ptCount val="1"/>
                <c:pt idx="0">
                  <c:v>India, Imports, in pound/ton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'Tea (Adjusted)'!$AL$7:$AL$107</c:f>
              <c:numCache>
                <c:formatCode>General</c:formatCode>
                <c:ptCount val="76"/>
                <c:pt idx="8" formatCode="0.0000">
                  <c:v>224.60280825062134</c:v>
                </c:pt>
                <c:pt idx="9" formatCode="0.0000">
                  <c:v>222.98612062567088</c:v>
                </c:pt>
                <c:pt idx="10" formatCode="0.0000">
                  <c:v>223.55067551977237</c:v>
                </c:pt>
                <c:pt idx="11" formatCode="0.0000">
                  <c:v>223.99960720773802</c:v>
                </c:pt>
                <c:pt idx="12" formatCode="0.0000">
                  <c:v>224.00011061023767</c:v>
                </c:pt>
                <c:pt idx="13" formatCode="0.0000">
                  <c:v>223.99990915583464</c:v>
                </c:pt>
                <c:pt idx="14" formatCode="0.0000">
                  <c:v>224.0023275005455</c:v>
                </c:pt>
                <c:pt idx="15" formatCode="0.0000">
                  <c:v>223.78211845604551</c:v>
                </c:pt>
                <c:pt idx="16" formatCode="0.0000">
                  <c:v>200.11079660681784</c:v>
                </c:pt>
                <c:pt idx="17" formatCode="0.0000">
                  <c:v>178.79929356805104</c:v>
                </c:pt>
                <c:pt idx="18" formatCode="0.0000">
                  <c:v>183.7979228017854</c:v>
                </c:pt>
                <c:pt idx="19" formatCode="0.0000">
                  <c:v>160.43082950813374</c:v>
                </c:pt>
                <c:pt idx="20" formatCode="0.0000">
                  <c:v>187.41980921027195</c:v>
                </c:pt>
                <c:pt idx="21" formatCode="0.0000">
                  <c:v>182.91923897343099</c:v>
                </c:pt>
                <c:pt idx="22" formatCode="0.0000">
                  <c:v>157.21423922013545</c:v>
                </c:pt>
                <c:pt idx="23" formatCode="0.0000">
                  <c:v>157.18761143330721</c:v>
                </c:pt>
                <c:pt idx="24" formatCode="0.0000">
                  <c:v>174.21464599351265</c:v>
                </c:pt>
                <c:pt idx="25" formatCode="0.0000">
                  <c:v>188.21630740354925</c:v>
                </c:pt>
                <c:pt idx="26" formatCode="0.0000">
                  <c:v>170.14470357648483</c:v>
                </c:pt>
                <c:pt idx="27" formatCode="0.0000">
                  <c:v>172.35013200162683</c:v>
                </c:pt>
                <c:pt idx="28" formatCode="0.0000">
                  <c:v>160.97045370255901</c:v>
                </c:pt>
                <c:pt idx="29" formatCode="0.0000">
                  <c:v>149.39758389126587</c:v>
                </c:pt>
                <c:pt idx="30" formatCode="0.0000">
                  <c:v>151.3408860843445</c:v>
                </c:pt>
                <c:pt idx="31" formatCode="0.0000">
                  <c:v>152.68650283186108</c:v>
                </c:pt>
                <c:pt idx="32" formatCode="0.0000">
                  <c:v>156.25342101241031</c:v>
                </c:pt>
                <c:pt idx="33" formatCode="0.0000">
                  <c:v>164.88326935788061</c:v>
                </c:pt>
                <c:pt idx="34" formatCode="0.0000">
                  <c:v>166.66674558001768</c:v>
                </c:pt>
                <c:pt idx="35" formatCode="0.0000">
                  <c:v>75.724368298428985</c:v>
                </c:pt>
                <c:pt idx="36" formatCode="0.0000">
                  <c:v>84.67382754550863</c:v>
                </c:pt>
                <c:pt idx="37" formatCode="0.0000">
                  <c:v>90.599041725887361</c:v>
                </c:pt>
                <c:pt idx="38" formatCode="0.0000">
                  <c:v>82.346748871993569</c:v>
                </c:pt>
                <c:pt idx="39" formatCode="0.0000">
                  <c:v>75.471353282822889</c:v>
                </c:pt>
                <c:pt idx="40" formatCode="0.0000">
                  <c:v>73.961495558536683</c:v>
                </c:pt>
                <c:pt idx="41" formatCode="0.0000">
                  <c:v>76.546701543326549</c:v>
                </c:pt>
                <c:pt idx="42" formatCode="0.0000">
                  <c:v>74.745959312422315</c:v>
                </c:pt>
                <c:pt idx="43" formatCode="0.0000">
                  <c:v>79.929382850915331</c:v>
                </c:pt>
                <c:pt idx="45" formatCode="0.0000">
                  <c:v>75.815303411709863</c:v>
                </c:pt>
                <c:pt idx="46" formatCode="0.0000">
                  <c:v>72.12354366836594</c:v>
                </c:pt>
                <c:pt idx="47" formatCode="0.0000">
                  <c:v>89.853722695729118</c:v>
                </c:pt>
                <c:pt idx="48" formatCode="0.0000">
                  <c:v>86.813650908759882</c:v>
                </c:pt>
                <c:pt idx="49" formatCode="0.0000">
                  <c:v>72.402141784631652</c:v>
                </c:pt>
                <c:pt idx="50" formatCode="0.0000">
                  <c:v>71.346528835980777</c:v>
                </c:pt>
                <c:pt idx="51" formatCode="0.0000">
                  <c:v>66.99572159979175</c:v>
                </c:pt>
                <c:pt idx="52" formatCode="0.0000">
                  <c:v>66.196010294297366</c:v>
                </c:pt>
                <c:pt idx="53" formatCode="0.0000">
                  <c:v>69.206844918839892</c:v>
                </c:pt>
                <c:pt idx="54" formatCode="0.0000">
                  <c:v>71.533550744133294</c:v>
                </c:pt>
                <c:pt idx="55" formatCode="0.0000">
                  <c:v>72.372320282501235</c:v>
                </c:pt>
                <c:pt idx="56" formatCode="0.0000">
                  <c:v>81.389686731012134</c:v>
                </c:pt>
                <c:pt idx="57" formatCode="0.0000">
                  <c:v>87.762654972754646</c:v>
                </c:pt>
                <c:pt idx="58" formatCode="0.0000">
                  <c:v>93.976961550338999</c:v>
                </c:pt>
                <c:pt idx="59" formatCode="0.0000">
                  <c:v>119.12064427446316</c:v>
                </c:pt>
                <c:pt idx="60" formatCode="0.0000">
                  <c:v>163.22423742182917</c:v>
                </c:pt>
              </c:numCache>
            </c:numRef>
          </c:val>
          <c:smooth val="0"/>
        </c:ser>
        <c:ser>
          <c:idx val="1"/>
          <c:order val="21"/>
          <c:tx>
            <c:strRef>
              <c:f>'Tea (Adjusted)'!$AM$6</c:f>
              <c:strCache>
                <c:ptCount val="1"/>
                <c:pt idx="0">
                  <c:v>India, Exports, in pound/ton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'Tea (Adjusted)'!$AM$7:$AM$107</c:f>
              <c:numCache>
                <c:formatCode>General</c:formatCode>
                <c:ptCount val="76"/>
                <c:pt idx="8" formatCode="0.0000">
                  <c:v>209.25228405711681</c:v>
                </c:pt>
                <c:pt idx="9" formatCode="0.0000">
                  <c:v>191.94902394232582</c:v>
                </c:pt>
                <c:pt idx="10" formatCode="0.0000">
                  <c:v>189.77179120437458</c:v>
                </c:pt>
                <c:pt idx="11" formatCode="0.0000">
                  <c:v>162.01798754385783</c:v>
                </c:pt>
                <c:pt idx="12" formatCode="0.0000">
                  <c:v>151.78305149263724</c:v>
                </c:pt>
                <c:pt idx="13" formatCode="0.0000">
                  <c:v>155.91770397913982</c:v>
                </c:pt>
                <c:pt idx="14" formatCode="0.0000">
                  <c:v>186.16218002311228</c:v>
                </c:pt>
                <c:pt idx="15" formatCode="0.0000">
                  <c:v>183.29794202658434</c:v>
                </c:pt>
                <c:pt idx="16" formatCode="0.0000">
                  <c:v>151.14687287327141</c:v>
                </c:pt>
                <c:pt idx="17" formatCode="0.0000">
                  <c:v>162.0054090893166</c:v>
                </c:pt>
                <c:pt idx="18" formatCode="0.0000">
                  <c:v>123.78935063353461</c:v>
                </c:pt>
                <c:pt idx="19" formatCode="0.0000">
                  <c:v>108.41871410423558</c:v>
                </c:pt>
                <c:pt idx="20" formatCode="0.0000">
                  <c:v>112.34387234817174</c:v>
                </c:pt>
                <c:pt idx="21" formatCode="0.0000">
                  <c:v>98.61313855595985</c:v>
                </c:pt>
                <c:pt idx="22" formatCode="0.0000">
                  <c:v>105.81225663355191</c:v>
                </c:pt>
                <c:pt idx="23" formatCode="0.0000">
                  <c:v>90.451055222251398</c:v>
                </c:pt>
                <c:pt idx="24" formatCode="0.0000">
                  <c:v>86.276727918100534</c:v>
                </c:pt>
                <c:pt idx="25" formatCode="0.0000">
                  <c:v>75.858768044236385</c:v>
                </c:pt>
                <c:pt idx="26" formatCode="0.0000">
                  <c:v>79.11830106676021</c:v>
                </c:pt>
                <c:pt idx="27" formatCode="0.0000">
                  <c:v>64.522856189522855</c:v>
                </c:pt>
                <c:pt idx="28" formatCode="0.0000">
                  <c:v>58.81055297721965</c:v>
                </c:pt>
                <c:pt idx="29" formatCode="0.0000">
                  <c:v>52.752411502411505</c:v>
                </c:pt>
                <c:pt idx="30" formatCode="0.0000">
                  <c:v>64.382185215518547</c:v>
                </c:pt>
                <c:pt idx="31" formatCode="0.0000">
                  <c:v>60.471532138198803</c:v>
                </c:pt>
                <c:pt idx="32" formatCode="0.0000">
                  <c:v>44.275184275184266</c:v>
                </c:pt>
                <c:pt idx="33" formatCode="0.0000">
                  <c:v>56.526068004627007</c:v>
                </c:pt>
                <c:pt idx="34" formatCode="0.0000">
                  <c:v>36.78972972899394</c:v>
                </c:pt>
                <c:pt idx="35" formatCode="0.0000">
                  <c:v>54.479960165695957</c:v>
                </c:pt>
                <c:pt idx="36" formatCode="0.0000">
                  <c:v>51.13184644846018</c:v>
                </c:pt>
                <c:pt idx="37" formatCode="0.0000">
                  <c:v>49.428283064191724</c:v>
                </c:pt>
                <c:pt idx="38" formatCode="0.0000">
                  <c:v>49.448294847522135</c:v>
                </c:pt>
                <c:pt idx="39" formatCode="0.0000">
                  <c:v>45.811146923617251</c:v>
                </c:pt>
                <c:pt idx="40" formatCode="0.0000">
                  <c:v>49.232804205706117</c:v>
                </c:pt>
                <c:pt idx="41" formatCode="0.0000">
                  <c:v>37.836258880580395</c:v>
                </c:pt>
                <c:pt idx="42" formatCode="0.0000">
                  <c:v>42.841616948691588</c:v>
                </c:pt>
                <c:pt idx="43" formatCode="0.0000">
                  <c:v>46.744314456777978</c:v>
                </c:pt>
                <c:pt idx="44" formatCode="0.0000">
                  <c:v>49.492147343359044</c:v>
                </c:pt>
                <c:pt idx="45" formatCode="0.0000">
                  <c:v>42.837897898052795</c:v>
                </c:pt>
                <c:pt idx="46" formatCode="0.0000">
                  <c:v>43.792538160538605</c:v>
                </c:pt>
                <c:pt idx="47" formatCode="0.0000">
                  <c:v>59.743327195435022</c:v>
                </c:pt>
                <c:pt idx="48" formatCode="0.0000">
                  <c:v>63.193493582613854</c:v>
                </c:pt>
                <c:pt idx="49" formatCode="0.0000">
                  <c:v>54.149481034159201</c:v>
                </c:pt>
                <c:pt idx="50" formatCode="0.0000">
                  <c:v>54.944951368967615</c:v>
                </c:pt>
                <c:pt idx="51" formatCode="0.0000">
                  <c:v>61.430755664451027</c:v>
                </c:pt>
                <c:pt idx="52" formatCode="0.0000">
                  <c:v>61.070698971971645</c:v>
                </c:pt>
                <c:pt idx="53" formatCode="0.0000">
                  <c:v>57.562550512179769</c:v>
                </c:pt>
                <c:pt idx="54" formatCode="0.0000">
                  <c:v>39.068750000000001</c:v>
                </c:pt>
                <c:pt idx="55" formatCode="0.0000">
                  <c:v>53.174395938284114</c:v>
                </c:pt>
                <c:pt idx="56" formatCode="0.0000">
                  <c:v>51.880273610147562</c:v>
                </c:pt>
                <c:pt idx="57" formatCode="0.0000">
                  <c:v>48.303365714329281</c:v>
                </c:pt>
                <c:pt idx="58" formatCode="0.0000">
                  <c:v>41.923257732956387</c:v>
                </c:pt>
                <c:pt idx="59" formatCode="0.0000">
                  <c:v>42.17954324631922</c:v>
                </c:pt>
                <c:pt idx="60" formatCode="0.0000">
                  <c:v>50.144582238052784</c:v>
                </c:pt>
                <c:pt idx="61" formatCode="0.0000">
                  <c:v>18.287500000000001</c:v>
                </c:pt>
                <c:pt idx="62" formatCode="0.0000">
                  <c:v>54.250000000000007</c:v>
                </c:pt>
                <c:pt idx="63" formatCode="0.0000">
                  <c:v>79.40625</c:v>
                </c:pt>
                <c:pt idx="64" formatCode="0.0000">
                  <c:v>76.5625</c:v>
                </c:pt>
                <c:pt idx="65" formatCode="0.0000">
                  <c:v>73.5</c:v>
                </c:pt>
                <c:pt idx="66" formatCode="0.0000">
                  <c:v>71.96875</c:v>
                </c:pt>
                <c:pt idx="67" formatCode="0.0000">
                  <c:v>62.125</c:v>
                </c:pt>
                <c:pt idx="68" formatCode="0.0000">
                  <c:v>63.437500000000007</c:v>
                </c:pt>
                <c:pt idx="69" formatCode="0.0000">
                  <c:v>55.5625</c:v>
                </c:pt>
                <c:pt idx="70" formatCode="0.0000">
                  <c:v>38.654411764705877</c:v>
                </c:pt>
                <c:pt idx="71" formatCode="0.0000">
                  <c:v>29.286764705882351</c:v>
                </c:pt>
              </c:numCache>
            </c:numRef>
          </c:val>
          <c:smooth val="0"/>
        </c:ser>
        <c:ser>
          <c:idx val="2"/>
          <c:order val="22"/>
          <c:tx>
            <c:strRef>
              <c:f>'Tea (Adjusted)'!$AN$6</c:f>
              <c:strCache>
                <c:ptCount val="1"/>
                <c:pt idx="0">
                  <c:v>India, Wholesale,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'Tea (Adjusted)'!$AN$7:$AN$107</c:f>
              <c:numCache>
                <c:formatCode>General</c:formatCode>
                <c:ptCount val="76"/>
                <c:pt idx="13" formatCode="0.0000">
                  <c:v>196.0291666666667</c:v>
                </c:pt>
                <c:pt idx="24" formatCode="0.0000">
                  <c:v>98.67936117936118</c:v>
                </c:pt>
                <c:pt idx="25" formatCode="0.0000">
                  <c:v>100.22727272727273</c:v>
                </c:pt>
                <c:pt idx="26" formatCode="0.0000">
                  <c:v>96.250000000000014</c:v>
                </c:pt>
                <c:pt idx="27" formatCode="0.0000">
                  <c:v>94.791666666666671</c:v>
                </c:pt>
                <c:pt idx="28" formatCode="0.0000">
                  <c:v>83.572891072891082</c:v>
                </c:pt>
                <c:pt idx="29" formatCode="0.0000">
                  <c:v>91.781670831670809</c:v>
                </c:pt>
                <c:pt idx="30" formatCode="0.0000">
                  <c:v>90.883281872911482</c:v>
                </c:pt>
                <c:pt idx="31" formatCode="0.0000">
                  <c:v>98.778077903077872</c:v>
                </c:pt>
                <c:pt idx="32" formatCode="0.0000">
                  <c:v>78.523387022349979</c:v>
                </c:pt>
                <c:pt idx="33" formatCode="0.0000">
                  <c:v>71.815006073522113</c:v>
                </c:pt>
                <c:pt idx="34" formatCode="0.0000">
                  <c:v>67.429270305901426</c:v>
                </c:pt>
                <c:pt idx="35" formatCode="0.0000">
                  <c:v>69.177141985694817</c:v>
                </c:pt>
                <c:pt idx="36" formatCode="0.0000">
                  <c:v>63.880255255211459</c:v>
                </c:pt>
                <c:pt idx="37" formatCode="0.0000">
                  <c:v>59.408439367701042</c:v>
                </c:pt>
                <c:pt idx="38" formatCode="0.0000">
                  <c:v>58.139874249249239</c:v>
                </c:pt>
                <c:pt idx="39" formatCode="0.0000">
                  <c:v>62.709645771475202</c:v>
                </c:pt>
                <c:pt idx="40" formatCode="0.0000">
                  <c:v>61.817917897581886</c:v>
                </c:pt>
                <c:pt idx="41" formatCode="0.0000">
                  <c:v>60.052373025195266</c:v>
                </c:pt>
                <c:pt idx="42" formatCode="0.0000">
                  <c:v>58.952577575503504</c:v>
                </c:pt>
                <c:pt idx="43" formatCode="0.0000">
                  <c:v>61.298668233446229</c:v>
                </c:pt>
                <c:pt idx="44" formatCode="0.0000">
                  <c:v>69.106327071812288</c:v>
                </c:pt>
                <c:pt idx="45" formatCode="0.0000">
                  <c:v>69.142342342398521</c:v>
                </c:pt>
                <c:pt idx="46" formatCode="0.0000">
                  <c:v>76.32350532345383</c:v>
                </c:pt>
                <c:pt idx="47" formatCode="0.0000">
                  <c:v>86.044119099019284</c:v>
                </c:pt>
                <c:pt idx="48" formatCode="0.0000">
                  <c:v>86.002211493026536</c:v>
                </c:pt>
                <c:pt idx="49" formatCode="0.0000">
                  <c:v>87.864114114114116</c:v>
                </c:pt>
                <c:pt idx="50" formatCode="0.0000">
                  <c:v>85.06971251142815</c:v>
                </c:pt>
                <c:pt idx="51" formatCode="0.0000">
                  <c:v>82.744590314332456</c:v>
                </c:pt>
                <c:pt idx="52" formatCode="0.0000">
                  <c:v>79.035293356789865</c:v>
                </c:pt>
                <c:pt idx="53" formatCode="0.0000">
                  <c:v>79.539837913795836</c:v>
                </c:pt>
                <c:pt idx="54" formatCode="0.0000">
                  <c:v>73.1111111111111</c:v>
                </c:pt>
                <c:pt idx="55" formatCode="0.0000">
                  <c:v>85.069444444444443</c:v>
                </c:pt>
                <c:pt idx="56" formatCode="0.0000">
                  <c:v>84.598953703600017</c:v>
                </c:pt>
                <c:pt idx="57" formatCode="0.0000">
                  <c:v>78.182287036933346</c:v>
                </c:pt>
                <c:pt idx="58" formatCode="0.0000">
                  <c:v>91.387722209777777</c:v>
                </c:pt>
                <c:pt idx="59" formatCode="0.0000">
                  <c:v>95.8296449976948</c:v>
                </c:pt>
                <c:pt idx="60" formatCode="0.0000">
                  <c:v>56.054934297225053</c:v>
                </c:pt>
                <c:pt idx="61" formatCode="0.0000">
                  <c:v>69.61111111080001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818944"/>
        <c:axId val="698840224"/>
      </c:lineChart>
      <c:catAx>
        <c:axId val="69881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840224"/>
        <c:crosses val="autoZero"/>
        <c:auto val="1"/>
        <c:lblAlgn val="ctr"/>
        <c:lblOffset val="100"/>
        <c:noMultiLvlLbl val="0"/>
      </c:catAx>
      <c:valAx>
        <c:axId val="698840224"/>
        <c:scaling>
          <c:orientation val="minMax"/>
          <c:max val="4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81894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334951097864668"/>
          <c:y val="9.9657448579951693E-2"/>
          <c:w val="0.21997108497627055"/>
          <c:h val="0.795110195151637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Tea, Black Sea, Caspian Sea, Persia, Persian Gulf &amp; India, in pound/ton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'Tea (Adjusted)'!$K$6</c:f>
              <c:strCache>
                <c:ptCount val="1"/>
                <c:pt idx="0">
                  <c:v>Turkey &amp; Constantinople,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(Adjusted)'!$K$7:$K$107</c:f>
              <c:numCache>
                <c:formatCode>0.0000</c:formatCode>
                <c:ptCount val="76"/>
                <c:pt idx="25">
                  <c:v>187.21872187218727</c:v>
                </c:pt>
                <c:pt idx="27">
                  <c:v>136.56538067599863</c:v>
                </c:pt>
                <c:pt idx="47">
                  <c:v>110.11904761904762</c:v>
                </c:pt>
                <c:pt idx="50">
                  <c:v>69.861349342481404</c:v>
                </c:pt>
                <c:pt idx="51">
                  <c:v>80.840743734842363</c:v>
                </c:pt>
              </c:numCache>
            </c:numRef>
          </c:val>
          <c:smooth val="0"/>
        </c:ser>
        <c:ser>
          <c:idx val="8"/>
          <c:order val="1"/>
          <c:tx>
            <c:strRef>
              <c:f>'Tea (Adjusted)'!$L$6</c:f>
              <c:strCache>
                <c:ptCount val="1"/>
                <c:pt idx="0">
                  <c:v>Turkey,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(Adjusted)'!$L$7:$L$107</c:f>
              <c:numCache>
                <c:formatCode>0.0000</c:formatCode>
                <c:ptCount val="76"/>
                <c:pt idx="50">
                  <c:v>43.022820800598581</c:v>
                </c:pt>
              </c:numCache>
            </c:numRef>
          </c:val>
          <c:smooth val="0"/>
        </c:ser>
        <c:ser>
          <c:idx val="10"/>
          <c:order val="2"/>
          <c:tx>
            <c:strRef>
              <c:f>'Tea (Adjusted)'!$M$6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(Adjusted)'!$M$7:$M$107</c:f>
              <c:numCache>
                <c:formatCode>0.0000</c:formatCode>
                <c:ptCount val="76"/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160</c:v>
                </c:pt>
                <c:pt idx="17">
                  <c:v>200</c:v>
                </c:pt>
                <c:pt idx="18">
                  <c:v>160</c:v>
                </c:pt>
                <c:pt idx="19">
                  <c:v>160</c:v>
                </c:pt>
                <c:pt idx="20">
                  <c:v>160</c:v>
                </c:pt>
                <c:pt idx="21">
                  <c:v>160</c:v>
                </c:pt>
                <c:pt idx="22">
                  <c:v>160</c:v>
                </c:pt>
                <c:pt idx="23">
                  <c:v>160</c:v>
                </c:pt>
                <c:pt idx="24">
                  <c:v>110</c:v>
                </c:pt>
                <c:pt idx="25">
                  <c:v>100</c:v>
                </c:pt>
                <c:pt idx="26">
                  <c:v>100</c:v>
                </c:pt>
                <c:pt idx="27">
                  <c:v>100.01895734597159</c:v>
                </c:pt>
                <c:pt idx="28">
                  <c:v>120.04683840749421</c:v>
                </c:pt>
                <c:pt idx="29">
                  <c:v>120.03053435114501</c:v>
                </c:pt>
                <c:pt idx="30">
                  <c:v>120</c:v>
                </c:pt>
                <c:pt idx="31">
                  <c:v>119.95850622406641</c:v>
                </c:pt>
                <c:pt idx="32">
                  <c:v>120.0280504908836</c:v>
                </c:pt>
                <c:pt idx="33">
                  <c:v>99.964349376114001</c:v>
                </c:pt>
                <c:pt idx="34">
                  <c:v>91.973018549746996</c:v>
                </c:pt>
                <c:pt idx="35">
                  <c:v>92.034139402560399</c:v>
                </c:pt>
                <c:pt idx="36">
                  <c:v>91.979434447300804</c:v>
                </c:pt>
                <c:pt idx="37">
                  <c:v>80</c:v>
                </c:pt>
                <c:pt idx="38">
                  <c:v>80.02265005662521</c:v>
                </c:pt>
                <c:pt idx="39">
                  <c:v>60.063091482649796</c:v>
                </c:pt>
                <c:pt idx="40">
                  <c:v>59.927971188475404</c:v>
                </c:pt>
                <c:pt idx="41">
                  <c:v>79.956896551724199</c:v>
                </c:pt>
                <c:pt idx="42">
                  <c:v>72.168067226890798</c:v>
                </c:pt>
                <c:pt idx="43">
                  <c:v>56.682692307692399</c:v>
                </c:pt>
                <c:pt idx="44">
                  <c:v>72.176656151419593</c:v>
                </c:pt>
                <c:pt idx="45">
                  <c:v>71.966527196652791</c:v>
                </c:pt>
                <c:pt idx="46">
                  <c:v>71.989596879063797</c:v>
                </c:pt>
                <c:pt idx="47">
                  <c:v>72.026143790849602</c:v>
                </c:pt>
                <c:pt idx="48">
                  <c:v>67.077441077440994</c:v>
                </c:pt>
                <c:pt idx="49">
                  <c:v>73.262599469495996</c:v>
                </c:pt>
              </c:numCache>
            </c:numRef>
          </c:val>
          <c:smooth val="0"/>
        </c:ser>
        <c:ser>
          <c:idx val="11"/>
          <c:order val="3"/>
          <c:tx>
            <c:strRef>
              <c:f>'Tea (Adjusted)'!$N$6</c:f>
              <c:strCache>
                <c:ptCount val="1"/>
                <c:pt idx="0">
                  <c:v>Trebizond (Persia),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(Adjusted)'!$N$7:$N$107</c:f>
              <c:numCache>
                <c:formatCode>0.0000</c:formatCode>
                <c:ptCount val="76"/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7">
                  <c:v>200</c:v>
                </c:pt>
                <c:pt idx="18">
                  <c:v>160</c:v>
                </c:pt>
                <c:pt idx="19">
                  <c:v>160</c:v>
                </c:pt>
                <c:pt idx="20">
                  <c:v>160</c:v>
                </c:pt>
                <c:pt idx="21">
                  <c:v>160</c:v>
                </c:pt>
                <c:pt idx="22">
                  <c:v>160</c:v>
                </c:pt>
                <c:pt idx="23">
                  <c:v>247.97064634490599</c:v>
                </c:pt>
                <c:pt idx="24">
                  <c:v>174.22790202342921</c:v>
                </c:pt>
                <c:pt idx="25">
                  <c:v>160</c:v>
                </c:pt>
                <c:pt idx="26">
                  <c:v>160</c:v>
                </c:pt>
                <c:pt idx="27">
                  <c:v>120</c:v>
                </c:pt>
                <c:pt idx="28">
                  <c:v>120</c:v>
                </c:pt>
                <c:pt idx="29">
                  <c:v>120</c:v>
                </c:pt>
                <c:pt idx="30">
                  <c:v>120</c:v>
                </c:pt>
                <c:pt idx="31">
                  <c:v>120</c:v>
                </c:pt>
                <c:pt idx="32">
                  <c:v>120</c:v>
                </c:pt>
                <c:pt idx="33">
                  <c:v>120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92.001278772378598</c:v>
                </c:pt>
                <c:pt idx="38">
                  <c:v>87.997512437811011</c:v>
                </c:pt>
                <c:pt idx="39">
                  <c:v>80</c:v>
                </c:pt>
                <c:pt idx="40">
                  <c:v>60</c:v>
                </c:pt>
                <c:pt idx="41">
                  <c:v>72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80.011474469305796</c:v>
                </c:pt>
                <c:pt idx="47">
                  <c:v>84.021257750221409</c:v>
                </c:pt>
                <c:pt idx="48">
                  <c:v>73.400000000000006</c:v>
                </c:pt>
                <c:pt idx="49">
                  <c:v>56</c:v>
                </c:pt>
              </c:numCache>
            </c:numRef>
          </c:val>
          <c:smooth val="0"/>
        </c:ser>
        <c:ser>
          <c:idx val="13"/>
          <c:order val="4"/>
          <c:tx>
            <c:strRef>
              <c:f>'Tea (Adjusted)'!$P$6</c:f>
              <c:strCache>
                <c:ptCount val="1"/>
                <c:pt idx="0">
                  <c:v>Ispahan &amp; Yezd,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(Adjusted)'!$P$7:$P$107</c:f>
              <c:numCache>
                <c:formatCode>0.0000</c:formatCode>
                <c:ptCount val="76"/>
                <c:pt idx="45">
                  <c:v>200.51741283507897</c:v>
                </c:pt>
                <c:pt idx="46">
                  <c:v>230.17808320401886</c:v>
                </c:pt>
                <c:pt idx="50">
                  <c:v>162.12389380530979</c:v>
                </c:pt>
                <c:pt idx="51">
                  <c:v>223.265519040166</c:v>
                </c:pt>
                <c:pt idx="52">
                  <c:v>271.38147773279411</c:v>
                </c:pt>
              </c:numCache>
            </c:numRef>
          </c:val>
          <c:smooth val="0"/>
        </c:ser>
        <c:ser>
          <c:idx val="15"/>
          <c:order val="5"/>
          <c:tx>
            <c:strRef>
              <c:f>'Tea (Adjusted)'!$R$6</c:f>
              <c:strCache>
                <c:ptCount val="1"/>
                <c:pt idx="0">
                  <c:v>Khorasan,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(Adjusted)'!$R$7:$R$107</c:f>
              <c:numCache>
                <c:formatCode>0.0000</c:formatCode>
                <c:ptCount val="76"/>
                <c:pt idx="42">
                  <c:v>92.358738892240794</c:v>
                </c:pt>
                <c:pt idx="43">
                  <c:v>110.96326008033684</c:v>
                </c:pt>
                <c:pt idx="44">
                  <c:v>141.62863959459713</c:v>
                </c:pt>
                <c:pt idx="45">
                  <c:v>152.90989215952419</c:v>
                </c:pt>
                <c:pt idx="46">
                  <c:v>132.04450697243186</c:v>
                </c:pt>
                <c:pt idx="47">
                  <c:v>181.50163300308347</c:v>
                </c:pt>
                <c:pt idx="48">
                  <c:v>174.84340315171767</c:v>
                </c:pt>
                <c:pt idx="49">
                  <c:v>203.71473089414116</c:v>
                </c:pt>
                <c:pt idx="50">
                  <c:v>167.41601796093082</c:v>
                </c:pt>
                <c:pt idx="51">
                  <c:v>176.67968805650779</c:v>
                </c:pt>
                <c:pt idx="52">
                  <c:v>182.44049814522896</c:v>
                </c:pt>
              </c:numCache>
            </c:numRef>
          </c:val>
          <c:smooth val="0"/>
        </c:ser>
        <c:ser>
          <c:idx val="16"/>
          <c:order val="6"/>
          <c:tx>
            <c:strRef>
              <c:f>'Tea (Adjusted)'!$S$6</c:f>
              <c:strCache>
                <c:ptCount val="1"/>
                <c:pt idx="0">
                  <c:v>Khorasan,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(Adjusted)'!$S$7:$S$107</c:f>
              <c:numCache>
                <c:formatCode>0.0000</c:formatCode>
                <c:ptCount val="76"/>
                <c:pt idx="42">
                  <c:v>105.15777885079667</c:v>
                </c:pt>
                <c:pt idx="43">
                  <c:v>151.85447101516695</c:v>
                </c:pt>
                <c:pt idx="44">
                  <c:v>125.77589323866806</c:v>
                </c:pt>
                <c:pt idx="45">
                  <c:v>141.34010548935333</c:v>
                </c:pt>
                <c:pt idx="46">
                  <c:v>147.99188004432631</c:v>
                </c:pt>
                <c:pt idx="47">
                  <c:v>186.6736456425019</c:v>
                </c:pt>
                <c:pt idx="48">
                  <c:v>196.08138143272356</c:v>
                </c:pt>
                <c:pt idx="49">
                  <c:v>139.15376335182583</c:v>
                </c:pt>
                <c:pt idx="50">
                  <c:v>182.4198329291296</c:v>
                </c:pt>
                <c:pt idx="51">
                  <c:v>200.14892032762478</c:v>
                </c:pt>
                <c:pt idx="52">
                  <c:v>186.2519602718244</c:v>
                </c:pt>
              </c:numCache>
            </c:numRef>
          </c:val>
          <c:smooth val="0"/>
        </c:ser>
        <c:ser>
          <c:idx val="17"/>
          <c:order val="7"/>
          <c:tx>
            <c:strRef>
              <c:f>'Tea (Adjusted)'!$T$6</c:f>
              <c:strCache>
                <c:ptCount val="1"/>
                <c:pt idx="0">
                  <c:v>Kermanshah,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(Adjusted)'!$T$7:$T$107</c:f>
              <c:numCache>
                <c:formatCode>0.0000</c:formatCode>
                <c:ptCount val="76"/>
                <c:pt idx="40">
                  <c:v>100.7156094826034</c:v>
                </c:pt>
                <c:pt idx="41">
                  <c:v>99.426462309167391</c:v>
                </c:pt>
                <c:pt idx="42">
                  <c:v>117.4045906975016</c:v>
                </c:pt>
                <c:pt idx="43">
                  <c:v>115.9513472959212</c:v>
                </c:pt>
                <c:pt idx="44">
                  <c:v>92.144064665308193</c:v>
                </c:pt>
                <c:pt idx="45">
                  <c:v>87.563574571385203</c:v>
                </c:pt>
                <c:pt idx="47">
                  <c:v>116.9986938887744</c:v>
                </c:pt>
                <c:pt idx="48">
                  <c:v>114.23769507803121</c:v>
                </c:pt>
                <c:pt idx="49">
                  <c:v>107.46470920383959</c:v>
                </c:pt>
                <c:pt idx="50">
                  <c:v>105.79901153212519</c:v>
                </c:pt>
                <c:pt idx="51">
                  <c:v>110.88366336633661</c:v>
                </c:pt>
                <c:pt idx="52">
                  <c:v>135.03115814226919</c:v>
                </c:pt>
              </c:numCache>
            </c:numRef>
          </c:val>
          <c:smooth val="0"/>
        </c:ser>
        <c:ser>
          <c:idx val="18"/>
          <c:order val="8"/>
          <c:tx>
            <c:strRef>
              <c:f>'Tea (Adjusted)'!$V$6</c:f>
              <c:strCache>
                <c:ptCount val="1"/>
                <c:pt idx="0">
                  <c:v>Kerman,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(Adjusted)'!$V$7:$V$107</c:f>
              <c:numCache>
                <c:formatCode>0.0000</c:formatCode>
                <c:ptCount val="76"/>
                <c:pt idx="34">
                  <c:v>179.20000000000002</c:v>
                </c:pt>
                <c:pt idx="45">
                  <c:v>98.036199095022596</c:v>
                </c:pt>
                <c:pt idx="46">
                  <c:v>98.039215686274602</c:v>
                </c:pt>
                <c:pt idx="47">
                  <c:v>98.031674208144807</c:v>
                </c:pt>
                <c:pt idx="48">
                  <c:v>27.144823367487398</c:v>
                </c:pt>
                <c:pt idx="49">
                  <c:v>118.77828054298641</c:v>
                </c:pt>
                <c:pt idx="50">
                  <c:v>114.25339366515833</c:v>
                </c:pt>
                <c:pt idx="51">
                  <c:v>106.33484162895924</c:v>
                </c:pt>
                <c:pt idx="52">
                  <c:v>96.15384615384616</c:v>
                </c:pt>
              </c:numCache>
            </c:numRef>
          </c:val>
          <c:smooth val="0"/>
        </c:ser>
        <c:ser>
          <c:idx val="19"/>
          <c:order val="9"/>
          <c:tx>
            <c:strRef>
              <c:f>'Tea (Adjusted)'!$W$6</c:f>
              <c:strCache>
                <c:ptCount val="1"/>
                <c:pt idx="0">
                  <c:v>Bam,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(Adjusted)'!$W$7:$W$107</c:f>
              <c:numCache>
                <c:formatCode>0.0000</c:formatCode>
                <c:ptCount val="76"/>
                <c:pt idx="52">
                  <c:v>470.51762940735165</c:v>
                </c:pt>
              </c:numCache>
            </c:numRef>
          </c:val>
          <c:smooth val="0"/>
        </c:ser>
        <c:ser>
          <c:idx val="20"/>
          <c:order val="10"/>
          <c:tx>
            <c:strRef>
              <c:f>'Tea (Adjusted)'!$X$6</c:f>
              <c:strCache>
                <c:ptCount val="1"/>
                <c:pt idx="0">
                  <c:v>Resht &amp; Mazandaran,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(Adjusted)'!$X$7:$X$107</c:f>
              <c:numCache>
                <c:formatCode>0.0000</c:formatCode>
                <c:ptCount val="76"/>
                <c:pt idx="13">
                  <c:v>320.00000000000028</c:v>
                </c:pt>
                <c:pt idx="14">
                  <c:v>308.96551724138016</c:v>
                </c:pt>
                <c:pt idx="15">
                  <c:v>344.71111111111134</c:v>
                </c:pt>
                <c:pt idx="33">
                  <c:v>263.86149463072445</c:v>
                </c:pt>
                <c:pt idx="42">
                  <c:v>114.45795339412358</c:v>
                </c:pt>
                <c:pt idx="46">
                  <c:v>160.63506642611119</c:v>
                </c:pt>
                <c:pt idx="47">
                  <c:v>178.67199072583236</c:v>
                </c:pt>
                <c:pt idx="48">
                  <c:v>159.82418658907164</c:v>
                </c:pt>
                <c:pt idx="49">
                  <c:v>154.0140142640727</c:v>
                </c:pt>
                <c:pt idx="50">
                  <c:v>140.17603703870884</c:v>
                </c:pt>
              </c:numCache>
            </c:numRef>
          </c:val>
          <c:smooth val="0"/>
        </c:ser>
        <c:ser>
          <c:idx val="23"/>
          <c:order val="11"/>
          <c:tx>
            <c:strRef>
              <c:f>'Tea (Adjusted)'!$Z$6</c:f>
              <c:strCache>
                <c:ptCount val="1"/>
                <c:pt idx="0">
                  <c:v>Ghilan &amp; Tunekabun,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(Adjusted)'!$Z$7:$Z$107</c:f>
              <c:numCache>
                <c:formatCode>0.0000</c:formatCode>
                <c:ptCount val="76"/>
                <c:pt idx="46">
                  <c:v>191.59940399628135</c:v>
                </c:pt>
                <c:pt idx="48">
                  <c:v>165.24665517524414</c:v>
                </c:pt>
                <c:pt idx="49">
                  <c:v>197.13474469390911</c:v>
                </c:pt>
                <c:pt idx="50">
                  <c:v>167.98004171050593</c:v>
                </c:pt>
              </c:numCache>
            </c:numRef>
          </c:val>
          <c:smooth val="0"/>
        </c:ser>
        <c:ser>
          <c:idx val="24"/>
          <c:order val="12"/>
          <c:tx>
            <c:strRef>
              <c:f>'Tea (Adjusted)'!$AA$6</c:f>
              <c:strCache>
                <c:ptCount val="1"/>
                <c:pt idx="0">
                  <c:v>Bender Gez &amp; Astarabad,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(Adjusted)'!$AA$7:$AA$107</c:f>
              <c:numCache>
                <c:formatCode>0.0000</c:formatCode>
                <c:ptCount val="76"/>
                <c:pt idx="18">
                  <c:v>365.58322683154273</c:v>
                </c:pt>
                <c:pt idx="46">
                  <c:v>153.73589046822741</c:v>
                </c:pt>
                <c:pt idx="47">
                  <c:v>160.09327456277546</c:v>
                </c:pt>
                <c:pt idx="48">
                  <c:v>142.00634225449593</c:v>
                </c:pt>
                <c:pt idx="49">
                  <c:v>147.13929061508767</c:v>
                </c:pt>
                <c:pt idx="50">
                  <c:v>143.47501418007903</c:v>
                </c:pt>
              </c:numCache>
            </c:numRef>
          </c:val>
          <c:smooth val="0"/>
        </c:ser>
        <c:ser>
          <c:idx val="25"/>
          <c:order val="13"/>
          <c:tx>
            <c:strRef>
              <c:f>'Tea (Adjusted)'!$AB$6</c:f>
              <c:strCache>
                <c:ptCount val="1"/>
                <c:pt idx="0">
                  <c:v>Astara,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(Adjusted)'!$AB$7:$AB$107</c:f>
              <c:numCache>
                <c:formatCode>0.0000</c:formatCode>
                <c:ptCount val="76"/>
                <c:pt idx="48">
                  <c:v>127.76238655608154</c:v>
                </c:pt>
                <c:pt idx="49">
                  <c:v>172.77032457496134</c:v>
                </c:pt>
                <c:pt idx="50">
                  <c:v>182.05352157042424</c:v>
                </c:pt>
              </c:numCache>
            </c:numRef>
          </c:val>
          <c:smooth val="0"/>
        </c:ser>
        <c:ser>
          <c:idx val="26"/>
          <c:order val="14"/>
          <c:tx>
            <c:strRef>
              <c:f>'Tea (Adjusted)'!$AC$6</c:f>
              <c:strCache>
                <c:ptCount val="1"/>
                <c:pt idx="0">
                  <c:v>Astara,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(Adjusted)'!$AC$7:$AC$107</c:f>
              <c:numCache>
                <c:formatCode>0.0000</c:formatCode>
                <c:ptCount val="76"/>
                <c:pt idx="48">
                  <c:v>236.35776297193536</c:v>
                </c:pt>
                <c:pt idx="49">
                  <c:v>194.92318795752141</c:v>
                </c:pt>
                <c:pt idx="50">
                  <c:v>196.14975995326859</c:v>
                </c:pt>
              </c:numCache>
            </c:numRef>
          </c:val>
          <c:smooth val="0"/>
        </c:ser>
        <c:ser>
          <c:idx val="27"/>
          <c:order val="15"/>
          <c:tx>
            <c:strRef>
              <c:f>'Tea (Adjusted)'!$AD$6</c:f>
              <c:strCache>
                <c:ptCount val="1"/>
                <c:pt idx="0">
                  <c:v>Sultanabad,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(Adjusted)'!$AD$7:$AD$107</c:f>
              <c:numCache>
                <c:formatCode>0.0000</c:formatCode>
                <c:ptCount val="76"/>
                <c:pt idx="51">
                  <c:v>449.12</c:v>
                </c:pt>
                <c:pt idx="52">
                  <c:v>328.5333333333341</c:v>
                </c:pt>
              </c:numCache>
            </c:numRef>
          </c:val>
          <c:smooth val="0"/>
        </c:ser>
        <c:ser>
          <c:idx val="28"/>
          <c:order val="16"/>
          <c:tx>
            <c:strRef>
              <c:f>'Tea (Adjusted)'!$AE$6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(Adjusted)'!$AE$7:$AE$107</c:f>
              <c:numCache>
                <c:formatCode>0.0000</c:formatCode>
                <c:ptCount val="76"/>
                <c:pt idx="43">
                  <c:v>55.974981384958944</c:v>
                </c:pt>
                <c:pt idx="44">
                  <c:v>55.979940298507451</c:v>
                </c:pt>
                <c:pt idx="45">
                  <c:v>65.218541089565917</c:v>
                </c:pt>
                <c:pt idx="46">
                  <c:v>59.733333333333405</c:v>
                </c:pt>
                <c:pt idx="47">
                  <c:v>74.666666666666586</c:v>
                </c:pt>
                <c:pt idx="48">
                  <c:v>74.66639844334675</c:v>
                </c:pt>
                <c:pt idx="49">
                  <c:v>79.333168462580261</c:v>
                </c:pt>
                <c:pt idx="50">
                  <c:v>79.999999999999972</c:v>
                </c:pt>
                <c:pt idx="51">
                  <c:v>93.319610264855299</c:v>
                </c:pt>
                <c:pt idx="52">
                  <c:v>87.148801836705516</c:v>
                </c:pt>
                <c:pt idx="53">
                  <c:v>88.28115942028991</c:v>
                </c:pt>
              </c:numCache>
            </c:numRef>
          </c:val>
          <c:smooth val="0"/>
        </c:ser>
        <c:ser>
          <c:idx val="29"/>
          <c:order val="17"/>
          <c:tx>
            <c:strRef>
              <c:f>'Tea (Adjusted)'!$AF$6</c:f>
              <c:strCache>
                <c:ptCount val="1"/>
                <c:pt idx="0">
                  <c:v>Bahrain,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(Adjusted)'!$AF$7:$AF$107</c:f>
              <c:numCache>
                <c:formatCode>0.0000</c:formatCode>
                <c:ptCount val="76"/>
                <c:pt idx="43">
                  <c:v>56</c:v>
                </c:pt>
                <c:pt idx="44">
                  <c:v>65.075098814229278</c:v>
                </c:pt>
                <c:pt idx="45">
                  <c:v>64.678285445124729</c:v>
                </c:pt>
                <c:pt idx="46">
                  <c:v>60.664401294498397</c:v>
                </c:pt>
                <c:pt idx="47">
                  <c:v>77.353556485355583</c:v>
                </c:pt>
                <c:pt idx="48">
                  <c:v>74.666666666666586</c:v>
                </c:pt>
                <c:pt idx="49">
                  <c:v>79.11452848586157</c:v>
                </c:pt>
                <c:pt idx="50">
                  <c:v>74.666666666666586</c:v>
                </c:pt>
                <c:pt idx="51">
                  <c:v>62.826241134751811</c:v>
                </c:pt>
                <c:pt idx="52">
                  <c:v>58.237154150197568</c:v>
                </c:pt>
                <c:pt idx="53">
                  <c:v>85.667711598746138</c:v>
                </c:pt>
              </c:numCache>
            </c:numRef>
          </c:val>
          <c:smooth val="0"/>
        </c:ser>
        <c:ser>
          <c:idx val="30"/>
          <c:order val="18"/>
          <c:tx>
            <c:strRef>
              <c:f>'Tea (Adjusted)'!$AG$6</c:f>
              <c:strCache>
                <c:ptCount val="1"/>
                <c:pt idx="0">
                  <c:v>Muscat,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(Adjusted)'!$AG$7:$AG$107</c:f>
              <c:numCache>
                <c:formatCode>0.0000</c:formatCode>
                <c:ptCount val="76"/>
                <c:pt idx="15">
                  <c:v>43.591060087892004</c:v>
                </c:pt>
                <c:pt idx="16">
                  <c:v>40.429510674923996</c:v>
                </c:pt>
                <c:pt idx="17">
                  <c:v>42.010285381408004</c:v>
                </c:pt>
                <c:pt idx="18">
                  <c:v>40.285803883425402</c:v>
                </c:pt>
                <c:pt idx="19">
                  <c:v>39.279856342935602</c:v>
                </c:pt>
                <c:pt idx="24">
                  <c:v>8.7301875835366012</c:v>
                </c:pt>
                <c:pt idx="25">
                  <c:v>14.888023599249241</c:v>
                </c:pt>
                <c:pt idx="26">
                  <c:v>13.041391328492939</c:v>
                </c:pt>
                <c:pt idx="27">
                  <c:v>19.02784368915918</c:v>
                </c:pt>
                <c:pt idx="28">
                  <c:v>16.430476494666959</c:v>
                </c:pt>
                <c:pt idx="29">
                  <c:v>12.60219853546252</c:v>
                </c:pt>
                <c:pt idx="30">
                  <c:v>7.3194659136592204</c:v>
                </c:pt>
                <c:pt idx="31">
                  <c:v>12.08813627821926</c:v>
                </c:pt>
                <c:pt idx="32">
                  <c:v>11.078487199160541</c:v>
                </c:pt>
                <c:pt idx="33">
                  <c:v>24.7635543110292</c:v>
                </c:pt>
                <c:pt idx="34">
                  <c:v>22.178748154608797</c:v>
                </c:pt>
                <c:pt idx="51">
                  <c:v>48.8888888888888</c:v>
                </c:pt>
              </c:numCache>
            </c:numRef>
          </c:val>
          <c:smooth val="0"/>
        </c:ser>
        <c:ser>
          <c:idx val="31"/>
          <c:order val="19"/>
          <c:tx>
            <c:strRef>
              <c:f>'Tea (Adjusted)'!$AH$6</c:f>
              <c:strCache>
                <c:ptCount val="1"/>
                <c:pt idx="0">
                  <c:v>Mohammerah,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(Adjusted)'!$AH$7:$AH$107</c:f>
              <c:numCache>
                <c:formatCode>0.0000</c:formatCode>
                <c:ptCount val="76"/>
                <c:pt idx="30">
                  <c:v>116.87899684426699</c:v>
                </c:pt>
                <c:pt idx="31">
                  <c:v>71.594427244582008</c:v>
                </c:pt>
                <c:pt idx="32">
                  <c:v>56.561085972850606</c:v>
                </c:pt>
                <c:pt idx="35">
                  <c:v>81.658031088082993</c:v>
                </c:pt>
                <c:pt idx="36">
                  <c:v>92.959183673469411</c:v>
                </c:pt>
                <c:pt idx="37">
                  <c:v>89.824561403508795</c:v>
                </c:pt>
                <c:pt idx="38">
                  <c:v>73.567839195979801</c:v>
                </c:pt>
                <c:pt idx="39">
                  <c:v>66.785714285714192</c:v>
                </c:pt>
                <c:pt idx="40">
                  <c:v>63.647416413373804</c:v>
                </c:pt>
                <c:pt idx="41">
                  <c:v>60</c:v>
                </c:pt>
                <c:pt idx="42">
                  <c:v>43.263347330533797</c:v>
                </c:pt>
                <c:pt idx="46">
                  <c:v>119.87041036717059</c:v>
                </c:pt>
                <c:pt idx="47">
                  <c:v>124.39909297052161</c:v>
                </c:pt>
                <c:pt idx="48">
                  <c:v>156.71159874608159</c:v>
                </c:pt>
                <c:pt idx="49">
                  <c:v>123.0799605133268</c:v>
                </c:pt>
                <c:pt idx="50">
                  <c:v>107.10563380281681</c:v>
                </c:pt>
                <c:pt idx="51">
                  <c:v>97.55660377358501</c:v>
                </c:pt>
                <c:pt idx="52">
                  <c:v>166.03125</c:v>
                </c:pt>
              </c:numCache>
            </c:numRef>
          </c:val>
          <c:smooth val="0"/>
        </c:ser>
        <c:ser>
          <c:idx val="32"/>
          <c:order val="20"/>
          <c:tx>
            <c:strRef>
              <c:f>'Tea (Adjusted)'!$AI$6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(Adjusted)'!$AI$7:$AI$107</c:f>
              <c:numCache>
                <c:formatCode>0.0000</c:formatCode>
                <c:ptCount val="76"/>
                <c:pt idx="27">
                  <c:v>202.66124702814602</c:v>
                </c:pt>
                <c:pt idx="28">
                  <c:v>52.9508038894772</c:v>
                </c:pt>
                <c:pt idx="29">
                  <c:v>54.140797642849599</c:v>
                </c:pt>
                <c:pt idx="30">
                  <c:v>58.3649715761576</c:v>
                </c:pt>
                <c:pt idx="31">
                  <c:v>80.769230769230802</c:v>
                </c:pt>
                <c:pt idx="32">
                  <c:v>89.230769230769198</c:v>
                </c:pt>
                <c:pt idx="33">
                  <c:v>82.823369944385803</c:v>
                </c:pt>
                <c:pt idx="34">
                  <c:v>70.407239819004602</c:v>
                </c:pt>
                <c:pt idx="35">
                  <c:v>75.452488687782804</c:v>
                </c:pt>
                <c:pt idx="36">
                  <c:v>86.538461538461604</c:v>
                </c:pt>
                <c:pt idx="37">
                  <c:v>84.766214177978796</c:v>
                </c:pt>
                <c:pt idx="38">
                  <c:v>84.841628959275994</c:v>
                </c:pt>
                <c:pt idx="39">
                  <c:v>144.79638009049779</c:v>
                </c:pt>
                <c:pt idx="40">
                  <c:v>90.497737556560992</c:v>
                </c:pt>
                <c:pt idx="41">
                  <c:v>90.497737556560992</c:v>
                </c:pt>
                <c:pt idx="42">
                  <c:v>88.25</c:v>
                </c:pt>
                <c:pt idx="43">
                  <c:v>110</c:v>
                </c:pt>
                <c:pt idx="44">
                  <c:v>133</c:v>
                </c:pt>
                <c:pt idx="45">
                  <c:v>133.86666666666659</c:v>
                </c:pt>
                <c:pt idx="46">
                  <c:v>154.78260869565221</c:v>
                </c:pt>
                <c:pt idx="47">
                  <c:v>144.7272727272728</c:v>
                </c:pt>
                <c:pt idx="48">
                  <c:v>132.74725274725282</c:v>
                </c:pt>
              </c:numCache>
            </c:numRef>
          </c:val>
          <c:smooth val="0"/>
        </c:ser>
        <c:ser>
          <c:idx val="33"/>
          <c:order val="21"/>
          <c:tx>
            <c:strRef>
              <c:f>'Tea (Adjusted)'!$AJ$6</c:f>
              <c:strCache>
                <c:ptCount val="1"/>
                <c:pt idx="0">
                  <c:v>Lingah,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(Adjusted)'!$AJ$7:$AJ$107</c:f>
              <c:numCache>
                <c:formatCode>0.0000</c:formatCode>
                <c:ptCount val="76"/>
                <c:pt idx="27">
                  <c:v>133.45794392523359</c:v>
                </c:pt>
                <c:pt idx="28">
                  <c:v>77.322331647591199</c:v>
                </c:pt>
                <c:pt idx="29">
                  <c:v>54.108787140461402</c:v>
                </c:pt>
                <c:pt idx="30">
                  <c:v>58.832801720940601</c:v>
                </c:pt>
                <c:pt idx="31">
                  <c:v>80.788084464554998</c:v>
                </c:pt>
                <c:pt idx="32">
                  <c:v>94.901150961158791</c:v>
                </c:pt>
                <c:pt idx="33">
                  <c:v>92.760180995475196</c:v>
                </c:pt>
                <c:pt idx="34">
                  <c:v>67.995597407362197</c:v>
                </c:pt>
                <c:pt idx="35">
                  <c:v>73.995208943305798</c:v>
                </c:pt>
                <c:pt idx="36">
                  <c:v>72.398190045248796</c:v>
                </c:pt>
                <c:pt idx="37">
                  <c:v>84.961971695388399</c:v>
                </c:pt>
                <c:pt idx="38">
                  <c:v>84.880636604774594</c:v>
                </c:pt>
                <c:pt idx="39">
                  <c:v>92.031597515146785</c:v>
                </c:pt>
                <c:pt idx="40">
                  <c:v>90.497737556560992</c:v>
                </c:pt>
                <c:pt idx="41">
                  <c:v>90.497737556560992</c:v>
                </c:pt>
              </c:numCache>
            </c:numRef>
          </c:val>
          <c:smooth val="0"/>
        </c:ser>
        <c:ser>
          <c:idx val="34"/>
          <c:order val="22"/>
          <c:tx>
            <c:strRef>
              <c:f>'Tea (Adjusted)'!$AK$6</c:f>
              <c:strCache>
                <c:ptCount val="1"/>
                <c:pt idx="0">
                  <c:v>Shiraz,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cat>
            <c:numRef>
              <c:f>'Tea (Adjusted)'!$A$7:$A$107</c:f>
              <c:numCache>
                <c:formatCode>General</c:formatCode>
                <c:ptCount val="7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</c:numCache>
            </c:numRef>
          </c:cat>
          <c:val>
            <c:numRef>
              <c:f>'Tea (Adjusted)'!$AK$7:$AK$107</c:f>
              <c:numCache>
                <c:formatCode>General</c:formatCode>
                <c:ptCount val="76"/>
                <c:pt idx="27" formatCode="0.0000">
                  <c:v>122.56582001804941</c:v>
                </c:pt>
                <c:pt idx="28" formatCode="0.0000">
                  <c:v>102.78180565065821</c:v>
                </c:pt>
                <c:pt idx="29" formatCode="0.0000">
                  <c:v>116.41622483727741</c:v>
                </c:pt>
                <c:pt idx="30" formatCode="0.0000">
                  <c:v>137.66021703521699</c:v>
                </c:pt>
                <c:pt idx="31" formatCode="0.0000">
                  <c:v>106.0624590036354</c:v>
                </c:pt>
                <c:pt idx="32" formatCode="0.0000">
                  <c:v>99.389140271493204</c:v>
                </c:pt>
                <c:pt idx="33" formatCode="0.0000">
                  <c:v>98.124057315233813</c:v>
                </c:pt>
                <c:pt idx="34" formatCode="0.0000">
                  <c:v>100.55429864253399</c:v>
                </c:pt>
                <c:pt idx="35" formatCode="0.0000">
                  <c:v>75.414781297134198</c:v>
                </c:pt>
                <c:pt idx="36" formatCode="0.0000">
                  <c:v>75.414781297134198</c:v>
                </c:pt>
                <c:pt idx="37" formatCode="0.0000">
                  <c:v>70.592182521180604</c:v>
                </c:pt>
                <c:pt idx="38" formatCode="0.0000">
                  <c:v>98.379633335234203</c:v>
                </c:pt>
                <c:pt idx="39" formatCode="0.0000">
                  <c:v>98.926513393692389</c:v>
                </c:pt>
                <c:pt idx="40" formatCode="0.0000">
                  <c:v>90.654558358903401</c:v>
                </c:pt>
                <c:pt idx="41" formatCode="0.0000">
                  <c:v>106.2736945089886</c:v>
                </c:pt>
              </c:numCache>
            </c:numRef>
          </c:val>
          <c:smooth val="0"/>
        </c:ser>
        <c:ser>
          <c:idx val="0"/>
          <c:order val="23"/>
          <c:tx>
            <c:strRef>
              <c:f>'Tea (Adjusted)'!$AL$6</c:f>
              <c:strCache>
                <c:ptCount val="1"/>
                <c:pt idx="0">
                  <c:v>India, Imports, in pound/ton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'Tea (Adjusted)'!$AL$7:$AL$107</c:f>
              <c:numCache>
                <c:formatCode>General</c:formatCode>
                <c:ptCount val="76"/>
                <c:pt idx="8" formatCode="0.0000">
                  <c:v>224.60280825062134</c:v>
                </c:pt>
                <c:pt idx="9" formatCode="0.0000">
                  <c:v>222.98612062567088</c:v>
                </c:pt>
                <c:pt idx="10" formatCode="0.0000">
                  <c:v>223.55067551977237</c:v>
                </c:pt>
                <c:pt idx="11" formatCode="0.0000">
                  <c:v>223.99960720773802</c:v>
                </c:pt>
                <c:pt idx="12" formatCode="0.0000">
                  <c:v>224.00011061023767</c:v>
                </c:pt>
                <c:pt idx="13" formatCode="0.0000">
                  <c:v>223.99990915583464</c:v>
                </c:pt>
                <c:pt idx="14" formatCode="0.0000">
                  <c:v>224.0023275005455</c:v>
                </c:pt>
                <c:pt idx="15" formatCode="0.0000">
                  <c:v>223.78211845604551</c:v>
                </c:pt>
                <c:pt idx="16" formatCode="0.0000">
                  <c:v>200.11079660681784</c:v>
                </c:pt>
                <c:pt idx="17" formatCode="0.0000">
                  <c:v>178.79929356805104</c:v>
                </c:pt>
                <c:pt idx="18" formatCode="0.0000">
                  <c:v>183.7979228017854</c:v>
                </c:pt>
                <c:pt idx="19" formatCode="0.0000">
                  <c:v>160.43082950813374</c:v>
                </c:pt>
                <c:pt idx="20" formatCode="0.0000">
                  <c:v>187.41980921027195</c:v>
                </c:pt>
                <c:pt idx="21" formatCode="0.0000">
                  <c:v>182.91923897343099</c:v>
                </c:pt>
                <c:pt idx="22" formatCode="0.0000">
                  <c:v>157.21423922013545</c:v>
                </c:pt>
                <c:pt idx="23" formatCode="0.0000">
                  <c:v>157.18761143330721</c:v>
                </c:pt>
                <c:pt idx="24" formatCode="0.0000">
                  <c:v>174.21464599351265</c:v>
                </c:pt>
                <c:pt idx="25" formatCode="0.0000">
                  <c:v>188.21630740354925</c:v>
                </c:pt>
                <c:pt idx="26" formatCode="0.0000">
                  <c:v>170.14470357648483</c:v>
                </c:pt>
                <c:pt idx="27" formatCode="0.0000">
                  <c:v>172.35013200162683</c:v>
                </c:pt>
                <c:pt idx="28" formatCode="0.0000">
                  <c:v>160.97045370255901</c:v>
                </c:pt>
                <c:pt idx="29" formatCode="0.0000">
                  <c:v>149.39758389126587</c:v>
                </c:pt>
                <c:pt idx="30" formatCode="0.0000">
                  <c:v>151.3408860843445</c:v>
                </c:pt>
                <c:pt idx="31" formatCode="0.0000">
                  <c:v>152.68650283186108</c:v>
                </c:pt>
                <c:pt idx="32" formatCode="0.0000">
                  <c:v>156.25342101241031</c:v>
                </c:pt>
                <c:pt idx="33" formatCode="0.0000">
                  <c:v>164.88326935788061</c:v>
                </c:pt>
                <c:pt idx="34" formatCode="0.0000">
                  <c:v>166.66674558001768</c:v>
                </c:pt>
                <c:pt idx="35" formatCode="0.0000">
                  <c:v>75.724368298428985</c:v>
                </c:pt>
                <c:pt idx="36" formatCode="0.0000">
                  <c:v>84.67382754550863</c:v>
                </c:pt>
                <c:pt idx="37" formatCode="0.0000">
                  <c:v>90.599041725887361</c:v>
                </c:pt>
                <c:pt idx="38" formatCode="0.0000">
                  <c:v>82.346748871993569</c:v>
                </c:pt>
                <c:pt idx="39" formatCode="0.0000">
                  <c:v>75.471353282822889</c:v>
                </c:pt>
                <c:pt idx="40" formatCode="0.0000">
                  <c:v>73.961495558536683</c:v>
                </c:pt>
                <c:pt idx="41" formatCode="0.0000">
                  <c:v>76.546701543326549</c:v>
                </c:pt>
                <c:pt idx="42" formatCode="0.0000">
                  <c:v>74.745959312422315</c:v>
                </c:pt>
                <c:pt idx="43" formatCode="0.0000">
                  <c:v>79.929382850915331</c:v>
                </c:pt>
                <c:pt idx="45" formatCode="0.0000">
                  <c:v>75.815303411709863</c:v>
                </c:pt>
                <c:pt idx="46" formatCode="0.0000">
                  <c:v>72.12354366836594</c:v>
                </c:pt>
                <c:pt idx="47" formatCode="0.0000">
                  <c:v>89.853722695729118</c:v>
                </c:pt>
                <c:pt idx="48" formatCode="0.0000">
                  <c:v>86.813650908759882</c:v>
                </c:pt>
                <c:pt idx="49" formatCode="0.0000">
                  <c:v>72.402141784631652</c:v>
                </c:pt>
                <c:pt idx="50" formatCode="0.0000">
                  <c:v>71.346528835980777</c:v>
                </c:pt>
                <c:pt idx="51" formatCode="0.0000">
                  <c:v>66.99572159979175</c:v>
                </c:pt>
                <c:pt idx="52" formatCode="0.0000">
                  <c:v>66.196010294297366</c:v>
                </c:pt>
                <c:pt idx="53" formatCode="0.0000">
                  <c:v>69.206844918839892</c:v>
                </c:pt>
                <c:pt idx="54" formatCode="0.0000">
                  <c:v>71.533550744133294</c:v>
                </c:pt>
                <c:pt idx="55" formatCode="0.0000">
                  <c:v>72.372320282501235</c:v>
                </c:pt>
                <c:pt idx="56" formatCode="0.0000">
                  <c:v>81.389686731012134</c:v>
                </c:pt>
                <c:pt idx="57" formatCode="0.0000">
                  <c:v>87.762654972754646</c:v>
                </c:pt>
                <c:pt idx="58" formatCode="0.0000">
                  <c:v>93.976961550338999</c:v>
                </c:pt>
                <c:pt idx="59" formatCode="0.0000">
                  <c:v>119.12064427446316</c:v>
                </c:pt>
                <c:pt idx="60" formatCode="0.0000">
                  <c:v>163.22423742182917</c:v>
                </c:pt>
              </c:numCache>
            </c:numRef>
          </c:val>
          <c:smooth val="0"/>
        </c:ser>
        <c:ser>
          <c:idx val="1"/>
          <c:order val="24"/>
          <c:tx>
            <c:strRef>
              <c:f>'Tea (Adjusted)'!$AM$6</c:f>
              <c:strCache>
                <c:ptCount val="1"/>
                <c:pt idx="0">
                  <c:v>India, Exports, in pound/ton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'Tea (Adjusted)'!$AM$7:$AM$107</c:f>
              <c:numCache>
                <c:formatCode>General</c:formatCode>
                <c:ptCount val="76"/>
                <c:pt idx="8" formatCode="0.0000">
                  <c:v>209.25228405711681</c:v>
                </c:pt>
                <c:pt idx="9" formatCode="0.0000">
                  <c:v>191.94902394232582</c:v>
                </c:pt>
                <c:pt idx="10" formatCode="0.0000">
                  <c:v>189.77179120437458</c:v>
                </c:pt>
                <c:pt idx="11" formatCode="0.0000">
                  <c:v>162.01798754385783</c:v>
                </c:pt>
                <c:pt idx="12" formatCode="0.0000">
                  <c:v>151.78305149263724</c:v>
                </c:pt>
                <c:pt idx="13" formatCode="0.0000">
                  <c:v>155.91770397913982</c:v>
                </c:pt>
                <c:pt idx="14" formatCode="0.0000">
                  <c:v>186.16218002311228</c:v>
                </c:pt>
                <c:pt idx="15" formatCode="0.0000">
                  <c:v>183.29794202658434</c:v>
                </c:pt>
                <c:pt idx="16" formatCode="0.0000">
                  <c:v>151.14687287327141</c:v>
                </c:pt>
                <c:pt idx="17" formatCode="0.0000">
                  <c:v>162.0054090893166</c:v>
                </c:pt>
                <c:pt idx="18" formatCode="0.0000">
                  <c:v>123.78935063353461</c:v>
                </c:pt>
                <c:pt idx="19" formatCode="0.0000">
                  <c:v>108.41871410423558</c:v>
                </c:pt>
                <c:pt idx="20" formatCode="0.0000">
                  <c:v>112.34387234817174</c:v>
                </c:pt>
                <c:pt idx="21" formatCode="0.0000">
                  <c:v>98.61313855595985</c:v>
                </c:pt>
                <c:pt idx="22" formatCode="0.0000">
                  <c:v>105.81225663355191</c:v>
                </c:pt>
                <c:pt idx="23" formatCode="0.0000">
                  <c:v>90.451055222251398</c:v>
                </c:pt>
                <c:pt idx="24" formatCode="0.0000">
                  <c:v>86.276727918100534</c:v>
                </c:pt>
                <c:pt idx="25" formatCode="0.0000">
                  <c:v>75.858768044236385</c:v>
                </c:pt>
                <c:pt idx="26" formatCode="0.0000">
                  <c:v>79.11830106676021</c:v>
                </c:pt>
                <c:pt idx="27" formatCode="0.0000">
                  <c:v>64.522856189522855</c:v>
                </c:pt>
                <c:pt idx="28" formatCode="0.0000">
                  <c:v>58.81055297721965</c:v>
                </c:pt>
                <c:pt idx="29" formatCode="0.0000">
                  <c:v>52.752411502411505</c:v>
                </c:pt>
                <c:pt idx="30" formatCode="0.0000">
                  <c:v>64.382185215518547</c:v>
                </c:pt>
                <c:pt idx="31" formatCode="0.0000">
                  <c:v>60.471532138198803</c:v>
                </c:pt>
                <c:pt idx="32" formatCode="0.0000">
                  <c:v>44.275184275184266</c:v>
                </c:pt>
                <c:pt idx="33" formatCode="0.0000">
                  <c:v>56.526068004627007</c:v>
                </c:pt>
                <c:pt idx="34" formatCode="0.0000">
                  <c:v>36.78972972899394</c:v>
                </c:pt>
                <c:pt idx="35" formatCode="0.0000">
                  <c:v>54.479960165695957</c:v>
                </c:pt>
                <c:pt idx="36" formatCode="0.0000">
                  <c:v>51.13184644846018</c:v>
                </c:pt>
                <c:pt idx="37" formatCode="0.0000">
                  <c:v>49.428283064191724</c:v>
                </c:pt>
                <c:pt idx="38" formatCode="0.0000">
                  <c:v>49.448294847522135</c:v>
                </c:pt>
                <c:pt idx="39" formatCode="0.0000">
                  <c:v>45.811146923617251</c:v>
                </c:pt>
                <c:pt idx="40" formatCode="0.0000">
                  <c:v>49.232804205706117</c:v>
                </c:pt>
                <c:pt idx="41" formatCode="0.0000">
                  <c:v>37.836258880580395</c:v>
                </c:pt>
                <c:pt idx="42" formatCode="0.0000">
                  <c:v>42.841616948691588</c:v>
                </c:pt>
                <c:pt idx="43" formatCode="0.0000">
                  <c:v>46.744314456777978</c:v>
                </c:pt>
                <c:pt idx="44" formatCode="0.0000">
                  <c:v>49.492147343359044</c:v>
                </c:pt>
                <c:pt idx="45" formatCode="0.0000">
                  <c:v>42.837897898052795</c:v>
                </c:pt>
                <c:pt idx="46" formatCode="0.0000">
                  <c:v>43.792538160538605</c:v>
                </c:pt>
                <c:pt idx="47" formatCode="0.0000">
                  <c:v>59.743327195435022</c:v>
                </c:pt>
                <c:pt idx="48" formatCode="0.0000">
                  <c:v>63.193493582613854</c:v>
                </c:pt>
                <c:pt idx="49" formatCode="0.0000">
                  <c:v>54.149481034159201</c:v>
                </c:pt>
                <c:pt idx="50" formatCode="0.0000">
                  <c:v>54.944951368967615</c:v>
                </c:pt>
                <c:pt idx="51" formatCode="0.0000">
                  <c:v>61.430755664451027</c:v>
                </c:pt>
                <c:pt idx="52" formatCode="0.0000">
                  <c:v>61.070698971971645</c:v>
                </c:pt>
                <c:pt idx="53" formatCode="0.0000">
                  <c:v>57.562550512179769</c:v>
                </c:pt>
                <c:pt idx="54" formatCode="0.0000">
                  <c:v>39.068750000000001</c:v>
                </c:pt>
                <c:pt idx="55" formatCode="0.0000">
                  <c:v>53.174395938284114</c:v>
                </c:pt>
                <c:pt idx="56" formatCode="0.0000">
                  <c:v>51.880273610147562</c:v>
                </c:pt>
                <c:pt idx="57" formatCode="0.0000">
                  <c:v>48.303365714329281</c:v>
                </c:pt>
                <c:pt idx="58" formatCode="0.0000">
                  <c:v>41.923257732956387</c:v>
                </c:pt>
                <c:pt idx="59" formatCode="0.0000">
                  <c:v>42.17954324631922</c:v>
                </c:pt>
                <c:pt idx="60" formatCode="0.0000">
                  <c:v>50.144582238052784</c:v>
                </c:pt>
                <c:pt idx="61" formatCode="0.0000">
                  <c:v>18.287500000000001</c:v>
                </c:pt>
                <c:pt idx="62" formatCode="0.0000">
                  <c:v>54.250000000000007</c:v>
                </c:pt>
                <c:pt idx="63" formatCode="0.0000">
                  <c:v>79.40625</c:v>
                </c:pt>
                <c:pt idx="64" formatCode="0.0000">
                  <c:v>76.5625</c:v>
                </c:pt>
                <c:pt idx="65" formatCode="0.0000">
                  <c:v>73.5</c:v>
                </c:pt>
                <c:pt idx="66" formatCode="0.0000">
                  <c:v>71.96875</c:v>
                </c:pt>
                <c:pt idx="67" formatCode="0.0000">
                  <c:v>62.125</c:v>
                </c:pt>
                <c:pt idx="68" formatCode="0.0000">
                  <c:v>63.437500000000007</c:v>
                </c:pt>
                <c:pt idx="69" formatCode="0.0000">
                  <c:v>55.5625</c:v>
                </c:pt>
                <c:pt idx="70" formatCode="0.0000">
                  <c:v>38.654411764705877</c:v>
                </c:pt>
                <c:pt idx="71" formatCode="0.0000">
                  <c:v>29.286764705882351</c:v>
                </c:pt>
              </c:numCache>
            </c:numRef>
          </c:val>
          <c:smooth val="0"/>
        </c:ser>
        <c:ser>
          <c:idx val="2"/>
          <c:order val="25"/>
          <c:tx>
            <c:strRef>
              <c:f>'Tea (Adjusted)'!$AN$6</c:f>
              <c:strCache>
                <c:ptCount val="1"/>
                <c:pt idx="0">
                  <c:v>India, Wholesale,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'Tea (Adjusted)'!$AN$7:$AN$107</c:f>
              <c:numCache>
                <c:formatCode>General</c:formatCode>
                <c:ptCount val="76"/>
                <c:pt idx="13" formatCode="0.0000">
                  <c:v>196.0291666666667</c:v>
                </c:pt>
                <c:pt idx="24" formatCode="0.0000">
                  <c:v>98.67936117936118</c:v>
                </c:pt>
                <c:pt idx="25" formatCode="0.0000">
                  <c:v>100.22727272727273</c:v>
                </c:pt>
                <c:pt idx="26" formatCode="0.0000">
                  <c:v>96.250000000000014</c:v>
                </c:pt>
                <c:pt idx="27" formatCode="0.0000">
                  <c:v>94.791666666666671</c:v>
                </c:pt>
                <c:pt idx="28" formatCode="0.0000">
                  <c:v>83.572891072891082</c:v>
                </c:pt>
                <c:pt idx="29" formatCode="0.0000">
                  <c:v>91.781670831670809</c:v>
                </c:pt>
                <c:pt idx="30" formatCode="0.0000">
                  <c:v>90.883281872911482</c:v>
                </c:pt>
                <c:pt idx="31" formatCode="0.0000">
                  <c:v>98.778077903077872</c:v>
                </c:pt>
                <c:pt idx="32" formatCode="0.0000">
                  <c:v>78.523387022349979</c:v>
                </c:pt>
                <c:pt idx="33" formatCode="0.0000">
                  <c:v>71.815006073522113</c:v>
                </c:pt>
                <c:pt idx="34" formatCode="0.0000">
                  <c:v>67.429270305901426</c:v>
                </c:pt>
                <c:pt idx="35" formatCode="0.0000">
                  <c:v>69.177141985694817</c:v>
                </c:pt>
                <c:pt idx="36" formatCode="0.0000">
                  <c:v>63.880255255211459</c:v>
                </c:pt>
                <c:pt idx="37" formatCode="0.0000">
                  <c:v>59.408439367701042</c:v>
                </c:pt>
                <c:pt idx="38" formatCode="0.0000">
                  <c:v>58.139874249249239</c:v>
                </c:pt>
                <c:pt idx="39" formatCode="0.0000">
                  <c:v>62.709645771475202</c:v>
                </c:pt>
                <c:pt idx="40" formatCode="0.0000">
                  <c:v>61.817917897581886</c:v>
                </c:pt>
                <c:pt idx="41" formatCode="0.0000">
                  <c:v>60.052373025195266</c:v>
                </c:pt>
                <c:pt idx="42" formatCode="0.0000">
                  <c:v>58.952577575503504</c:v>
                </c:pt>
                <c:pt idx="43" formatCode="0.0000">
                  <c:v>61.298668233446229</c:v>
                </c:pt>
                <c:pt idx="44" formatCode="0.0000">
                  <c:v>69.106327071812288</c:v>
                </c:pt>
                <c:pt idx="45" formatCode="0.0000">
                  <c:v>69.142342342398521</c:v>
                </c:pt>
                <c:pt idx="46" formatCode="0.0000">
                  <c:v>76.32350532345383</c:v>
                </c:pt>
                <c:pt idx="47" formatCode="0.0000">
                  <c:v>86.044119099019284</c:v>
                </c:pt>
                <c:pt idx="48" formatCode="0.0000">
                  <c:v>86.002211493026536</c:v>
                </c:pt>
                <c:pt idx="49" formatCode="0.0000">
                  <c:v>87.864114114114116</c:v>
                </c:pt>
                <c:pt idx="50" formatCode="0.0000">
                  <c:v>85.06971251142815</c:v>
                </c:pt>
                <c:pt idx="51" formatCode="0.0000">
                  <c:v>82.744590314332456</c:v>
                </c:pt>
                <c:pt idx="52" formatCode="0.0000">
                  <c:v>79.035293356789865</c:v>
                </c:pt>
                <c:pt idx="53" formatCode="0.0000">
                  <c:v>79.539837913795836</c:v>
                </c:pt>
                <c:pt idx="54" formatCode="0.0000">
                  <c:v>73.1111111111111</c:v>
                </c:pt>
                <c:pt idx="55" formatCode="0.0000">
                  <c:v>85.069444444444443</c:v>
                </c:pt>
                <c:pt idx="56" formatCode="0.0000">
                  <c:v>84.598953703600017</c:v>
                </c:pt>
                <c:pt idx="57" formatCode="0.0000">
                  <c:v>78.182287036933346</c:v>
                </c:pt>
                <c:pt idx="58" formatCode="0.0000">
                  <c:v>91.387722209777777</c:v>
                </c:pt>
                <c:pt idx="59" formatCode="0.0000">
                  <c:v>95.8296449976948</c:v>
                </c:pt>
                <c:pt idx="60" formatCode="0.0000">
                  <c:v>56.054934297225053</c:v>
                </c:pt>
                <c:pt idx="61" formatCode="0.0000">
                  <c:v>69.61111111080001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829584"/>
        <c:axId val="698830704"/>
      </c:lineChart>
      <c:catAx>
        <c:axId val="69882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830704"/>
        <c:crosses val="autoZero"/>
        <c:auto val="1"/>
        <c:lblAlgn val="ctr"/>
        <c:lblOffset val="100"/>
        <c:noMultiLvlLbl val="0"/>
      </c:catAx>
      <c:valAx>
        <c:axId val="698830704"/>
        <c:scaling>
          <c:orientation val="minMax"/>
          <c:max val="4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8295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224034375279194"/>
          <c:y val="0.13465083742169359"/>
          <c:w val="0.22096003654649141"/>
          <c:h val="0.77878057964273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Basrah,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(All)'!$H$7:$H$107</c:f>
              <c:numCache>
                <c:formatCode>0.0000</c:formatCode>
                <c:ptCount val="81"/>
                <c:pt idx="37">
                  <c:v>65.678635090399737</c:v>
                </c:pt>
                <c:pt idx="38">
                  <c:v>65.882352941176578</c:v>
                </c:pt>
                <c:pt idx="39">
                  <c:v>27.453156450848354</c:v>
                </c:pt>
                <c:pt idx="40">
                  <c:v>27.448786945861123</c:v>
                </c:pt>
                <c:pt idx="41">
                  <c:v>27.450980392156833</c:v>
                </c:pt>
                <c:pt idx="42">
                  <c:v>27.452480855692929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(All)'!$H$7:$H$107</c:f>
              <c:numCache>
                <c:formatCode>0.0000</c:formatCode>
                <c:ptCount val="81"/>
                <c:pt idx="37">
                  <c:v>65.678635090399737</c:v>
                </c:pt>
                <c:pt idx="38">
                  <c:v>65.882352941176578</c:v>
                </c:pt>
                <c:pt idx="39">
                  <c:v>27.453156450848354</c:v>
                </c:pt>
                <c:pt idx="40">
                  <c:v>27.448786945861123</c:v>
                </c:pt>
                <c:pt idx="41">
                  <c:v>27.450980392156833</c:v>
                </c:pt>
                <c:pt idx="42">
                  <c:v>27.452480855692929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38768"/>
        <c:axId val="762142688"/>
      </c:scatterChart>
      <c:valAx>
        <c:axId val="7621387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42688"/>
        <c:crosses val="autoZero"/>
        <c:crossBetween val="midCat"/>
        <c:majorUnit val="5"/>
      </c:valAx>
      <c:valAx>
        <c:axId val="76214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387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Mosul,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(All)'!$K$7:$K$107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(All)'!$K$7:$K$107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48848"/>
        <c:axId val="762144928"/>
      </c:scatterChart>
      <c:valAx>
        <c:axId val="7621488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44928"/>
        <c:crosses val="autoZero"/>
        <c:crossBetween val="midCat"/>
        <c:majorUnit val="5"/>
      </c:valAx>
      <c:valAx>
        <c:axId val="76214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488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Mosul,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(All)'!$L$7:$L$107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(All)'!$L$7:$L$107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55008"/>
        <c:axId val="762152768"/>
      </c:scatterChart>
      <c:valAx>
        <c:axId val="7621550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52768"/>
        <c:crosses val="autoZero"/>
        <c:crossBetween val="midCat"/>
        <c:majorUnit val="5"/>
      </c:valAx>
      <c:valAx>
        <c:axId val="76215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55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Mosul,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(All)'!$M$7:$M$107</c:f>
              <c:numCache>
                <c:formatCode>0.0000</c:formatCode>
                <c:ptCount val="81"/>
                <c:pt idx="6">
                  <c:v>26666.666666666668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(All)'!$M$7:$M$107</c:f>
              <c:numCache>
                <c:formatCode>0.0000</c:formatCode>
                <c:ptCount val="81"/>
                <c:pt idx="6">
                  <c:v>26666.666666666668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53888"/>
        <c:axId val="762163408"/>
      </c:scatterChart>
      <c:valAx>
        <c:axId val="7621538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63408"/>
        <c:crosses val="autoZero"/>
        <c:crossBetween val="midCat"/>
        <c:majorUnit val="5"/>
      </c:valAx>
      <c:valAx>
        <c:axId val="76216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538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Damascus,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(All)'!$T$7:$T$107</c:f>
              <c:numCache>
                <c:formatCode>0.0000</c:formatCode>
                <c:ptCount val="81"/>
                <c:pt idx="47">
                  <c:v>168.06722689075642</c:v>
                </c:pt>
                <c:pt idx="48">
                  <c:v>200</c:v>
                </c:pt>
                <c:pt idx="49">
                  <c:v>180.95238095238099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(All)'!$T$7:$T$107</c:f>
              <c:numCache>
                <c:formatCode>0.0000</c:formatCode>
                <c:ptCount val="81"/>
                <c:pt idx="47">
                  <c:v>168.06722689075642</c:v>
                </c:pt>
                <c:pt idx="48">
                  <c:v>200</c:v>
                </c:pt>
                <c:pt idx="49">
                  <c:v>180.95238095238099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62288"/>
        <c:axId val="762161168"/>
      </c:scatterChart>
      <c:valAx>
        <c:axId val="7621622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61168"/>
        <c:crosses val="autoZero"/>
        <c:crossBetween val="midCat"/>
        <c:majorUnit val="5"/>
      </c:valAx>
      <c:valAx>
        <c:axId val="76216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62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Damascus,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(All)'!$U$7:$U$107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(All)'!$U$7:$U$107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71808"/>
        <c:axId val="762169568"/>
      </c:scatterChart>
      <c:valAx>
        <c:axId val="7621718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69568"/>
        <c:crosses val="autoZero"/>
        <c:crossBetween val="midCat"/>
        <c:majorUnit val="5"/>
      </c:valAx>
      <c:valAx>
        <c:axId val="76216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71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Damascus,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(All)'!$V$7:$V$107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(All)'!$V$7:$V$107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70688"/>
        <c:axId val="762180208"/>
      </c:scatterChart>
      <c:valAx>
        <c:axId val="7621706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80208"/>
        <c:crosses val="autoZero"/>
        <c:crossBetween val="midCat"/>
        <c:majorUnit val="5"/>
      </c:valAx>
      <c:valAx>
        <c:axId val="76218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706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Beirut,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(All)'!$W$7:$W$107</c:f>
              <c:numCache>
                <c:formatCode>0.0000</c:formatCode>
                <c:ptCount val="81"/>
                <c:pt idx="26">
                  <c:v>135.7466063348416</c:v>
                </c:pt>
                <c:pt idx="27">
                  <c:v>135.7466063348416</c:v>
                </c:pt>
                <c:pt idx="28">
                  <c:v>113.1221719457014</c:v>
                </c:pt>
                <c:pt idx="34">
                  <c:v>101.81818181818191</c:v>
                </c:pt>
                <c:pt idx="35">
                  <c:v>109.66666666666671</c:v>
                </c:pt>
                <c:pt idx="36">
                  <c:v>119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(All)'!$W$7:$W$107</c:f>
              <c:numCache>
                <c:formatCode>0.0000</c:formatCode>
                <c:ptCount val="81"/>
                <c:pt idx="26">
                  <c:v>135.7466063348416</c:v>
                </c:pt>
                <c:pt idx="27">
                  <c:v>135.7466063348416</c:v>
                </c:pt>
                <c:pt idx="28">
                  <c:v>113.1221719457014</c:v>
                </c:pt>
                <c:pt idx="34">
                  <c:v>101.81818181818191</c:v>
                </c:pt>
                <c:pt idx="35">
                  <c:v>109.66666666666671</c:v>
                </c:pt>
                <c:pt idx="36">
                  <c:v>119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79088"/>
        <c:axId val="762177968"/>
      </c:scatterChart>
      <c:valAx>
        <c:axId val="7621790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77968"/>
        <c:crosses val="autoZero"/>
        <c:crossBetween val="midCat"/>
        <c:majorUnit val="5"/>
      </c:valAx>
      <c:valAx>
        <c:axId val="76217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790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Beirut,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(All)'!$Y$7:$Y$107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(All)'!$Y$7:$Y$107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87488"/>
        <c:axId val="762184128"/>
      </c:scatterChart>
      <c:valAx>
        <c:axId val="7621874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84128"/>
        <c:crosses val="autoZero"/>
        <c:crossBetween val="midCat"/>
        <c:majorUnit val="5"/>
      </c:valAx>
      <c:valAx>
        <c:axId val="76218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874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UK,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4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(All)'!$C$7:$C$107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5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(All)'!$C$7:$C$107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6"/>
          <c:order val="2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(All)'!$C$7:$C$107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7"/>
          <c:order val="3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(All)'!$C$7:$C$107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2"/>
          <c:order val="4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(All)'!$C$7:$C$107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3"/>
          <c:order val="5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(All)'!$C$7:$C$107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1"/>
          <c:order val="6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(All)'!$C$7:$C$107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7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(All)'!$C$7:$C$107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032608"/>
        <c:axId val="299051648"/>
      </c:scatterChart>
      <c:valAx>
        <c:axId val="2990326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9051648"/>
        <c:crosses val="autoZero"/>
        <c:crossBetween val="midCat"/>
        <c:majorUnit val="5"/>
      </c:valAx>
      <c:valAx>
        <c:axId val="29905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90326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Beirut,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(All)'!$X$7:$X$107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(All)'!$X$7:$X$107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91408"/>
        <c:axId val="762194768"/>
      </c:scatterChart>
      <c:valAx>
        <c:axId val="7621914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94768"/>
        <c:crosses val="autoZero"/>
        <c:crossBetween val="midCat"/>
        <c:majorUnit val="5"/>
      </c:valAx>
      <c:valAx>
        <c:axId val="76219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914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Istanbul (Malatya),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(All)'!$Z$7:$Z$107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(All)'!$Z$7:$Z$107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97008"/>
        <c:axId val="762196448"/>
      </c:scatterChart>
      <c:valAx>
        <c:axId val="7621970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96448"/>
        <c:crosses val="autoZero"/>
        <c:crossBetween val="midCat"/>
        <c:majorUnit val="5"/>
      </c:valAx>
      <c:valAx>
        <c:axId val="76219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97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Istanbul (Geyve),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(All)'!$AC$7:$AC$107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(All)'!$AC$7:$AC$107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05408"/>
        <c:axId val="762202048"/>
      </c:scatterChart>
      <c:valAx>
        <c:axId val="7622054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02048"/>
        <c:crosses val="autoZero"/>
        <c:crossBetween val="midCat"/>
        <c:majorUnit val="5"/>
      </c:valAx>
      <c:valAx>
        <c:axId val="76220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054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(Malatya), Exports,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(All)'!$AA$7:$AA$107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(All)'!$AA$7:$AA$107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05968"/>
        <c:axId val="762211568"/>
      </c:scatterChart>
      <c:valAx>
        <c:axId val="7622059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11568"/>
        <c:crosses val="autoZero"/>
        <c:crossBetween val="midCat"/>
        <c:majorUnit val="5"/>
      </c:valAx>
      <c:valAx>
        <c:axId val="76221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059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(Malatya), Bazaar (Local),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(All)'!$AB$7:$AB$107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(All)'!$AB$7:$AB$107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13808"/>
        <c:axId val="762211008"/>
      </c:scatterChart>
      <c:valAx>
        <c:axId val="7622138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11008"/>
        <c:crosses val="autoZero"/>
        <c:crossBetween val="midCat"/>
        <c:majorUnit val="5"/>
      </c:valAx>
      <c:valAx>
        <c:axId val="76221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13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(Geyve),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(All)'!$AD$7:$AD$107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(All)'!$AD$7:$AD$107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22208"/>
        <c:axId val="762219968"/>
      </c:scatterChart>
      <c:valAx>
        <c:axId val="7622222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19968"/>
        <c:crosses val="autoZero"/>
        <c:crossBetween val="midCat"/>
        <c:majorUnit val="5"/>
      </c:valAx>
      <c:valAx>
        <c:axId val="76221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222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(Geyve),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(All)'!$AE$7:$AE$107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(All)'!$AE$7:$AE$107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21088"/>
        <c:axId val="762230608"/>
      </c:scatterChart>
      <c:valAx>
        <c:axId val="7622210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30608"/>
        <c:crosses val="autoZero"/>
        <c:crossBetween val="midCat"/>
        <c:majorUnit val="5"/>
      </c:valAx>
      <c:valAx>
        <c:axId val="76223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210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(All)'!$AJ$7:$AJ$107</c:f>
              <c:numCache>
                <c:formatCode>0.0000</c:formatCode>
                <c:ptCount val="81"/>
                <c:pt idx="55">
                  <c:v>43.022820800598581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(All)'!$AJ$7:$AJ$107</c:f>
              <c:numCache>
                <c:formatCode>0.0000</c:formatCode>
                <c:ptCount val="81"/>
                <c:pt idx="55">
                  <c:v>43.022820800598581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29488"/>
        <c:axId val="762228368"/>
      </c:scatterChart>
      <c:valAx>
        <c:axId val="7622294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28368"/>
        <c:crosses val="autoZero"/>
        <c:crossBetween val="midCat"/>
        <c:majorUnit val="5"/>
      </c:valAx>
      <c:valAx>
        <c:axId val="76222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294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(All)'!$AI$7:$AI$107</c:f>
              <c:numCache>
                <c:formatCode>0.0000</c:formatCode>
                <c:ptCount val="81"/>
                <c:pt idx="55">
                  <c:v>71.540880503144649</c:v>
                </c:pt>
                <c:pt idx="56">
                  <c:v>80.840743734842363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(All)'!$AI$7:$AI$107</c:f>
              <c:numCache>
                <c:formatCode>0.0000</c:formatCode>
                <c:ptCount val="81"/>
                <c:pt idx="55">
                  <c:v>71.540880503144649</c:v>
                </c:pt>
                <c:pt idx="56">
                  <c:v>80.840743734842363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39008"/>
        <c:axId val="762235648"/>
      </c:scatterChart>
      <c:valAx>
        <c:axId val="7622390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35648"/>
        <c:crosses val="autoZero"/>
        <c:crossBetween val="midCat"/>
        <c:majorUnit val="5"/>
      </c:valAx>
      <c:valAx>
        <c:axId val="76223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39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(All)'!$AK$7:$AK$107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(All)'!$AK$7:$AK$107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39568"/>
        <c:axId val="762245168"/>
      </c:scatterChart>
      <c:valAx>
        <c:axId val="7622395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45168"/>
        <c:crosses val="autoZero"/>
        <c:crossBetween val="midCat"/>
        <c:majorUnit val="5"/>
      </c:valAx>
      <c:valAx>
        <c:axId val="76224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395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4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(All)'!$F$7:$F$107</c:f>
              <c:numCache>
                <c:formatCode>0.0000</c:formatCode>
                <c:ptCount val="81"/>
                <c:pt idx="23">
                  <c:v>270.80768926509091</c:v>
                </c:pt>
                <c:pt idx="57">
                  <c:v>109.80392156862756</c:v>
                </c:pt>
              </c:numCache>
            </c:numRef>
          </c:yVal>
          <c:smooth val="0"/>
        </c:ser>
        <c:ser>
          <c:idx val="5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(All)'!$F$7:$F$107</c:f>
              <c:numCache>
                <c:formatCode>0.0000</c:formatCode>
                <c:ptCount val="81"/>
                <c:pt idx="23">
                  <c:v>270.80768926509091</c:v>
                </c:pt>
                <c:pt idx="57">
                  <c:v>109.80392156862756</c:v>
                </c:pt>
              </c:numCache>
            </c:numRef>
          </c:yVal>
          <c:smooth val="0"/>
        </c:ser>
        <c:ser>
          <c:idx val="6"/>
          <c:order val="2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(All)'!$F$7:$F$107</c:f>
              <c:numCache>
                <c:formatCode>0.0000</c:formatCode>
                <c:ptCount val="81"/>
                <c:pt idx="23">
                  <c:v>270.80768926509091</c:v>
                </c:pt>
                <c:pt idx="57">
                  <c:v>109.80392156862756</c:v>
                </c:pt>
              </c:numCache>
            </c:numRef>
          </c:yVal>
          <c:smooth val="0"/>
        </c:ser>
        <c:ser>
          <c:idx val="7"/>
          <c:order val="3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(All)'!$F$7:$F$107</c:f>
              <c:numCache>
                <c:formatCode>0.0000</c:formatCode>
                <c:ptCount val="81"/>
                <c:pt idx="23">
                  <c:v>270.80768926509091</c:v>
                </c:pt>
                <c:pt idx="57">
                  <c:v>109.80392156862756</c:v>
                </c:pt>
              </c:numCache>
            </c:numRef>
          </c:yVal>
          <c:smooth val="0"/>
        </c:ser>
        <c:ser>
          <c:idx val="2"/>
          <c:order val="4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(All)'!$F$7:$F$107</c:f>
              <c:numCache>
                <c:formatCode>0.0000</c:formatCode>
                <c:ptCount val="81"/>
                <c:pt idx="23">
                  <c:v>270.80768926509091</c:v>
                </c:pt>
                <c:pt idx="57">
                  <c:v>109.80392156862756</c:v>
                </c:pt>
              </c:numCache>
            </c:numRef>
          </c:yVal>
          <c:smooth val="0"/>
        </c:ser>
        <c:ser>
          <c:idx val="3"/>
          <c:order val="5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(All)'!$F$7:$F$107</c:f>
              <c:numCache>
                <c:formatCode>0.0000</c:formatCode>
                <c:ptCount val="81"/>
                <c:pt idx="23">
                  <c:v>270.80768926509091</c:v>
                </c:pt>
                <c:pt idx="57">
                  <c:v>109.80392156862756</c:v>
                </c:pt>
              </c:numCache>
            </c:numRef>
          </c:yVal>
          <c:smooth val="0"/>
        </c:ser>
        <c:ser>
          <c:idx val="1"/>
          <c:order val="6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(All)'!$F$7:$F$107</c:f>
              <c:numCache>
                <c:formatCode>0.0000</c:formatCode>
                <c:ptCount val="81"/>
                <c:pt idx="23">
                  <c:v>270.80768926509091</c:v>
                </c:pt>
                <c:pt idx="57">
                  <c:v>109.80392156862756</c:v>
                </c:pt>
              </c:numCache>
            </c:numRef>
          </c:yVal>
          <c:smooth val="0"/>
        </c:ser>
        <c:ser>
          <c:idx val="0"/>
          <c:order val="7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(All)'!$F$7:$F$107</c:f>
              <c:numCache>
                <c:formatCode>0.0000</c:formatCode>
                <c:ptCount val="81"/>
                <c:pt idx="23">
                  <c:v>270.80768926509091</c:v>
                </c:pt>
                <c:pt idx="57">
                  <c:v>109.80392156862756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074608"/>
        <c:axId val="299044928"/>
      </c:scatterChart>
      <c:valAx>
        <c:axId val="2990746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9044928"/>
        <c:crosses val="autoZero"/>
        <c:crossBetween val="midCat"/>
        <c:majorUnit val="5"/>
      </c:valAx>
      <c:valAx>
        <c:axId val="29904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90746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(All)'!$AL$7:$AL$107</c:f>
              <c:numCache>
                <c:formatCode>0.0000</c:formatCode>
                <c:ptCount val="81"/>
                <c:pt idx="30">
                  <c:v>187.21872187218727</c:v>
                </c:pt>
                <c:pt idx="32">
                  <c:v>136.56538067599863</c:v>
                </c:pt>
                <c:pt idx="52">
                  <c:v>110.11904761904762</c:v>
                </c:pt>
                <c:pt idx="55">
                  <c:v>68.181818181818187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(All)'!$AL$7:$AL$107</c:f>
              <c:numCache>
                <c:formatCode>0.0000</c:formatCode>
                <c:ptCount val="81"/>
                <c:pt idx="30">
                  <c:v>187.21872187218727</c:v>
                </c:pt>
                <c:pt idx="32">
                  <c:v>136.56538067599863</c:v>
                </c:pt>
                <c:pt idx="52">
                  <c:v>110.11904761904762</c:v>
                </c:pt>
                <c:pt idx="55">
                  <c:v>68.181818181818187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47408"/>
        <c:axId val="762246848"/>
      </c:scatterChart>
      <c:valAx>
        <c:axId val="7622474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46848"/>
        <c:crosses val="autoZero"/>
        <c:crossBetween val="midCat"/>
        <c:majorUnit val="5"/>
      </c:valAx>
      <c:valAx>
        <c:axId val="76224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474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(All)'!$AM$7:$AM$107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(All)'!$AM$7:$AM$107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55808"/>
        <c:axId val="762252448"/>
      </c:scatterChart>
      <c:valAx>
        <c:axId val="7622558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52448"/>
        <c:crosses val="autoZero"/>
        <c:crossBetween val="midCat"/>
        <c:majorUnit val="5"/>
      </c:valAx>
      <c:valAx>
        <c:axId val="76225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55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(All)'!$AN$7:$AN$107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(All)'!$AN$7:$AN$107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56368"/>
        <c:axId val="762261968"/>
      </c:scatterChart>
      <c:valAx>
        <c:axId val="762256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61968"/>
        <c:crosses val="autoZero"/>
        <c:crossBetween val="midCat"/>
        <c:majorUnit val="5"/>
      </c:valAx>
      <c:valAx>
        <c:axId val="76226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56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Trebizond (Anatolia),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(All)'!$AO$7:$AO$107</c:f>
              <c:numCache>
                <c:formatCode>0.0000</c:formatCode>
                <c:ptCount val="81"/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160</c:v>
                </c:pt>
                <c:pt idx="22">
                  <c:v>200</c:v>
                </c:pt>
                <c:pt idx="23">
                  <c:v>160</c:v>
                </c:pt>
                <c:pt idx="24">
                  <c:v>160</c:v>
                </c:pt>
                <c:pt idx="25">
                  <c:v>160</c:v>
                </c:pt>
                <c:pt idx="26">
                  <c:v>160</c:v>
                </c:pt>
                <c:pt idx="27">
                  <c:v>160</c:v>
                </c:pt>
                <c:pt idx="28">
                  <c:v>160</c:v>
                </c:pt>
                <c:pt idx="29">
                  <c:v>110</c:v>
                </c:pt>
                <c:pt idx="30">
                  <c:v>100</c:v>
                </c:pt>
                <c:pt idx="31">
                  <c:v>100</c:v>
                </c:pt>
                <c:pt idx="32">
                  <c:v>100.01895734597159</c:v>
                </c:pt>
                <c:pt idx="33">
                  <c:v>120.04683840749421</c:v>
                </c:pt>
                <c:pt idx="34">
                  <c:v>120.03053435114501</c:v>
                </c:pt>
                <c:pt idx="35">
                  <c:v>120</c:v>
                </c:pt>
                <c:pt idx="36">
                  <c:v>119.95850622406641</c:v>
                </c:pt>
                <c:pt idx="37">
                  <c:v>120.0280504908836</c:v>
                </c:pt>
                <c:pt idx="38">
                  <c:v>99.964349376114001</c:v>
                </c:pt>
                <c:pt idx="39">
                  <c:v>91.973018549746996</c:v>
                </c:pt>
                <c:pt idx="40">
                  <c:v>92.034139402560399</c:v>
                </c:pt>
                <c:pt idx="41">
                  <c:v>91.979434447300804</c:v>
                </c:pt>
                <c:pt idx="42">
                  <c:v>80</c:v>
                </c:pt>
                <c:pt idx="43">
                  <c:v>80.02265005662521</c:v>
                </c:pt>
                <c:pt idx="44">
                  <c:v>60.063091482649796</c:v>
                </c:pt>
                <c:pt idx="45">
                  <c:v>59.927971188475404</c:v>
                </c:pt>
                <c:pt idx="46">
                  <c:v>79.956896551724199</c:v>
                </c:pt>
                <c:pt idx="47">
                  <c:v>72.168067226890798</c:v>
                </c:pt>
                <c:pt idx="48">
                  <c:v>56.682692307692399</c:v>
                </c:pt>
                <c:pt idx="49">
                  <c:v>72.176656151419593</c:v>
                </c:pt>
                <c:pt idx="50">
                  <c:v>71.966527196652791</c:v>
                </c:pt>
                <c:pt idx="51">
                  <c:v>71.989596879063797</c:v>
                </c:pt>
                <c:pt idx="52">
                  <c:v>72.026143790849602</c:v>
                </c:pt>
                <c:pt idx="53">
                  <c:v>67.077441077440994</c:v>
                </c:pt>
                <c:pt idx="54">
                  <c:v>73.262599469495996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(All)'!$AO$7:$AO$107</c:f>
              <c:numCache>
                <c:formatCode>0.0000</c:formatCode>
                <c:ptCount val="81"/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160</c:v>
                </c:pt>
                <c:pt idx="22">
                  <c:v>200</c:v>
                </c:pt>
                <c:pt idx="23">
                  <c:v>160</c:v>
                </c:pt>
                <c:pt idx="24">
                  <c:v>160</c:v>
                </c:pt>
                <c:pt idx="25">
                  <c:v>160</c:v>
                </c:pt>
                <c:pt idx="26">
                  <c:v>160</c:v>
                </c:pt>
                <c:pt idx="27">
                  <c:v>160</c:v>
                </c:pt>
                <c:pt idx="28">
                  <c:v>160</c:v>
                </c:pt>
                <c:pt idx="29">
                  <c:v>110</c:v>
                </c:pt>
                <c:pt idx="30">
                  <c:v>100</c:v>
                </c:pt>
                <c:pt idx="31">
                  <c:v>100</c:v>
                </c:pt>
                <c:pt idx="32">
                  <c:v>100.01895734597159</c:v>
                </c:pt>
                <c:pt idx="33">
                  <c:v>120.04683840749421</c:v>
                </c:pt>
                <c:pt idx="34">
                  <c:v>120.03053435114501</c:v>
                </c:pt>
                <c:pt idx="35">
                  <c:v>120</c:v>
                </c:pt>
                <c:pt idx="36">
                  <c:v>119.95850622406641</c:v>
                </c:pt>
                <c:pt idx="37">
                  <c:v>120.0280504908836</c:v>
                </c:pt>
                <c:pt idx="38">
                  <c:v>99.964349376114001</c:v>
                </c:pt>
                <c:pt idx="39">
                  <c:v>91.973018549746996</c:v>
                </c:pt>
                <c:pt idx="40">
                  <c:v>92.034139402560399</c:v>
                </c:pt>
                <c:pt idx="41">
                  <c:v>91.979434447300804</c:v>
                </c:pt>
                <c:pt idx="42">
                  <c:v>80</c:v>
                </c:pt>
                <c:pt idx="43">
                  <c:v>80.02265005662521</c:v>
                </c:pt>
                <c:pt idx="44">
                  <c:v>60.063091482649796</c:v>
                </c:pt>
                <c:pt idx="45">
                  <c:v>59.927971188475404</c:v>
                </c:pt>
                <c:pt idx="46">
                  <c:v>79.956896551724199</c:v>
                </c:pt>
                <c:pt idx="47">
                  <c:v>72.168067226890798</c:v>
                </c:pt>
                <c:pt idx="48">
                  <c:v>56.682692307692399</c:v>
                </c:pt>
                <c:pt idx="49">
                  <c:v>72.176656151419593</c:v>
                </c:pt>
                <c:pt idx="50">
                  <c:v>71.966527196652791</c:v>
                </c:pt>
                <c:pt idx="51">
                  <c:v>71.989596879063797</c:v>
                </c:pt>
                <c:pt idx="52">
                  <c:v>72.026143790849602</c:v>
                </c:pt>
                <c:pt idx="53">
                  <c:v>67.077441077440994</c:v>
                </c:pt>
                <c:pt idx="54">
                  <c:v>73.262599469495996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64208"/>
        <c:axId val="762261408"/>
      </c:scatterChart>
      <c:valAx>
        <c:axId val="7622642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61408"/>
        <c:crosses val="autoZero"/>
        <c:crossBetween val="midCat"/>
        <c:majorUnit val="5"/>
      </c:valAx>
      <c:valAx>
        <c:axId val="76226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642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(Anatolia),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(All)'!$AP$7:$AP$107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(All)'!$AQ$7:$AQ$107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70368"/>
        <c:axId val="762271488"/>
      </c:scatterChart>
      <c:valAx>
        <c:axId val="762270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71488"/>
        <c:crosses val="autoZero"/>
        <c:crossBetween val="midCat"/>
        <c:majorUnit val="5"/>
      </c:valAx>
      <c:valAx>
        <c:axId val="76227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70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(Anatolia),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(All)'!$AQ$7:$AQ$107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(All)'!$AQ$7:$AQ$107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73168"/>
        <c:axId val="762278768"/>
      </c:scatterChart>
      <c:valAx>
        <c:axId val="7622731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78768"/>
        <c:crosses val="autoZero"/>
        <c:crossBetween val="midCat"/>
        <c:majorUnit val="5"/>
      </c:valAx>
      <c:valAx>
        <c:axId val="76227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731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Imports,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(All)'!$AR$7:$AR$107</c:f>
              <c:numCache>
                <c:formatCode>0.0000</c:formatCode>
                <c:ptCount val="81"/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2">
                  <c:v>200</c:v>
                </c:pt>
                <c:pt idx="23">
                  <c:v>160</c:v>
                </c:pt>
                <c:pt idx="24">
                  <c:v>160</c:v>
                </c:pt>
                <c:pt idx="25">
                  <c:v>160</c:v>
                </c:pt>
                <c:pt idx="26">
                  <c:v>160</c:v>
                </c:pt>
                <c:pt idx="27">
                  <c:v>160</c:v>
                </c:pt>
                <c:pt idx="28">
                  <c:v>247.97064634490599</c:v>
                </c:pt>
                <c:pt idx="29">
                  <c:v>174.22790202342921</c:v>
                </c:pt>
                <c:pt idx="30">
                  <c:v>160</c:v>
                </c:pt>
                <c:pt idx="31">
                  <c:v>160</c:v>
                </c:pt>
                <c:pt idx="32">
                  <c:v>120</c:v>
                </c:pt>
                <c:pt idx="33">
                  <c:v>120</c:v>
                </c:pt>
                <c:pt idx="34">
                  <c:v>120</c:v>
                </c:pt>
                <c:pt idx="35">
                  <c:v>120</c:v>
                </c:pt>
                <c:pt idx="36">
                  <c:v>120</c:v>
                </c:pt>
                <c:pt idx="37">
                  <c:v>120</c:v>
                </c:pt>
                <c:pt idx="38">
                  <c:v>120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92.001278772378598</c:v>
                </c:pt>
                <c:pt idx="43">
                  <c:v>87.997512437811011</c:v>
                </c:pt>
                <c:pt idx="44">
                  <c:v>80</c:v>
                </c:pt>
                <c:pt idx="45">
                  <c:v>60</c:v>
                </c:pt>
                <c:pt idx="46">
                  <c:v>72</c:v>
                </c:pt>
                <c:pt idx="47">
                  <c:v>80</c:v>
                </c:pt>
                <c:pt idx="48">
                  <c:v>80</c:v>
                </c:pt>
                <c:pt idx="49">
                  <c:v>80</c:v>
                </c:pt>
                <c:pt idx="50">
                  <c:v>80</c:v>
                </c:pt>
                <c:pt idx="51">
                  <c:v>80.011474469305796</c:v>
                </c:pt>
                <c:pt idx="52">
                  <c:v>84.021257750221409</c:v>
                </c:pt>
                <c:pt idx="53">
                  <c:v>73.400000000000006</c:v>
                </c:pt>
                <c:pt idx="54">
                  <c:v>56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(All)'!$AR$7:$AR$107</c:f>
              <c:numCache>
                <c:formatCode>0.0000</c:formatCode>
                <c:ptCount val="81"/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2">
                  <c:v>200</c:v>
                </c:pt>
                <c:pt idx="23">
                  <c:v>160</c:v>
                </c:pt>
                <c:pt idx="24">
                  <c:v>160</c:v>
                </c:pt>
                <c:pt idx="25">
                  <c:v>160</c:v>
                </c:pt>
                <c:pt idx="26">
                  <c:v>160</c:v>
                </c:pt>
                <c:pt idx="27">
                  <c:v>160</c:v>
                </c:pt>
                <c:pt idx="28">
                  <c:v>247.97064634490599</c:v>
                </c:pt>
                <c:pt idx="29">
                  <c:v>174.22790202342921</c:v>
                </c:pt>
                <c:pt idx="30">
                  <c:v>160</c:v>
                </c:pt>
                <c:pt idx="31">
                  <c:v>160</c:v>
                </c:pt>
                <c:pt idx="32">
                  <c:v>120</c:v>
                </c:pt>
                <c:pt idx="33">
                  <c:v>120</c:v>
                </c:pt>
                <c:pt idx="34">
                  <c:v>120</c:v>
                </c:pt>
                <c:pt idx="35">
                  <c:v>120</c:v>
                </c:pt>
                <c:pt idx="36">
                  <c:v>120</c:v>
                </c:pt>
                <c:pt idx="37">
                  <c:v>120</c:v>
                </c:pt>
                <c:pt idx="38">
                  <c:v>120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92.001278772378598</c:v>
                </c:pt>
                <c:pt idx="43">
                  <c:v>87.997512437811011</c:v>
                </c:pt>
                <c:pt idx="44">
                  <c:v>80</c:v>
                </c:pt>
                <c:pt idx="45">
                  <c:v>60</c:v>
                </c:pt>
                <c:pt idx="46">
                  <c:v>72</c:v>
                </c:pt>
                <c:pt idx="47">
                  <c:v>80</c:v>
                </c:pt>
                <c:pt idx="48">
                  <c:v>80</c:v>
                </c:pt>
                <c:pt idx="49">
                  <c:v>80</c:v>
                </c:pt>
                <c:pt idx="50">
                  <c:v>80</c:v>
                </c:pt>
                <c:pt idx="51">
                  <c:v>80.011474469305796</c:v>
                </c:pt>
                <c:pt idx="52">
                  <c:v>84.021257750221409</c:v>
                </c:pt>
                <c:pt idx="53">
                  <c:v>73.400000000000006</c:v>
                </c:pt>
                <c:pt idx="54">
                  <c:v>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81008"/>
        <c:axId val="762280448"/>
      </c:scatterChart>
      <c:valAx>
        <c:axId val="7622810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80448"/>
        <c:crosses val="autoZero"/>
        <c:crossBetween val="midCat"/>
        <c:majorUnit val="5"/>
      </c:valAx>
      <c:valAx>
        <c:axId val="7622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81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(All)'!$AS$7:$AS$107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(All)'!$AS$7:$AS$107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89408"/>
        <c:axId val="762286048"/>
      </c:scatterChart>
      <c:valAx>
        <c:axId val="7622894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86048"/>
        <c:crosses val="autoZero"/>
        <c:crossBetween val="midCat"/>
        <c:majorUnit val="5"/>
      </c:valAx>
      <c:valAx>
        <c:axId val="76228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894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Adana,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(All)'!$AT$7:$AT$107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(All)'!$AT$7:$AT$107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89968"/>
        <c:axId val="762295568"/>
      </c:scatterChart>
      <c:valAx>
        <c:axId val="7622899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95568"/>
        <c:crosses val="autoZero"/>
        <c:crossBetween val="midCat"/>
        <c:majorUnit val="5"/>
      </c:valAx>
      <c:valAx>
        <c:axId val="76229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899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(All)'!$AU$7:$AU$107</c:f>
              <c:numCache>
                <c:formatCode>0.0000</c:formatCode>
                <c:ptCount val="81"/>
                <c:pt idx="9">
                  <c:v>336</c:v>
                </c:pt>
                <c:pt idx="10">
                  <c:v>448</c:v>
                </c:pt>
                <c:pt idx="11">
                  <c:v>448</c:v>
                </c:pt>
                <c:pt idx="13">
                  <c:v>392</c:v>
                </c:pt>
                <c:pt idx="14">
                  <c:v>392</c:v>
                </c:pt>
                <c:pt idx="16">
                  <c:v>448</c:v>
                </c:pt>
                <c:pt idx="17">
                  <c:v>429.33333333333411</c:v>
                </c:pt>
                <c:pt idx="19">
                  <c:v>448</c:v>
                </c:pt>
                <c:pt idx="20">
                  <c:v>336</c:v>
                </c:pt>
                <c:pt idx="21">
                  <c:v>336</c:v>
                </c:pt>
                <c:pt idx="53">
                  <c:v>41.176470588235297</c:v>
                </c:pt>
                <c:pt idx="55">
                  <c:v>63.247863247863251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(All)'!$AU$7:$AU$107</c:f>
              <c:numCache>
                <c:formatCode>0.0000</c:formatCode>
                <c:ptCount val="81"/>
                <c:pt idx="9">
                  <c:v>336</c:v>
                </c:pt>
                <c:pt idx="10">
                  <c:v>448</c:v>
                </c:pt>
                <c:pt idx="11">
                  <c:v>448</c:v>
                </c:pt>
                <c:pt idx="13">
                  <c:v>392</c:v>
                </c:pt>
                <c:pt idx="14">
                  <c:v>392</c:v>
                </c:pt>
                <c:pt idx="16">
                  <c:v>448</c:v>
                </c:pt>
                <c:pt idx="17">
                  <c:v>429.33333333333411</c:v>
                </c:pt>
                <c:pt idx="19">
                  <c:v>448</c:v>
                </c:pt>
                <c:pt idx="20">
                  <c:v>336</c:v>
                </c:pt>
                <c:pt idx="21">
                  <c:v>336</c:v>
                </c:pt>
                <c:pt idx="53">
                  <c:v>41.176470588235297</c:v>
                </c:pt>
                <c:pt idx="55">
                  <c:v>63.247863247863251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79408"/>
        <c:axId val="762295008"/>
      </c:scatterChart>
      <c:valAx>
        <c:axId val="7620794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95008"/>
        <c:crosses val="autoZero"/>
        <c:crossBetween val="midCat"/>
        <c:majorUnit val="5"/>
      </c:valAx>
      <c:valAx>
        <c:axId val="76229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794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(All)'!$G$7:$G$107</c:f>
              <c:numCache>
                <c:formatCode>0.0000</c:formatCode>
                <c:ptCount val="81"/>
                <c:pt idx="54">
                  <c:v>88.964202499470375</c:v>
                </c:pt>
                <c:pt idx="55">
                  <c:v>81.55051895784797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(All)'!$G$7:$G$107</c:f>
              <c:numCache>
                <c:formatCode>0.0000</c:formatCode>
                <c:ptCount val="81"/>
                <c:pt idx="54">
                  <c:v>88.964202499470375</c:v>
                </c:pt>
                <c:pt idx="55">
                  <c:v>81.55051895784797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96208"/>
        <c:axId val="762111888"/>
      </c:scatterChart>
      <c:valAx>
        <c:axId val="7620962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11888"/>
        <c:crosses val="autoZero"/>
        <c:crossBetween val="midCat"/>
        <c:majorUnit val="5"/>
      </c:valAx>
      <c:valAx>
        <c:axId val="76211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962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(All)'!$AY$7:$AY$107</c:f>
              <c:numCache>
                <c:formatCode>General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(All)'!$AY$7:$AY$107</c:f>
              <c:numCache>
                <c:formatCode>General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78848"/>
        <c:axId val="762113568"/>
      </c:scatterChart>
      <c:valAx>
        <c:axId val="7620788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13568"/>
        <c:crosses val="autoZero"/>
        <c:crossBetween val="midCat"/>
        <c:majorUnit val="5"/>
      </c:valAx>
      <c:valAx>
        <c:axId val="76211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788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(All)'!$BC$7:$BC$107</c:f>
              <c:numCache>
                <c:formatCode>0.0000</c:formatCode>
                <c:ptCount val="81"/>
                <c:pt idx="37">
                  <c:v>270.61821613968959</c:v>
                </c:pt>
                <c:pt idx="38">
                  <c:v>212.6350245499182</c:v>
                </c:pt>
                <c:pt idx="40">
                  <c:v>179.20000000000002</c:v>
                </c:pt>
                <c:pt idx="41">
                  <c:v>177.42574257425738</c:v>
                </c:pt>
                <c:pt idx="43">
                  <c:v>204.79999999999993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(All)'!$BC$7:$BC$107</c:f>
              <c:numCache>
                <c:formatCode>0.0000</c:formatCode>
                <c:ptCount val="81"/>
                <c:pt idx="37">
                  <c:v>270.61821613968959</c:v>
                </c:pt>
                <c:pt idx="38">
                  <c:v>212.6350245499182</c:v>
                </c:pt>
                <c:pt idx="40">
                  <c:v>179.20000000000002</c:v>
                </c:pt>
                <c:pt idx="41">
                  <c:v>177.42574257425738</c:v>
                </c:pt>
                <c:pt idx="43">
                  <c:v>204.79999999999993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79968"/>
        <c:axId val="762088368"/>
      </c:scatterChart>
      <c:valAx>
        <c:axId val="7620799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88368"/>
        <c:crosses val="autoZero"/>
        <c:crossBetween val="midCat"/>
        <c:majorUnit val="5"/>
      </c:valAx>
      <c:valAx>
        <c:axId val="76208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799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(All)'!$AV$7:$AV$107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(All)'!$AV$7:$AV$107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91728"/>
        <c:axId val="762090608"/>
      </c:scatterChart>
      <c:valAx>
        <c:axId val="7620917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90608"/>
        <c:crosses val="autoZero"/>
        <c:crossBetween val="midCat"/>
        <c:majorUnit val="5"/>
      </c:valAx>
      <c:valAx>
        <c:axId val="76209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917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(All)'!$AW$7:$AW$107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(All)'!$AW$7:$AW$107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04048"/>
        <c:axId val="762102368"/>
      </c:scatterChart>
      <c:valAx>
        <c:axId val="7621040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02368"/>
        <c:crosses val="autoZero"/>
        <c:crossBetween val="midCat"/>
        <c:majorUnit val="5"/>
      </c:valAx>
      <c:valAx>
        <c:axId val="76210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040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(All)'!$AX$7:$AX$107</c:f>
              <c:numCache>
                <c:formatCode>General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(All)'!$AX$7:$AX$107</c:f>
              <c:numCache>
                <c:formatCode>General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05168"/>
        <c:axId val="762101248"/>
      </c:scatterChart>
      <c:valAx>
        <c:axId val="7621051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01248"/>
        <c:crosses val="autoZero"/>
        <c:crossBetween val="midCat"/>
        <c:majorUnit val="5"/>
      </c:valAx>
      <c:valAx>
        <c:axId val="76210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051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(All)'!$AZ$7:$AZ$107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(All)'!$AZ$7:$AZ$107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92848"/>
        <c:axId val="762106288"/>
      </c:scatterChart>
      <c:valAx>
        <c:axId val="7620928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06288"/>
        <c:crosses val="autoZero"/>
        <c:crossBetween val="midCat"/>
        <c:majorUnit val="5"/>
      </c:valAx>
      <c:valAx>
        <c:axId val="76210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928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(All)'!$BB$7:$BB$107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(All)'!$BB$7:$BB$107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46928"/>
        <c:axId val="762058688"/>
      </c:scatterChart>
      <c:valAx>
        <c:axId val="7620469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58688"/>
        <c:crosses val="autoZero"/>
        <c:crossBetween val="midCat"/>
        <c:majorUnit val="5"/>
      </c:valAx>
      <c:valAx>
        <c:axId val="76205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469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(All)'!$BA$7:$BA$107</c:f>
              <c:numCache>
                <c:formatCode>0.0000</c:formatCode>
                <c:ptCount val="81"/>
                <c:pt idx="55">
                  <c:v>162.12389380530979</c:v>
                </c:pt>
                <c:pt idx="56">
                  <c:v>223.265519040166</c:v>
                </c:pt>
                <c:pt idx="57">
                  <c:v>227.52192982456199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(All)'!$BA$7:$BA$107</c:f>
              <c:numCache>
                <c:formatCode>0.0000</c:formatCode>
                <c:ptCount val="81"/>
                <c:pt idx="55">
                  <c:v>162.12389380530979</c:v>
                </c:pt>
                <c:pt idx="56">
                  <c:v>223.265519040166</c:v>
                </c:pt>
                <c:pt idx="57">
                  <c:v>227.52192982456199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70448"/>
        <c:axId val="762056448"/>
      </c:scatterChart>
      <c:valAx>
        <c:axId val="7620704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56448"/>
        <c:crosses val="autoZero"/>
        <c:crossBetween val="midCat"/>
        <c:majorUnit val="5"/>
      </c:valAx>
      <c:valAx>
        <c:axId val="76205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704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Yezd,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(All)'!$BD$7:$BD$107</c:f>
              <c:numCache>
                <c:formatCode>0.0000</c:formatCode>
                <c:ptCount val="81"/>
                <c:pt idx="50">
                  <c:v>200.51741283507897</c:v>
                </c:pt>
                <c:pt idx="51">
                  <c:v>230.17808320401886</c:v>
                </c:pt>
                <c:pt idx="57">
                  <c:v>315.24102564102623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(All)'!$BD$7:$BD$107</c:f>
              <c:numCache>
                <c:formatCode>0.0000</c:formatCode>
                <c:ptCount val="81"/>
                <c:pt idx="50">
                  <c:v>200.51741283507897</c:v>
                </c:pt>
                <c:pt idx="51">
                  <c:v>230.17808320401886</c:v>
                </c:pt>
                <c:pt idx="57">
                  <c:v>315.24102564102623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54768"/>
        <c:axId val="762055328"/>
      </c:scatterChart>
      <c:valAx>
        <c:axId val="7620547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55328"/>
        <c:crosses val="autoZero"/>
        <c:crossBetween val="midCat"/>
        <c:majorUnit val="5"/>
      </c:valAx>
      <c:valAx>
        <c:axId val="76205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547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Yezd,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(All)'!$BE$7:$BE$107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(All)'!$BE$7:$BE$107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61488"/>
        <c:axId val="762063168"/>
      </c:scatterChart>
      <c:valAx>
        <c:axId val="7620614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63168"/>
        <c:crosses val="autoZero"/>
        <c:crossBetween val="midCat"/>
        <c:majorUnit val="5"/>
      </c:valAx>
      <c:valAx>
        <c:axId val="76206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614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Basrah,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(All)'!$I$7:$I$107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(All)'!$I$7:$I$107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65968"/>
        <c:axId val="762064288"/>
      </c:scatterChart>
      <c:valAx>
        <c:axId val="7620659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64288"/>
        <c:crosses val="autoZero"/>
        <c:crossBetween val="midCat"/>
        <c:majorUnit val="5"/>
      </c:valAx>
      <c:valAx>
        <c:axId val="76206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659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Yezd,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(All)'!$BF$7:$BF$107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(All)'!$BF$7:$BF$107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49168"/>
        <c:axId val="747710192"/>
      </c:scatterChart>
      <c:valAx>
        <c:axId val="7620491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10192"/>
        <c:crosses val="autoZero"/>
        <c:crossBetween val="midCat"/>
        <c:majorUnit val="5"/>
      </c:valAx>
      <c:valAx>
        <c:axId val="74771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491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(All)'!$BG$7:$BG$107</c:f>
              <c:numCache>
                <c:formatCode>0.0000</c:formatCode>
                <c:ptCount val="81"/>
                <c:pt idx="47">
                  <c:v>92.358738892240794</c:v>
                </c:pt>
                <c:pt idx="48">
                  <c:v>110.96326008033684</c:v>
                </c:pt>
                <c:pt idx="49">
                  <c:v>141.62863959459713</c:v>
                </c:pt>
                <c:pt idx="50">
                  <c:v>152.90989215952419</c:v>
                </c:pt>
                <c:pt idx="51">
                  <c:v>132.04450697243186</c:v>
                </c:pt>
                <c:pt idx="52">
                  <c:v>181.50163300308347</c:v>
                </c:pt>
                <c:pt idx="53">
                  <c:v>174.84340315171767</c:v>
                </c:pt>
                <c:pt idx="54">
                  <c:v>203.71473089414116</c:v>
                </c:pt>
                <c:pt idx="55">
                  <c:v>167.41601796093082</c:v>
                </c:pt>
                <c:pt idx="56">
                  <c:v>176.67968805650779</c:v>
                </c:pt>
                <c:pt idx="57">
                  <c:v>182.44049814522896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(All)'!$BG$7:$BG$107</c:f>
              <c:numCache>
                <c:formatCode>0.0000</c:formatCode>
                <c:ptCount val="81"/>
                <c:pt idx="47">
                  <c:v>92.358738892240794</c:v>
                </c:pt>
                <c:pt idx="48">
                  <c:v>110.96326008033684</c:v>
                </c:pt>
                <c:pt idx="49">
                  <c:v>141.62863959459713</c:v>
                </c:pt>
                <c:pt idx="50">
                  <c:v>152.90989215952419</c:v>
                </c:pt>
                <c:pt idx="51">
                  <c:v>132.04450697243186</c:v>
                </c:pt>
                <c:pt idx="52">
                  <c:v>181.50163300308347</c:v>
                </c:pt>
                <c:pt idx="53">
                  <c:v>174.84340315171767</c:v>
                </c:pt>
                <c:pt idx="54">
                  <c:v>203.71473089414116</c:v>
                </c:pt>
                <c:pt idx="55">
                  <c:v>167.41601796093082</c:v>
                </c:pt>
                <c:pt idx="56">
                  <c:v>176.67968805650779</c:v>
                </c:pt>
                <c:pt idx="57">
                  <c:v>182.44049814522896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94192"/>
        <c:axId val="747795872"/>
      </c:scatterChart>
      <c:valAx>
        <c:axId val="7477941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95872"/>
        <c:crosses val="autoZero"/>
        <c:crossBetween val="midCat"/>
        <c:majorUnit val="5"/>
      </c:valAx>
      <c:valAx>
        <c:axId val="74779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941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(All)'!$BH$7:$BH$107</c:f>
              <c:numCache>
                <c:formatCode>0.0000</c:formatCode>
                <c:ptCount val="81"/>
                <c:pt idx="47">
                  <c:v>105.15777885079667</c:v>
                </c:pt>
                <c:pt idx="48">
                  <c:v>151.85447101516695</c:v>
                </c:pt>
                <c:pt idx="49">
                  <c:v>125.77589323866806</c:v>
                </c:pt>
                <c:pt idx="50">
                  <c:v>141.34010548935333</c:v>
                </c:pt>
                <c:pt idx="51">
                  <c:v>147.99188004432631</c:v>
                </c:pt>
                <c:pt idx="52">
                  <c:v>186.6736456425019</c:v>
                </c:pt>
                <c:pt idx="53">
                  <c:v>196.08138143272356</c:v>
                </c:pt>
                <c:pt idx="54">
                  <c:v>139.15376335182583</c:v>
                </c:pt>
                <c:pt idx="55">
                  <c:v>182.4198329291296</c:v>
                </c:pt>
                <c:pt idx="56">
                  <c:v>200.14892032762478</c:v>
                </c:pt>
                <c:pt idx="57">
                  <c:v>186.2519602718244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(All)'!$BH$7:$BH$107</c:f>
              <c:numCache>
                <c:formatCode>0.0000</c:formatCode>
                <c:ptCount val="81"/>
                <c:pt idx="47">
                  <c:v>105.15777885079667</c:v>
                </c:pt>
                <c:pt idx="48">
                  <c:v>151.85447101516695</c:v>
                </c:pt>
                <c:pt idx="49">
                  <c:v>125.77589323866806</c:v>
                </c:pt>
                <c:pt idx="50">
                  <c:v>141.34010548935333</c:v>
                </c:pt>
                <c:pt idx="51">
                  <c:v>147.99188004432631</c:v>
                </c:pt>
                <c:pt idx="52">
                  <c:v>186.6736456425019</c:v>
                </c:pt>
                <c:pt idx="53">
                  <c:v>196.08138143272356</c:v>
                </c:pt>
                <c:pt idx="54">
                  <c:v>139.15376335182583</c:v>
                </c:pt>
                <c:pt idx="55">
                  <c:v>182.4198329291296</c:v>
                </c:pt>
                <c:pt idx="56">
                  <c:v>200.14892032762478</c:v>
                </c:pt>
                <c:pt idx="57">
                  <c:v>186.2519602718244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12992"/>
        <c:axId val="747782432"/>
      </c:scatterChart>
      <c:valAx>
        <c:axId val="7477129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82432"/>
        <c:crosses val="autoZero"/>
        <c:crossBetween val="midCat"/>
        <c:majorUnit val="5"/>
      </c:valAx>
      <c:valAx>
        <c:axId val="74778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129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(All)'!$BI$7:$BI$107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(All)'!$BI$7:$BI$107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11312"/>
        <c:axId val="747781312"/>
      </c:scatterChart>
      <c:valAx>
        <c:axId val="7477113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81312"/>
        <c:crosses val="autoZero"/>
        <c:crossBetween val="midCat"/>
        <c:majorUnit val="5"/>
      </c:valAx>
      <c:valAx>
        <c:axId val="74778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113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Kermanshah,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(All)'!$BJ$7:$BJ$107</c:f>
              <c:numCache>
                <c:formatCode>0.0000</c:formatCode>
                <c:ptCount val="81"/>
                <c:pt idx="45">
                  <c:v>100.7156094826034</c:v>
                </c:pt>
                <c:pt idx="46">
                  <c:v>99.426462309167391</c:v>
                </c:pt>
                <c:pt idx="47">
                  <c:v>117.4045906975016</c:v>
                </c:pt>
                <c:pt idx="48">
                  <c:v>115.9513472959212</c:v>
                </c:pt>
                <c:pt idx="49">
                  <c:v>92.144064665308193</c:v>
                </c:pt>
                <c:pt idx="50">
                  <c:v>87.563574571385203</c:v>
                </c:pt>
                <c:pt idx="52">
                  <c:v>116.9986938887744</c:v>
                </c:pt>
                <c:pt idx="53">
                  <c:v>114.23769507803121</c:v>
                </c:pt>
                <c:pt idx="54">
                  <c:v>107.46470920383959</c:v>
                </c:pt>
                <c:pt idx="55">
                  <c:v>105.79901153212519</c:v>
                </c:pt>
                <c:pt idx="56">
                  <c:v>110.88366336633661</c:v>
                </c:pt>
                <c:pt idx="57">
                  <c:v>135.03115814226919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(All)'!$BJ$7:$BJ$107</c:f>
              <c:numCache>
                <c:formatCode>0.0000</c:formatCode>
                <c:ptCount val="81"/>
                <c:pt idx="45">
                  <c:v>100.7156094826034</c:v>
                </c:pt>
                <c:pt idx="46">
                  <c:v>99.426462309167391</c:v>
                </c:pt>
                <c:pt idx="47">
                  <c:v>117.4045906975016</c:v>
                </c:pt>
                <c:pt idx="48">
                  <c:v>115.9513472959212</c:v>
                </c:pt>
                <c:pt idx="49">
                  <c:v>92.144064665308193</c:v>
                </c:pt>
                <c:pt idx="50">
                  <c:v>87.563574571385203</c:v>
                </c:pt>
                <c:pt idx="52">
                  <c:v>116.9986938887744</c:v>
                </c:pt>
                <c:pt idx="53">
                  <c:v>114.23769507803121</c:v>
                </c:pt>
                <c:pt idx="54">
                  <c:v>107.46470920383959</c:v>
                </c:pt>
                <c:pt idx="55">
                  <c:v>105.79901153212519</c:v>
                </c:pt>
                <c:pt idx="56">
                  <c:v>110.88366336633661</c:v>
                </c:pt>
                <c:pt idx="57">
                  <c:v>135.03115814226919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74592"/>
        <c:axId val="747774032"/>
      </c:scatterChart>
      <c:valAx>
        <c:axId val="7477745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74032"/>
        <c:crosses val="autoZero"/>
        <c:crossBetween val="midCat"/>
        <c:majorUnit val="5"/>
      </c:valAx>
      <c:valAx>
        <c:axId val="74777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745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Kermanshah,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(All)'!$BK$7:$BK$107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(All)'!$BK$7:$BK$107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66752"/>
        <c:axId val="747766192"/>
      </c:scatterChart>
      <c:valAx>
        <c:axId val="7477667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66192"/>
        <c:crosses val="autoZero"/>
        <c:crossBetween val="midCat"/>
        <c:majorUnit val="5"/>
      </c:valAx>
      <c:valAx>
        <c:axId val="74776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667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Kermanshah,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(All)'!$BL$7:$BL$107</c:f>
              <c:numCache>
                <c:formatCode>0.0000</c:formatCode>
                <c:ptCount val="81"/>
                <c:pt idx="47">
                  <c:v>108.82591093117399</c:v>
                </c:pt>
                <c:pt idx="49">
                  <c:v>125.10789540492519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(All)'!$BL$7:$BL$107</c:f>
              <c:numCache>
                <c:formatCode>0.0000</c:formatCode>
                <c:ptCount val="81"/>
                <c:pt idx="47">
                  <c:v>108.82591093117399</c:v>
                </c:pt>
                <c:pt idx="49">
                  <c:v>125.10789540492519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65072"/>
        <c:axId val="747765632"/>
      </c:scatterChart>
      <c:valAx>
        <c:axId val="7477650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65632"/>
        <c:crosses val="autoZero"/>
        <c:crossBetween val="midCat"/>
        <c:majorUnit val="5"/>
      </c:valAx>
      <c:valAx>
        <c:axId val="74776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650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Kerman, Imports,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(All)'!$BM$7:$BM$107</c:f>
              <c:numCache>
                <c:formatCode>0.0000</c:formatCode>
                <c:ptCount val="81"/>
                <c:pt idx="39">
                  <c:v>179.20000000000002</c:v>
                </c:pt>
                <c:pt idx="50">
                  <c:v>98.036199095022596</c:v>
                </c:pt>
                <c:pt idx="51">
                  <c:v>98.039215686274602</c:v>
                </c:pt>
                <c:pt idx="52">
                  <c:v>98.031674208144807</c:v>
                </c:pt>
                <c:pt idx="53">
                  <c:v>27.144823367487398</c:v>
                </c:pt>
                <c:pt idx="54">
                  <c:v>118.77828054298641</c:v>
                </c:pt>
                <c:pt idx="55">
                  <c:v>114.25339366515833</c:v>
                </c:pt>
                <c:pt idx="56">
                  <c:v>106.33484162895924</c:v>
                </c:pt>
                <c:pt idx="57">
                  <c:v>96.15384615384616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(All)'!$BM$7:$BM$107</c:f>
              <c:numCache>
                <c:formatCode>0.0000</c:formatCode>
                <c:ptCount val="81"/>
                <c:pt idx="39">
                  <c:v>179.20000000000002</c:v>
                </c:pt>
                <c:pt idx="50">
                  <c:v>98.036199095022596</c:v>
                </c:pt>
                <c:pt idx="51">
                  <c:v>98.039215686274602</c:v>
                </c:pt>
                <c:pt idx="52">
                  <c:v>98.031674208144807</c:v>
                </c:pt>
                <c:pt idx="53">
                  <c:v>27.144823367487398</c:v>
                </c:pt>
                <c:pt idx="54">
                  <c:v>118.77828054298641</c:v>
                </c:pt>
                <c:pt idx="55">
                  <c:v>114.25339366515833</c:v>
                </c:pt>
                <c:pt idx="56">
                  <c:v>106.33484162895924</c:v>
                </c:pt>
                <c:pt idx="57">
                  <c:v>96.15384615384616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57792"/>
        <c:axId val="747757232"/>
      </c:scatterChart>
      <c:valAx>
        <c:axId val="7477577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57232"/>
        <c:crosses val="autoZero"/>
        <c:crossBetween val="midCat"/>
        <c:majorUnit val="5"/>
      </c:valAx>
      <c:valAx>
        <c:axId val="74775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577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Kerman,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(All)'!$BN$7:$BN$107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(All)'!$BN$7:$BN$107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49952"/>
        <c:axId val="747749392"/>
      </c:scatterChart>
      <c:valAx>
        <c:axId val="7477499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49392"/>
        <c:crosses val="autoZero"/>
        <c:crossBetween val="midCat"/>
        <c:majorUnit val="5"/>
      </c:valAx>
      <c:valAx>
        <c:axId val="74774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499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(All)'!$BO$7:$BO$107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(All)'!$BO$7:$BO$107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48272"/>
        <c:axId val="747748832"/>
      </c:scatterChart>
      <c:valAx>
        <c:axId val="7477482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48832"/>
        <c:crosses val="autoZero"/>
        <c:crossBetween val="midCat"/>
        <c:majorUnit val="5"/>
      </c:valAx>
      <c:valAx>
        <c:axId val="74774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482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Basrah,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(All)'!$J$7:$J$107</c:f>
              <c:numCache>
                <c:formatCode>0.0000</c:formatCode>
                <c:ptCount val="81"/>
                <c:pt idx="50" formatCode="General">
                  <c:v>38.080000000000005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(All)'!$J$7:$J$107</c:f>
              <c:numCache>
                <c:formatCode>0.0000</c:formatCode>
                <c:ptCount val="81"/>
                <c:pt idx="50" formatCode="General">
                  <c:v>38.080000000000005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58128"/>
        <c:axId val="762059248"/>
      </c:scatterChart>
      <c:valAx>
        <c:axId val="7620581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59248"/>
        <c:crosses val="autoZero"/>
        <c:crossBetween val="midCat"/>
        <c:majorUnit val="5"/>
      </c:valAx>
      <c:valAx>
        <c:axId val="76205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581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Bam,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(All)'!$BP$7:$BP$107</c:f>
              <c:numCache>
                <c:formatCode>0.0000</c:formatCode>
                <c:ptCount val="81"/>
                <c:pt idx="57">
                  <c:v>470.51762940735165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(All)'!$BP$7:$BP$107</c:f>
              <c:numCache>
                <c:formatCode>0.0000</c:formatCode>
                <c:ptCount val="81"/>
                <c:pt idx="57">
                  <c:v>470.51762940735165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40992"/>
        <c:axId val="747740432"/>
      </c:scatterChart>
      <c:valAx>
        <c:axId val="7477409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40432"/>
        <c:crosses val="autoZero"/>
        <c:crossBetween val="midCat"/>
        <c:majorUnit val="5"/>
      </c:valAx>
      <c:valAx>
        <c:axId val="74774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409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Bam, Exports, 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(All)'!$BQ$7:$BQ$107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(All)'!$BQ$7:$BQ$107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33152"/>
        <c:axId val="747732592"/>
      </c:scatterChart>
      <c:valAx>
        <c:axId val="7477331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32592"/>
        <c:crosses val="autoZero"/>
        <c:crossBetween val="midCat"/>
        <c:majorUnit val="5"/>
      </c:valAx>
      <c:valAx>
        <c:axId val="74773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331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Bam,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(All)'!$BR$7:$BR$107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(All)'!$BR$7:$BR$107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31472"/>
        <c:axId val="747732032"/>
      </c:scatterChart>
      <c:valAx>
        <c:axId val="7477314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32032"/>
        <c:crosses val="autoZero"/>
        <c:crossBetween val="midCat"/>
        <c:majorUnit val="5"/>
      </c:valAx>
      <c:valAx>
        <c:axId val="74773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314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(All)'!$BS$7:$BS$107</c:f>
              <c:numCache>
                <c:formatCode>0.0000</c:formatCode>
                <c:ptCount val="81"/>
                <c:pt idx="18">
                  <c:v>320.00000000000028</c:v>
                </c:pt>
                <c:pt idx="19">
                  <c:v>308.96551724138016</c:v>
                </c:pt>
                <c:pt idx="20">
                  <c:v>344.71111111111134</c:v>
                </c:pt>
                <c:pt idx="38">
                  <c:v>263.86149463072445</c:v>
                </c:pt>
                <c:pt idx="47">
                  <c:v>114.45795339412358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(All)'!$BS$7:$BS$107</c:f>
              <c:numCache>
                <c:formatCode>0.0000</c:formatCode>
                <c:ptCount val="81"/>
                <c:pt idx="18">
                  <c:v>320.00000000000028</c:v>
                </c:pt>
                <c:pt idx="19">
                  <c:v>308.96551724138016</c:v>
                </c:pt>
                <c:pt idx="20">
                  <c:v>344.71111111111134</c:v>
                </c:pt>
                <c:pt idx="38">
                  <c:v>263.86149463072445</c:v>
                </c:pt>
                <c:pt idx="47">
                  <c:v>114.45795339412358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24192"/>
        <c:axId val="747723632"/>
      </c:scatterChart>
      <c:valAx>
        <c:axId val="7477241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23632"/>
        <c:crosses val="autoZero"/>
        <c:crossBetween val="midCat"/>
        <c:majorUnit val="5"/>
      </c:valAx>
      <c:valAx>
        <c:axId val="74772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241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(All)'!$BT$7:$BT$107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(All)'!$BT$7:$BT$107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16352"/>
        <c:axId val="747715792"/>
      </c:scatterChart>
      <c:valAx>
        <c:axId val="7477163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15792"/>
        <c:crosses val="autoZero"/>
        <c:crossBetween val="midCat"/>
        <c:majorUnit val="5"/>
      </c:valAx>
      <c:valAx>
        <c:axId val="7477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163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(All)'!$BU$7:$BU$107</c:f>
              <c:numCache>
                <c:formatCode>0.0000</c:formatCode>
                <c:ptCount val="81"/>
                <c:pt idx="19">
                  <c:v>252.98823529411712</c:v>
                </c:pt>
                <c:pt idx="37">
                  <c:v>280</c:v>
                </c:pt>
                <c:pt idx="38">
                  <c:v>224</c:v>
                </c:pt>
                <c:pt idx="42">
                  <c:v>181.01010101010098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(All)'!$BU$7:$BU$107</c:f>
              <c:numCache>
                <c:formatCode>0.0000</c:formatCode>
                <c:ptCount val="81"/>
                <c:pt idx="19">
                  <c:v>252.98823529411712</c:v>
                </c:pt>
                <c:pt idx="37">
                  <c:v>280</c:v>
                </c:pt>
                <c:pt idx="38">
                  <c:v>224</c:v>
                </c:pt>
                <c:pt idx="42">
                  <c:v>181.01010101010098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13552"/>
        <c:axId val="747715232"/>
      </c:scatterChart>
      <c:valAx>
        <c:axId val="7477135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15232"/>
        <c:crosses val="autoZero"/>
        <c:crossBetween val="midCat"/>
        <c:majorUnit val="5"/>
      </c:valAx>
      <c:valAx>
        <c:axId val="74771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135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Mazandaran,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(All)'!$BV$7:$BV$107</c:f>
              <c:numCache>
                <c:formatCode>0.0000</c:formatCode>
                <c:ptCount val="81"/>
                <c:pt idx="51">
                  <c:v>160.63506642611119</c:v>
                </c:pt>
                <c:pt idx="52">
                  <c:v>178.67199072583236</c:v>
                </c:pt>
                <c:pt idx="53">
                  <c:v>159.82418658907164</c:v>
                </c:pt>
                <c:pt idx="54">
                  <c:v>154.0140142640727</c:v>
                </c:pt>
                <c:pt idx="55">
                  <c:v>140.17603703870884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(All)'!$BV$7:$BV$107</c:f>
              <c:numCache>
                <c:formatCode>0.0000</c:formatCode>
                <c:ptCount val="81"/>
                <c:pt idx="51">
                  <c:v>160.63506642611119</c:v>
                </c:pt>
                <c:pt idx="52">
                  <c:v>178.67199072583236</c:v>
                </c:pt>
                <c:pt idx="53">
                  <c:v>159.82418658907164</c:v>
                </c:pt>
                <c:pt idx="54">
                  <c:v>154.0140142640727</c:v>
                </c:pt>
                <c:pt idx="55">
                  <c:v>140.17603703870884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87472"/>
        <c:axId val="747788032"/>
      </c:scatterChart>
      <c:valAx>
        <c:axId val="7477874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88032"/>
        <c:crosses val="autoZero"/>
        <c:crossBetween val="midCat"/>
        <c:majorUnit val="5"/>
      </c:valAx>
      <c:valAx>
        <c:axId val="74778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874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Mazandaran,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(All)'!$BW$7:$BW$107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(All)'!$BW$7:$BW$107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96752"/>
        <c:axId val="747697312"/>
      </c:scatterChart>
      <c:valAx>
        <c:axId val="7476967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97312"/>
        <c:crosses val="autoZero"/>
        <c:crossBetween val="midCat"/>
        <c:majorUnit val="5"/>
      </c:valAx>
      <c:valAx>
        <c:axId val="74769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967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Mazandaran,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(All)'!$BX$7:$BX$107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(All)'!$BX$7:$BX$107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96192"/>
        <c:axId val="747695632"/>
      </c:scatterChart>
      <c:valAx>
        <c:axId val="7476961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95632"/>
        <c:crosses val="autoZero"/>
        <c:crossBetween val="midCat"/>
        <c:majorUnit val="5"/>
      </c:valAx>
      <c:valAx>
        <c:axId val="74769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961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Ghilan &amp; Tunekabun,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(All)'!$BY$7:$BY$107</c:f>
              <c:numCache>
                <c:formatCode>0.0000</c:formatCode>
                <c:ptCount val="81"/>
                <c:pt idx="51">
                  <c:v>191.59940399628135</c:v>
                </c:pt>
                <c:pt idx="53">
                  <c:v>165.24665517524414</c:v>
                </c:pt>
                <c:pt idx="54">
                  <c:v>197.13474469390911</c:v>
                </c:pt>
                <c:pt idx="55">
                  <c:v>167.98004171050593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(All)'!$BY$7:$BY$107</c:f>
              <c:numCache>
                <c:formatCode>0.0000</c:formatCode>
                <c:ptCount val="81"/>
                <c:pt idx="51">
                  <c:v>191.59940399628135</c:v>
                </c:pt>
                <c:pt idx="53">
                  <c:v>165.24665517524414</c:v>
                </c:pt>
                <c:pt idx="54">
                  <c:v>197.13474469390911</c:v>
                </c:pt>
                <c:pt idx="55">
                  <c:v>167.98004171050593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87792"/>
        <c:axId val="747688352"/>
      </c:scatterChart>
      <c:valAx>
        <c:axId val="7476877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88352"/>
        <c:crosses val="autoZero"/>
        <c:crossBetween val="midCat"/>
        <c:majorUnit val="5"/>
      </c:valAx>
      <c:valAx>
        <c:axId val="74768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877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(All)'!$Q$7:$Q$107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(All)'!$Q$7:$Q$107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21408"/>
        <c:axId val="762118608"/>
      </c:scatterChart>
      <c:valAx>
        <c:axId val="7621214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18608"/>
        <c:crosses val="autoZero"/>
        <c:crossBetween val="midCat"/>
        <c:majorUnit val="5"/>
      </c:valAx>
      <c:valAx>
        <c:axId val="76211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214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Ghilan &amp; Tunekabun,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(All)'!$BZ$7:$BZ$107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(All)'!$BZ$7:$BZ$107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79952"/>
        <c:axId val="747680512"/>
      </c:scatterChart>
      <c:valAx>
        <c:axId val="7476799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80512"/>
        <c:crosses val="autoZero"/>
        <c:crossBetween val="midCat"/>
        <c:majorUnit val="5"/>
      </c:valAx>
      <c:valAx>
        <c:axId val="74768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799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Ghilan &amp; Tunekabun,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(All)'!$CA$7:$CA$107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(All)'!$CA$7:$CA$107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79392"/>
        <c:axId val="747678832"/>
      </c:scatterChart>
      <c:valAx>
        <c:axId val="7476793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78832"/>
        <c:crosses val="autoZero"/>
        <c:crossBetween val="midCat"/>
        <c:majorUnit val="5"/>
      </c:valAx>
      <c:valAx>
        <c:axId val="74767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793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Bender Gez &amp; Astarabad,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(All)'!$CB$7:$CB$107</c:f>
              <c:numCache>
                <c:formatCode>0.0000</c:formatCode>
                <c:ptCount val="81"/>
                <c:pt idx="23">
                  <c:v>365.58322683154273</c:v>
                </c:pt>
                <c:pt idx="51">
                  <c:v>153.73589046822741</c:v>
                </c:pt>
                <c:pt idx="52">
                  <c:v>160.09327456277546</c:v>
                </c:pt>
                <c:pt idx="53">
                  <c:v>142.00634225449593</c:v>
                </c:pt>
                <c:pt idx="54">
                  <c:v>147.13929061508767</c:v>
                </c:pt>
                <c:pt idx="55">
                  <c:v>143.47501418007903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(All)'!$CB$7:$CB$107</c:f>
              <c:numCache>
                <c:formatCode>0.0000</c:formatCode>
                <c:ptCount val="81"/>
                <c:pt idx="23">
                  <c:v>365.58322683154273</c:v>
                </c:pt>
                <c:pt idx="51">
                  <c:v>153.73589046822741</c:v>
                </c:pt>
                <c:pt idx="52">
                  <c:v>160.09327456277546</c:v>
                </c:pt>
                <c:pt idx="53">
                  <c:v>142.00634225449593</c:v>
                </c:pt>
                <c:pt idx="54">
                  <c:v>147.13929061508767</c:v>
                </c:pt>
                <c:pt idx="55">
                  <c:v>143.47501418007903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70992"/>
        <c:axId val="747671552"/>
      </c:scatterChart>
      <c:valAx>
        <c:axId val="7476709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71552"/>
        <c:crosses val="autoZero"/>
        <c:crossBetween val="midCat"/>
        <c:majorUnit val="5"/>
      </c:valAx>
      <c:valAx>
        <c:axId val="74767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709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Bender Gez &amp; Astarabad,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(All)'!$CC$7:$CC$107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(All)'!$CC$7:$CC$107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02352"/>
        <c:axId val="747668752"/>
      </c:scatterChart>
      <c:valAx>
        <c:axId val="7477023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68752"/>
        <c:crosses val="autoZero"/>
        <c:crossBetween val="midCat"/>
        <c:majorUnit val="5"/>
      </c:valAx>
      <c:valAx>
        <c:axId val="74766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023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Bender Gez &amp; Astarabad,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(All)'!$CD$7:$CD$107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(All)'!$CD$7:$CD$107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59536"/>
        <c:axId val="704760096"/>
      </c:scatterChart>
      <c:valAx>
        <c:axId val="7047595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60096"/>
        <c:crosses val="autoZero"/>
        <c:crossBetween val="midCat"/>
        <c:majorUnit val="5"/>
      </c:valAx>
      <c:valAx>
        <c:axId val="70476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595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Astara (Imports),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(All)'!$CE$7:$CE$107</c:f>
              <c:numCache>
                <c:formatCode>0.0000</c:formatCode>
                <c:ptCount val="81"/>
                <c:pt idx="53">
                  <c:v>127.76238655608154</c:v>
                </c:pt>
                <c:pt idx="54">
                  <c:v>172.77032457496134</c:v>
                </c:pt>
                <c:pt idx="55">
                  <c:v>182.05352157042424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(All)'!$CE$7:$CE$107</c:f>
              <c:numCache>
                <c:formatCode>0.0000</c:formatCode>
                <c:ptCount val="81"/>
                <c:pt idx="53">
                  <c:v>127.76238655608154</c:v>
                </c:pt>
                <c:pt idx="54">
                  <c:v>172.77032457496134</c:v>
                </c:pt>
                <c:pt idx="55">
                  <c:v>182.05352157042424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48336"/>
        <c:axId val="704749456"/>
      </c:scatterChart>
      <c:valAx>
        <c:axId val="7047483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49456"/>
        <c:crosses val="autoZero"/>
        <c:crossBetween val="midCat"/>
        <c:majorUnit val="5"/>
      </c:valAx>
      <c:valAx>
        <c:axId val="70474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483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Astara (Exports),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(All)'!$CF$7:$CF$107</c:f>
              <c:numCache>
                <c:formatCode>0.0000</c:formatCode>
                <c:ptCount val="81"/>
                <c:pt idx="53">
                  <c:v>236.35776297193536</c:v>
                </c:pt>
                <c:pt idx="54">
                  <c:v>194.92318795752141</c:v>
                </c:pt>
                <c:pt idx="55">
                  <c:v>196.14975995326859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(All)'!$CF$7:$CF$107</c:f>
              <c:numCache>
                <c:formatCode>0.0000</c:formatCode>
                <c:ptCount val="81"/>
                <c:pt idx="53">
                  <c:v>236.35776297193536</c:v>
                </c:pt>
                <c:pt idx="54">
                  <c:v>194.92318795752141</c:v>
                </c:pt>
                <c:pt idx="55">
                  <c:v>196.14975995326859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41056"/>
        <c:axId val="704771296"/>
      </c:scatterChart>
      <c:valAx>
        <c:axId val="7047410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71296"/>
        <c:crosses val="autoZero"/>
        <c:crossBetween val="midCat"/>
        <c:majorUnit val="5"/>
      </c:valAx>
      <c:valAx>
        <c:axId val="70477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410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Astara,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(All)'!$CG$7:$CG$107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(All)'!$CG$7:$CG$107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57856"/>
        <c:axId val="704758976"/>
      </c:scatterChart>
      <c:valAx>
        <c:axId val="7047578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58976"/>
        <c:crosses val="autoZero"/>
        <c:crossBetween val="midCat"/>
        <c:majorUnit val="5"/>
      </c:valAx>
      <c:valAx>
        <c:axId val="70475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578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Sultanabad,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(All)'!$CH$7:$CH$107</c:f>
              <c:numCache>
                <c:formatCode>0.0000</c:formatCode>
                <c:ptCount val="81"/>
                <c:pt idx="56">
                  <c:v>449.12</c:v>
                </c:pt>
                <c:pt idx="57">
                  <c:v>328.5333333333341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(All)'!$CH$7:$CH$107</c:f>
              <c:numCache>
                <c:formatCode>0.0000</c:formatCode>
                <c:ptCount val="81"/>
                <c:pt idx="56">
                  <c:v>449.12</c:v>
                </c:pt>
                <c:pt idx="57">
                  <c:v>328.5333333333341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69056"/>
        <c:axId val="704772416"/>
      </c:scatterChart>
      <c:valAx>
        <c:axId val="7047690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72416"/>
        <c:crosses val="autoZero"/>
        <c:crossBetween val="midCat"/>
        <c:majorUnit val="5"/>
      </c:valAx>
      <c:valAx>
        <c:axId val="70477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690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Sultanabad,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(All)'!$CI$7:$CI$107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(All)'!$CI$7:$CI$107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76336"/>
        <c:axId val="704775776"/>
      </c:scatterChart>
      <c:valAx>
        <c:axId val="7047763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75776"/>
        <c:crosses val="autoZero"/>
        <c:crossBetween val="midCat"/>
        <c:majorUnit val="5"/>
      </c:valAx>
      <c:valAx>
        <c:axId val="70477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763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(All)'!$R$7:$R$107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(All)'!$R$7:$R$107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21968"/>
        <c:axId val="762127568"/>
      </c:scatterChart>
      <c:valAx>
        <c:axId val="7621219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27568"/>
        <c:crosses val="autoZero"/>
        <c:crossBetween val="midCat"/>
        <c:majorUnit val="5"/>
      </c:valAx>
      <c:valAx>
        <c:axId val="76212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219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Sultanabad,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(All)'!$CJ$7:$CJ$107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(All)'!$CJ$7:$CJ$107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648656"/>
        <c:axId val="704649216"/>
      </c:scatterChart>
      <c:valAx>
        <c:axId val="7046486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649216"/>
        <c:crosses val="autoZero"/>
        <c:crossBetween val="midCat"/>
        <c:majorUnit val="5"/>
      </c:valAx>
      <c:valAx>
        <c:axId val="70464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6486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Bahrain,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(All)'!$CK$7:$CK$107</c:f>
              <c:numCache>
                <c:formatCode>0.0000</c:formatCode>
                <c:ptCount val="81"/>
                <c:pt idx="48">
                  <c:v>55.974981384958944</c:v>
                </c:pt>
                <c:pt idx="49">
                  <c:v>55.979940298507451</c:v>
                </c:pt>
                <c:pt idx="50">
                  <c:v>65.218541089565917</c:v>
                </c:pt>
                <c:pt idx="51">
                  <c:v>59.733333333333405</c:v>
                </c:pt>
                <c:pt idx="52">
                  <c:v>74.666666666666586</c:v>
                </c:pt>
                <c:pt idx="53">
                  <c:v>74.66639844334675</c:v>
                </c:pt>
                <c:pt idx="54">
                  <c:v>79.333168462580261</c:v>
                </c:pt>
                <c:pt idx="55">
                  <c:v>79.999999999999972</c:v>
                </c:pt>
                <c:pt idx="56">
                  <c:v>93.319610264855299</c:v>
                </c:pt>
                <c:pt idx="57">
                  <c:v>87.148801836705516</c:v>
                </c:pt>
                <c:pt idx="58">
                  <c:v>88.28115942028991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(All)'!$CK$7:$CK$107</c:f>
              <c:numCache>
                <c:formatCode>0.0000</c:formatCode>
                <c:ptCount val="81"/>
                <c:pt idx="48">
                  <c:v>55.974981384958944</c:v>
                </c:pt>
                <c:pt idx="49">
                  <c:v>55.979940298507451</c:v>
                </c:pt>
                <c:pt idx="50">
                  <c:v>65.218541089565917</c:v>
                </c:pt>
                <c:pt idx="51">
                  <c:v>59.733333333333405</c:v>
                </c:pt>
                <c:pt idx="52">
                  <c:v>74.666666666666586</c:v>
                </c:pt>
                <c:pt idx="53">
                  <c:v>74.66639844334675</c:v>
                </c:pt>
                <c:pt idx="54">
                  <c:v>79.333168462580261</c:v>
                </c:pt>
                <c:pt idx="55">
                  <c:v>79.999999999999972</c:v>
                </c:pt>
                <c:pt idx="56">
                  <c:v>93.319610264855299</c:v>
                </c:pt>
                <c:pt idx="57">
                  <c:v>87.148801836705516</c:v>
                </c:pt>
                <c:pt idx="58">
                  <c:v>88.28115942028991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663776"/>
        <c:axId val="704664336"/>
      </c:scatterChart>
      <c:valAx>
        <c:axId val="7046637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664336"/>
        <c:crosses val="autoZero"/>
        <c:crossBetween val="midCat"/>
        <c:majorUnit val="5"/>
      </c:valAx>
      <c:valAx>
        <c:axId val="70466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6637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Bahrain,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(All)'!$CL$7:$CL$107</c:f>
              <c:numCache>
                <c:formatCode>0.0000</c:formatCode>
                <c:ptCount val="81"/>
                <c:pt idx="48">
                  <c:v>56</c:v>
                </c:pt>
                <c:pt idx="49">
                  <c:v>65.075098814229278</c:v>
                </c:pt>
                <c:pt idx="50">
                  <c:v>64.678285445124729</c:v>
                </c:pt>
                <c:pt idx="51">
                  <c:v>60.664401294498397</c:v>
                </c:pt>
                <c:pt idx="52">
                  <c:v>77.353556485355583</c:v>
                </c:pt>
                <c:pt idx="53">
                  <c:v>74.666666666666586</c:v>
                </c:pt>
                <c:pt idx="54">
                  <c:v>79.11452848586157</c:v>
                </c:pt>
                <c:pt idx="55">
                  <c:v>74.666666666666586</c:v>
                </c:pt>
                <c:pt idx="56">
                  <c:v>62.826241134751811</c:v>
                </c:pt>
                <c:pt idx="57">
                  <c:v>58.237154150197568</c:v>
                </c:pt>
                <c:pt idx="58">
                  <c:v>85.667711598746138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(All)'!$CL$7:$CL$107</c:f>
              <c:numCache>
                <c:formatCode>0.0000</c:formatCode>
                <c:ptCount val="81"/>
                <c:pt idx="48">
                  <c:v>56</c:v>
                </c:pt>
                <c:pt idx="49">
                  <c:v>65.075098814229278</c:v>
                </c:pt>
                <c:pt idx="50">
                  <c:v>64.678285445124729</c:v>
                </c:pt>
                <c:pt idx="51">
                  <c:v>60.664401294498397</c:v>
                </c:pt>
                <c:pt idx="52">
                  <c:v>77.353556485355583</c:v>
                </c:pt>
                <c:pt idx="53">
                  <c:v>74.666666666666586</c:v>
                </c:pt>
                <c:pt idx="54">
                  <c:v>79.11452848586157</c:v>
                </c:pt>
                <c:pt idx="55">
                  <c:v>74.666666666666586</c:v>
                </c:pt>
                <c:pt idx="56">
                  <c:v>62.826241134751811</c:v>
                </c:pt>
                <c:pt idx="57">
                  <c:v>58.237154150197568</c:v>
                </c:pt>
                <c:pt idx="58">
                  <c:v>85.667711598746138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659296"/>
        <c:axId val="704659856"/>
      </c:scatterChart>
      <c:valAx>
        <c:axId val="7046592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659856"/>
        <c:crosses val="autoZero"/>
        <c:crossBetween val="midCat"/>
        <c:majorUnit val="5"/>
      </c:valAx>
      <c:valAx>
        <c:axId val="70465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6592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Bahrain,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(All)'!$CM$7:$CM$107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(All)'!$CM$7:$CM$107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46656"/>
        <c:axId val="704748896"/>
      </c:scatterChart>
      <c:valAx>
        <c:axId val="7047466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48896"/>
        <c:crosses val="autoZero"/>
        <c:crossBetween val="midCat"/>
        <c:majorUnit val="5"/>
      </c:valAx>
      <c:valAx>
        <c:axId val="7047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466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Muscat,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(All)'!$CN$7:$CN$107</c:f>
              <c:numCache>
                <c:formatCode>0.0000</c:formatCode>
                <c:ptCount val="81"/>
                <c:pt idx="20">
                  <c:v>43.591060087892004</c:v>
                </c:pt>
                <c:pt idx="21">
                  <c:v>40.429510674923996</c:v>
                </c:pt>
                <c:pt idx="22">
                  <c:v>42.010285381408004</c:v>
                </c:pt>
                <c:pt idx="23">
                  <c:v>40.285803883425402</c:v>
                </c:pt>
                <c:pt idx="24">
                  <c:v>39.279856342935602</c:v>
                </c:pt>
                <c:pt idx="29">
                  <c:v>8.7301875835366012</c:v>
                </c:pt>
                <c:pt idx="30">
                  <c:v>14.888023599249241</c:v>
                </c:pt>
                <c:pt idx="31">
                  <c:v>13.041391328492939</c:v>
                </c:pt>
                <c:pt idx="32">
                  <c:v>19.02784368915918</c:v>
                </c:pt>
                <c:pt idx="33">
                  <c:v>16.430476494666959</c:v>
                </c:pt>
                <c:pt idx="34">
                  <c:v>12.60219853546252</c:v>
                </c:pt>
                <c:pt idx="35">
                  <c:v>7.3194659136592204</c:v>
                </c:pt>
                <c:pt idx="36">
                  <c:v>12.08813627821926</c:v>
                </c:pt>
                <c:pt idx="37">
                  <c:v>11.078487199160541</c:v>
                </c:pt>
                <c:pt idx="38">
                  <c:v>24.7635543110292</c:v>
                </c:pt>
                <c:pt idx="39">
                  <c:v>22.178748154608797</c:v>
                </c:pt>
                <c:pt idx="56">
                  <c:v>48.8888888888888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(All)'!$CN$7:$CN$107</c:f>
              <c:numCache>
                <c:formatCode>0.0000</c:formatCode>
                <c:ptCount val="81"/>
                <c:pt idx="20">
                  <c:v>43.591060087892004</c:v>
                </c:pt>
                <c:pt idx="21">
                  <c:v>40.429510674923996</c:v>
                </c:pt>
                <c:pt idx="22">
                  <c:v>42.010285381408004</c:v>
                </c:pt>
                <c:pt idx="23">
                  <c:v>40.285803883425402</c:v>
                </c:pt>
                <c:pt idx="24">
                  <c:v>39.279856342935602</c:v>
                </c:pt>
                <c:pt idx="29">
                  <c:v>8.7301875835366012</c:v>
                </c:pt>
                <c:pt idx="30">
                  <c:v>14.888023599249241</c:v>
                </c:pt>
                <c:pt idx="31">
                  <c:v>13.041391328492939</c:v>
                </c:pt>
                <c:pt idx="32">
                  <c:v>19.02784368915918</c:v>
                </c:pt>
                <c:pt idx="33">
                  <c:v>16.430476494666959</c:v>
                </c:pt>
                <c:pt idx="34">
                  <c:v>12.60219853546252</c:v>
                </c:pt>
                <c:pt idx="35">
                  <c:v>7.3194659136592204</c:v>
                </c:pt>
                <c:pt idx="36">
                  <c:v>12.08813627821926</c:v>
                </c:pt>
                <c:pt idx="37">
                  <c:v>11.078487199160541</c:v>
                </c:pt>
                <c:pt idx="38">
                  <c:v>24.7635543110292</c:v>
                </c:pt>
                <c:pt idx="39">
                  <c:v>22.178748154608797</c:v>
                </c:pt>
                <c:pt idx="56">
                  <c:v>48.8888888888888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668816"/>
        <c:axId val="704669376"/>
      </c:scatterChart>
      <c:valAx>
        <c:axId val="7046688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669376"/>
        <c:crosses val="autoZero"/>
        <c:crossBetween val="midCat"/>
        <c:majorUnit val="5"/>
      </c:valAx>
      <c:valAx>
        <c:axId val="70466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6688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Muscat,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(All)'!$CO$7:$CO$107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(All)'!$CO$7:$CO$107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672736"/>
        <c:axId val="704673296"/>
      </c:scatterChart>
      <c:valAx>
        <c:axId val="7046727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673296"/>
        <c:crosses val="autoZero"/>
        <c:crossBetween val="midCat"/>
        <c:majorUnit val="5"/>
      </c:valAx>
      <c:valAx>
        <c:axId val="70467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6727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Muscat,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(All)'!$CP$7:$CP$107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(All)'!$CP$7:$CP$107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678336"/>
        <c:axId val="704678896"/>
      </c:scatterChart>
      <c:valAx>
        <c:axId val="7046783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678896"/>
        <c:crosses val="autoZero"/>
        <c:crossBetween val="midCat"/>
        <c:majorUnit val="5"/>
      </c:valAx>
      <c:valAx>
        <c:axId val="70467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6783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Mohammerah,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(All)'!$CQ$7:$CQ$107</c:f>
              <c:numCache>
                <c:formatCode>0.0000</c:formatCode>
                <c:ptCount val="81"/>
                <c:pt idx="35">
                  <c:v>116.87899684426699</c:v>
                </c:pt>
                <c:pt idx="36">
                  <c:v>71.594427244582008</c:v>
                </c:pt>
                <c:pt idx="37">
                  <c:v>56.561085972850606</c:v>
                </c:pt>
                <c:pt idx="40">
                  <c:v>81.658031088082993</c:v>
                </c:pt>
                <c:pt idx="41">
                  <c:v>92.959183673469411</c:v>
                </c:pt>
                <c:pt idx="42">
                  <c:v>89.824561403508795</c:v>
                </c:pt>
                <c:pt idx="43">
                  <c:v>73.567839195979801</c:v>
                </c:pt>
                <c:pt idx="44">
                  <c:v>66.785714285714192</c:v>
                </c:pt>
                <c:pt idx="45">
                  <c:v>63.647416413373804</c:v>
                </c:pt>
                <c:pt idx="46">
                  <c:v>60</c:v>
                </c:pt>
                <c:pt idx="47">
                  <c:v>43.263347330533797</c:v>
                </c:pt>
                <c:pt idx="51">
                  <c:v>119.87041036717059</c:v>
                </c:pt>
                <c:pt idx="52">
                  <c:v>124.39909297052161</c:v>
                </c:pt>
                <c:pt idx="53">
                  <c:v>156.71159874608159</c:v>
                </c:pt>
                <c:pt idx="54">
                  <c:v>123.0799605133268</c:v>
                </c:pt>
                <c:pt idx="55">
                  <c:v>107.10563380281681</c:v>
                </c:pt>
                <c:pt idx="56">
                  <c:v>97.55660377358501</c:v>
                </c:pt>
                <c:pt idx="57">
                  <c:v>166.03125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(All)'!$CQ$7:$CQ$107</c:f>
              <c:numCache>
                <c:formatCode>0.0000</c:formatCode>
                <c:ptCount val="81"/>
                <c:pt idx="35">
                  <c:v>116.87899684426699</c:v>
                </c:pt>
                <c:pt idx="36">
                  <c:v>71.594427244582008</c:v>
                </c:pt>
                <c:pt idx="37">
                  <c:v>56.561085972850606</c:v>
                </c:pt>
                <c:pt idx="40">
                  <c:v>81.658031088082993</c:v>
                </c:pt>
                <c:pt idx="41">
                  <c:v>92.959183673469411</c:v>
                </c:pt>
                <c:pt idx="42">
                  <c:v>89.824561403508795</c:v>
                </c:pt>
                <c:pt idx="43">
                  <c:v>73.567839195979801</c:v>
                </c:pt>
                <c:pt idx="44">
                  <c:v>66.785714285714192</c:v>
                </c:pt>
                <c:pt idx="45">
                  <c:v>63.647416413373804</c:v>
                </c:pt>
                <c:pt idx="46">
                  <c:v>60</c:v>
                </c:pt>
                <c:pt idx="47">
                  <c:v>43.263347330533797</c:v>
                </c:pt>
                <c:pt idx="51">
                  <c:v>119.87041036717059</c:v>
                </c:pt>
                <c:pt idx="52">
                  <c:v>124.39909297052161</c:v>
                </c:pt>
                <c:pt idx="53">
                  <c:v>156.71159874608159</c:v>
                </c:pt>
                <c:pt idx="54">
                  <c:v>123.0799605133268</c:v>
                </c:pt>
                <c:pt idx="55">
                  <c:v>107.10563380281681</c:v>
                </c:pt>
                <c:pt idx="56">
                  <c:v>97.55660377358501</c:v>
                </c:pt>
                <c:pt idx="57">
                  <c:v>166.03125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02416"/>
        <c:axId val="704702976"/>
      </c:scatterChart>
      <c:valAx>
        <c:axId val="7047024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02976"/>
        <c:crosses val="autoZero"/>
        <c:crossBetween val="midCat"/>
        <c:majorUnit val="5"/>
      </c:valAx>
      <c:valAx>
        <c:axId val="70470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024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Mohammerah,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(All)'!$CR$7:$CR$107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(All)'!$CR$7:$CR$107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691216"/>
        <c:axId val="704691776"/>
      </c:scatterChart>
      <c:valAx>
        <c:axId val="7046912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691776"/>
        <c:crosses val="autoZero"/>
        <c:crossBetween val="midCat"/>
        <c:majorUnit val="5"/>
      </c:valAx>
      <c:valAx>
        <c:axId val="70469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6912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Mohammerah,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(All)'!$CS$7:$CS$107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(All)'!$CS$7:$CS$107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696816"/>
        <c:axId val="704697376"/>
      </c:scatterChart>
      <c:valAx>
        <c:axId val="7046968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697376"/>
        <c:crosses val="autoZero"/>
        <c:crossBetween val="midCat"/>
        <c:majorUnit val="5"/>
      </c:valAx>
      <c:valAx>
        <c:axId val="70469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6968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(All)'!$S$7:$S$107</c:f>
              <c:numCache>
                <c:formatCode>0.0000</c:formatCode>
                <c:ptCount val="81"/>
                <c:pt idx="3">
                  <c:v>362.87432754851267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(All)'!$S$7:$S$107</c:f>
              <c:numCache>
                <c:formatCode>0.0000</c:formatCode>
                <c:ptCount val="81"/>
                <c:pt idx="3">
                  <c:v>362.87432754851267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29808"/>
        <c:axId val="762127008"/>
      </c:scatterChart>
      <c:valAx>
        <c:axId val="7621298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27008"/>
        <c:crosses val="autoZero"/>
        <c:crossBetween val="midCat"/>
        <c:majorUnit val="5"/>
      </c:valAx>
      <c:valAx>
        <c:axId val="76212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29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Lingah,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(All)'!$CT$7:$CT$107</c:f>
              <c:numCache>
                <c:formatCode>0.0000</c:formatCode>
                <c:ptCount val="81"/>
                <c:pt idx="32">
                  <c:v>202.66124702814602</c:v>
                </c:pt>
                <c:pt idx="33">
                  <c:v>52.9508038894772</c:v>
                </c:pt>
                <c:pt idx="34">
                  <c:v>54.140797642849599</c:v>
                </c:pt>
                <c:pt idx="35">
                  <c:v>58.3649715761576</c:v>
                </c:pt>
                <c:pt idx="36">
                  <c:v>80.769230769230802</c:v>
                </c:pt>
                <c:pt idx="37">
                  <c:v>89.230769230769198</c:v>
                </c:pt>
                <c:pt idx="38">
                  <c:v>82.823369944385803</c:v>
                </c:pt>
                <c:pt idx="39">
                  <c:v>70.407239819004602</c:v>
                </c:pt>
                <c:pt idx="40">
                  <c:v>75.452488687782804</c:v>
                </c:pt>
                <c:pt idx="41">
                  <c:v>86.538461538461604</c:v>
                </c:pt>
                <c:pt idx="42">
                  <c:v>84.766214177978796</c:v>
                </c:pt>
                <c:pt idx="43">
                  <c:v>84.841628959275994</c:v>
                </c:pt>
                <c:pt idx="44">
                  <c:v>144.79638009049779</c:v>
                </c:pt>
                <c:pt idx="45">
                  <c:v>90.497737556560992</c:v>
                </c:pt>
                <c:pt idx="46">
                  <c:v>90.497737556560992</c:v>
                </c:pt>
                <c:pt idx="47">
                  <c:v>88.25</c:v>
                </c:pt>
                <c:pt idx="48">
                  <c:v>110</c:v>
                </c:pt>
                <c:pt idx="49">
                  <c:v>133</c:v>
                </c:pt>
                <c:pt idx="50">
                  <c:v>133.86666666666659</c:v>
                </c:pt>
                <c:pt idx="51">
                  <c:v>154.78260869565221</c:v>
                </c:pt>
                <c:pt idx="52">
                  <c:v>144.7272727272728</c:v>
                </c:pt>
                <c:pt idx="53">
                  <c:v>132.74725274725282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(All)'!$CT$7:$CT$107</c:f>
              <c:numCache>
                <c:formatCode>0.0000</c:formatCode>
                <c:ptCount val="81"/>
                <c:pt idx="32">
                  <c:v>202.66124702814602</c:v>
                </c:pt>
                <c:pt idx="33">
                  <c:v>52.9508038894772</c:v>
                </c:pt>
                <c:pt idx="34">
                  <c:v>54.140797642849599</c:v>
                </c:pt>
                <c:pt idx="35">
                  <c:v>58.3649715761576</c:v>
                </c:pt>
                <c:pt idx="36">
                  <c:v>80.769230769230802</c:v>
                </c:pt>
                <c:pt idx="37">
                  <c:v>89.230769230769198</c:v>
                </c:pt>
                <c:pt idx="38">
                  <c:v>82.823369944385803</c:v>
                </c:pt>
                <c:pt idx="39">
                  <c:v>70.407239819004602</c:v>
                </c:pt>
                <c:pt idx="40">
                  <c:v>75.452488687782804</c:v>
                </c:pt>
                <c:pt idx="41">
                  <c:v>86.538461538461604</c:v>
                </c:pt>
                <c:pt idx="42">
                  <c:v>84.766214177978796</c:v>
                </c:pt>
                <c:pt idx="43">
                  <c:v>84.841628959275994</c:v>
                </c:pt>
                <c:pt idx="44">
                  <c:v>144.79638009049779</c:v>
                </c:pt>
                <c:pt idx="45">
                  <c:v>90.497737556560992</c:v>
                </c:pt>
                <c:pt idx="46">
                  <c:v>90.497737556560992</c:v>
                </c:pt>
                <c:pt idx="47">
                  <c:v>88.25</c:v>
                </c:pt>
                <c:pt idx="48">
                  <c:v>110</c:v>
                </c:pt>
                <c:pt idx="49">
                  <c:v>133</c:v>
                </c:pt>
                <c:pt idx="50">
                  <c:v>133.86666666666659</c:v>
                </c:pt>
                <c:pt idx="51">
                  <c:v>154.78260869565221</c:v>
                </c:pt>
                <c:pt idx="52">
                  <c:v>144.7272727272728</c:v>
                </c:pt>
                <c:pt idx="53">
                  <c:v>132.74725274725282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647536"/>
        <c:axId val="704648096"/>
      </c:scatterChart>
      <c:valAx>
        <c:axId val="7046475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648096"/>
        <c:crosses val="autoZero"/>
        <c:crossBetween val="midCat"/>
        <c:majorUnit val="5"/>
      </c:valAx>
      <c:valAx>
        <c:axId val="70464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6475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Lingah,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(All)'!$CU$7:$CU$107</c:f>
              <c:numCache>
                <c:formatCode>0.0000</c:formatCode>
                <c:ptCount val="81"/>
                <c:pt idx="32">
                  <c:v>133.45794392523359</c:v>
                </c:pt>
                <c:pt idx="33">
                  <c:v>77.322331647591199</c:v>
                </c:pt>
                <c:pt idx="34">
                  <c:v>54.108787140461402</c:v>
                </c:pt>
                <c:pt idx="35">
                  <c:v>58.832801720940601</c:v>
                </c:pt>
                <c:pt idx="36">
                  <c:v>80.788084464554998</c:v>
                </c:pt>
                <c:pt idx="37">
                  <c:v>94.901150961158791</c:v>
                </c:pt>
                <c:pt idx="38">
                  <c:v>92.760180995475196</c:v>
                </c:pt>
                <c:pt idx="39">
                  <c:v>67.995597407362197</c:v>
                </c:pt>
                <c:pt idx="40">
                  <c:v>73.995208943305798</c:v>
                </c:pt>
                <c:pt idx="41">
                  <c:v>72.398190045248796</c:v>
                </c:pt>
                <c:pt idx="42">
                  <c:v>84.961971695388399</c:v>
                </c:pt>
                <c:pt idx="43">
                  <c:v>84.880636604774594</c:v>
                </c:pt>
                <c:pt idx="44">
                  <c:v>92.031597515146785</c:v>
                </c:pt>
                <c:pt idx="45">
                  <c:v>90.497737556560992</c:v>
                </c:pt>
                <c:pt idx="46">
                  <c:v>90.497737556560992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(All)'!$CU$7:$CU$107</c:f>
              <c:numCache>
                <c:formatCode>0.0000</c:formatCode>
                <c:ptCount val="81"/>
                <c:pt idx="32">
                  <c:v>133.45794392523359</c:v>
                </c:pt>
                <c:pt idx="33">
                  <c:v>77.322331647591199</c:v>
                </c:pt>
                <c:pt idx="34">
                  <c:v>54.108787140461402</c:v>
                </c:pt>
                <c:pt idx="35">
                  <c:v>58.832801720940601</c:v>
                </c:pt>
                <c:pt idx="36">
                  <c:v>80.788084464554998</c:v>
                </c:pt>
                <c:pt idx="37">
                  <c:v>94.901150961158791</c:v>
                </c:pt>
                <c:pt idx="38">
                  <c:v>92.760180995475196</c:v>
                </c:pt>
                <c:pt idx="39">
                  <c:v>67.995597407362197</c:v>
                </c:pt>
                <c:pt idx="40">
                  <c:v>73.995208943305798</c:v>
                </c:pt>
                <c:pt idx="41">
                  <c:v>72.398190045248796</c:v>
                </c:pt>
                <c:pt idx="42">
                  <c:v>84.961971695388399</c:v>
                </c:pt>
                <c:pt idx="43">
                  <c:v>84.880636604774594</c:v>
                </c:pt>
                <c:pt idx="44">
                  <c:v>92.031597515146785</c:v>
                </c:pt>
                <c:pt idx="45">
                  <c:v>90.497737556560992</c:v>
                </c:pt>
                <c:pt idx="46">
                  <c:v>90.497737556560992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08016"/>
        <c:axId val="704708576"/>
      </c:scatterChart>
      <c:valAx>
        <c:axId val="7047080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08576"/>
        <c:crosses val="autoZero"/>
        <c:crossBetween val="midCat"/>
        <c:majorUnit val="5"/>
      </c:valAx>
      <c:valAx>
        <c:axId val="70470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080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Lingah,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(All)'!$CV$7:$CV$107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(All)'!$CV$7:$CV$107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04096"/>
        <c:axId val="704715856"/>
      </c:scatterChart>
      <c:valAx>
        <c:axId val="7047040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15856"/>
        <c:crosses val="autoZero"/>
        <c:crossBetween val="midCat"/>
        <c:majorUnit val="5"/>
      </c:valAx>
      <c:valAx>
        <c:axId val="70471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040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Shiraz,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(All)'!$CW$7:$CW$107</c:f>
              <c:numCache>
                <c:formatCode>General</c:formatCode>
                <c:ptCount val="81"/>
                <c:pt idx="32" formatCode="0.0000">
                  <c:v>122.56582001804941</c:v>
                </c:pt>
                <c:pt idx="33" formatCode="0.0000">
                  <c:v>102.78180565065821</c:v>
                </c:pt>
                <c:pt idx="34" formatCode="0.0000">
                  <c:v>116.41622483727741</c:v>
                </c:pt>
                <c:pt idx="35" formatCode="0.0000">
                  <c:v>137.66021703521699</c:v>
                </c:pt>
                <c:pt idx="36" formatCode="0.0000">
                  <c:v>106.0624590036354</c:v>
                </c:pt>
                <c:pt idx="37" formatCode="0.0000">
                  <c:v>99.389140271493204</c:v>
                </c:pt>
                <c:pt idx="38" formatCode="0.0000">
                  <c:v>98.124057315233813</c:v>
                </c:pt>
                <c:pt idx="39" formatCode="0.0000">
                  <c:v>100.55429864253399</c:v>
                </c:pt>
                <c:pt idx="40" formatCode="0.0000">
                  <c:v>75.414781297134198</c:v>
                </c:pt>
                <c:pt idx="41" formatCode="0.0000">
                  <c:v>75.414781297134198</c:v>
                </c:pt>
                <c:pt idx="42" formatCode="0.0000">
                  <c:v>70.592182521180604</c:v>
                </c:pt>
                <c:pt idx="43" formatCode="0.0000">
                  <c:v>98.379633335234203</c:v>
                </c:pt>
                <c:pt idx="44" formatCode="0.0000">
                  <c:v>98.926513393692389</c:v>
                </c:pt>
                <c:pt idx="45" formatCode="0.0000">
                  <c:v>90.654558358903401</c:v>
                </c:pt>
                <c:pt idx="46" formatCode="0.0000">
                  <c:v>106.2736945089886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(All)'!$CW$7:$CW$107</c:f>
              <c:numCache>
                <c:formatCode>General</c:formatCode>
                <c:ptCount val="81"/>
                <c:pt idx="32" formatCode="0.0000">
                  <c:v>122.56582001804941</c:v>
                </c:pt>
                <c:pt idx="33" formatCode="0.0000">
                  <c:v>102.78180565065821</c:v>
                </c:pt>
                <c:pt idx="34" formatCode="0.0000">
                  <c:v>116.41622483727741</c:v>
                </c:pt>
                <c:pt idx="35" formatCode="0.0000">
                  <c:v>137.66021703521699</c:v>
                </c:pt>
                <c:pt idx="36" formatCode="0.0000">
                  <c:v>106.0624590036354</c:v>
                </c:pt>
                <c:pt idx="37" formatCode="0.0000">
                  <c:v>99.389140271493204</c:v>
                </c:pt>
                <c:pt idx="38" formatCode="0.0000">
                  <c:v>98.124057315233813</c:v>
                </c:pt>
                <c:pt idx="39" formatCode="0.0000">
                  <c:v>100.55429864253399</c:v>
                </c:pt>
                <c:pt idx="40" formatCode="0.0000">
                  <c:v>75.414781297134198</c:v>
                </c:pt>
                <c:pt idx="41" formatCode="0.0000">
                  <c:v>75.414781297134198</c:v>
                </c:pt>
                <c:pt idx="42" formatCode="0.0000">
                  <c:v>70.592182521180604</c:v>
                </c:pt>
                <c:pt idx="43" formatCode="0.0000">
                  <c:v>98.379633335234203</c:v>
                </c:pt>
                <c:pt idx="44" formatCode="0.0000">
                  <c:v>98.926513393692389</c:v>
                </c:pt>
                <c:pt idx="45" formatCode="0.0000">
                  <c:v>90.654558358903401</c:v>
                </c:pt>
                <c:pt idx="46" formatCode="0.0000">
                  <c:v>106.2736945089886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03536"/>
        <c:axId val="704752256"/>
      </c:scatterChart>
      <c:valAx>
        <c:axId val="7047035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52256"/>
        <c:crosses val="autoZero"/>
        <c:crossBetween val="midCat"/>
        <c:majorUnit val="5"/>
      </c:valAx>
      <c:valAx>
        <c:axId val="70475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035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Shiraz,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(All)'!$CX$7:$CX$107</c:f>
              <c:numCache>
                <c:formatCode>General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(All)'!$CX$7:$CX$107</c:f>
              <c:numCache>
                <c:formatCode>General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23136"/>
        <c:axId val="704723696"/>
      </c:scatterChart>
      <c:valAx>
        <c:axId val="7047231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23696"/>
        <c:crosses val="autoZero"/>
        <c:crossBetween val="midCat"/>
        <c:majorUnit val="5"/>
      </c:valAx>
      <c:valAx>
        <c:axId val="70472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231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Shiraz,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(All)'!$CY$7:$CY$107</c:f>
              <c:numCache>
                <c:formatCode>General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(All)'!$CY$7:$CY$107</c:f>
              <c:numCache>
                <c:formatCode>General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33776"/>
        <c:axId val="704728736"/>
      </c:scatterChart>
      <c:valAx>
        <c:axId val="7047337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28736"/>
        <c:crosses val="autoZero"/>
        <c:crossBetween val="midCat"/>
        <c:majorUnit val="5"/>
      </c:valAx>
      <c:valAx>
        <c:axId val="70472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337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(All)'!$N$7:$N$107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(All)'!$N$7:$N$107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34336"/>
        <c:axId val="704729296"/>
      </c:scatterChart>
      <c:valAx>
        <c:axId val="7047343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29296"/>
        <c:crosses val="autoZero"/>
        <c:crossBetween val="midCat"/>
        <c:majorUnit val="5"/>
      </c:valAx>
      <c:valAx>
        <c:axId val="70472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343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65260807916258E-2"/>
          <c:y val="1.8024038777882567E-2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(All)'!$P$7:$P$107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(All)'!$P$7:$P$107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078880"/>
        <c:axId val="690078320"/>
      </c:scatterChart>
      <c:valAx>
        <c:axId val="6900788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078320"/>
        <c:crosses val="autoZero"/>
        <c:crossBetween val="midCat"/>
        <c:majorUnit val="5"/>
      </c:valAx>
      <c:valAx>
        <c:axId val="69007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0788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(All)'!$O$7:$O$107</c:f>
              <c:numCache>
                <c:formatCode>0.0000</c:formatCode>
                <c:ptCount val="8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(All)'!$O$7:$O$107</c:f>
              <c:numCache>
                <c:formatCode>0.0000</c:formatCode>
                <c:ptCount val="8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083920"/>
        <c:axId val="690094560"/>
      </c:scatterChart>
      <c:valAx>
        <c:axId val="6900839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094560"/>
        <c:crosses val="autoZero"/>
        <c:crossBetween val="midCat"/>
        <c:majorUnit val="5"/>
      </c:valAx>
      <c:valAx>
        <c:axId val="69009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0839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India,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(All)'!$CZ$7:$CZ$107</c:f>
              <c:numCache>
                <c:formatCode>General</c:formatCode>
                <c:ptCount val="81"/>
                <c:pt idx="13" formatCode="0.0000">
                  <c:v>224.60280825062134</c:v>
                </c:pt>
                <c:pt idx="14" formatCode="0.0000">
                  <c:v>222.98612062567088</c:v>
                </c:pt>
                <c:pt idx="15" formatCode="0.0000">
                  <c:v>223.55067551977237</c:v>
                </c:pt>
                <c:pt idx="16" formatCode="0.0000">
                  <c:v>223.99960720773802</c:v>
                </c:pt>
                <c:pt idx="17" formatCode="0.0000">
                  <c:v>224.00011061023767</c:v>
                </c:pt>
                <c:pt idx="18" formatCode="0.0000">
                  <c:v>223.99990915583464</c:v>
                </c:pt>
                <c:pt idx="19" formatCode="0.0000">
                  <c:v>224.0023275005455</c:v>
                </c:pt>
                <c:pt idx="20" formatCode="0.0000">
                  <c:v>223.78211845604551</c:v>
                </c:pt>
                <c:pt idx="21" formatCode="0.0000">
                  <c:v>200.11079660681784</c:v>
                </c:pt>
                <c:pt idx="22" formatCode="0.0000">
                  <c:v>178.79929356805104</c:v>
                </c:pt>
                <c:pt idx="23" formatCode="0.0000">
                  <c:v>183.7979228017854</c:v>
                </c:pt>
                <c:pt idx="24" formatCode="0.0000">
                  <c:v>160.43082950813374</c:v>
                </c:pt>
                <c:pt idx="25" formatCode="0.0000">
                  <c:v>187.41980921027195</c:v>
                </c:pt>
                <c:pt idx="26" formatCode="0.0000">
                  <c:v>182.91923897343099</c:v>
                </c:pt>
                <c:pt idx="27" formatCode="0.0000">
                  <c:v>157.21423922013545</c:v>
                </c:pt>
                <c:pt idx="28" formatCode="0.0000">
                  <c:v>157.18761143330721</c:v>
                </c:pt>
                <c:pt idx="29" formatCode="0.0000">
                  <c:v>174.21464599351265</c:v>
                </c:pt>
                <c:pt idx="30" formatCode="0.0000">
                  <c:v>188.21630740354925</c:v>
                </c:pt>
                <c:pt idx="31" formatCode="0.0000">
                  <c:v>170.14470357648483</c:v>
                </c:pt>
                <c:pt idx="32" formatCode="0.0000">
                  <c:v>172.35013200162683</c:v>
                </c:pt>
                <c:pt idx="33" formatCode="0.0000">
                  <c:v>160.97045370255901</c:v>
                </c:pt>
                <c:pt idx="34" formatCode="0.0000">
                  <c:v>149.39758389126587</c:v>
                </c:pt>
                <c:pt idx="35" formatCode="0.0000">
                  <c:v>151.3408860843445</c:v>
                </c:pt>
                <c:pt idx="36" formatCode="0.0000">
                  <c:v>152.68650283186108</c:v>
                </c:pt>
                <c:pt idx="37" formatCode="0.0000">
                  <c:v>156.25342101241031</c:v>
                </c:pt>
                <c:pt idx="38" formatCode="0.0000">
                  <c:v>164.88326935788061</c:v>
                </c:pt>
                <c:pt idx="39" formatCode="0.0000">
                  <c:v>166.66674558001768</c:v>
                </c:pt>
                <c:pt idx="40" formatCode="0.0000">
                  <c:v>75.724368298428985</c:v>
                </c:pt>
                <c:pt idx="41" formatCode="0.0000">
                  <c:v>84.67382754550863</c:v>
                </c:pt>
                <c:pt idx="42" formatCode="0.0000">
                  <c:v>90.599041725887361</c:v>
                </c:pt>
                <c:pt idx="43" formatCode="0.0000">
                  <c:v>82.346748871993569</c:v>
                </c:pt>
                <c:pt idx="44" formatCode="0.0000">
                  <c:v>75.471353282822889</c:v>
                </c:pt>
                <c:pt idx="45" formatCode="0.0000">
                  <c:v>73.961495558536683</c:v>
                </c:pt>
                <c:pt idx="46" formatCode="0.0000">
                  <c:v>76.546701543326549</c:v>
                </c:pt>
                <c:pt idx="47" formatCode="0.0000">
                  <c:v>74.745959312422315</c:v>
                </c:pt>
                <c:pt idx="48" formatCode="0.0000">
                  <c:v>79.929382850915331</c:v>
                </c:pt>
                <c:pt idx="50" formatCode="0.0000">
                  <c:v>75.815303411709863</c:v>
                </c:pt>
                <c:pt idx="51" formatCode="0.0000">
                  <c:v>72.12354366836594</c:v>
                </c:pt>
                <c:pt idx="52" formatCode="0.0000">
                  <c:v>89.853722695729118</c:v>
                </c:pt>
                <c:pt idx="53" formatCode="0.0000">
                  <c:v>86.813650908759882</c:v>
                </c:pt>
                <c:pt idx="54" formatCode="0.0000">
                  <c:v>72.402141784631652</c:v>
                </c:pt>
                <c:pt idx="55" formatCode="0.0000">
                  <c:v>71.346528835980777</c:v>
                </c:pt>
                <c:pt idx="56" formatCode="0.0000">
                  <c:v>66.99572159979175</c:v>
                </c:pt>
                <c:pt idx="57" formatCode="0.0000">
                  <c:v>66.196010294297366</c:v>
                </c:pt>
                <c:pt idx="58" formatCode="0.0000">
                  <c:v>69.206844918839892</c:v>
                </c:pt>
                <c:pt idx="59" formatCode="0.0000">
                  <c:v>71.533550744133294</c:v>
                </c:pt>
                <c:pt idx="60" formatCode="0.0000">
                  <c:v>72.372320282501235</c:v>
                </c:pt>
                <c:pt idx="61" formatCode="0.0000">
                  <c:v>81.389686731012134</c:v>
                </c:pt>
                <c:pt idx="62" formatCode="0.0000">
                  <c:v>87.762654972754646</c:v>
                </c:pt>
                <c:pt idx="63" formatCode="0.0000">
                  <c:v>93.976961550338999</c:v>
                </c:pt>
                <c:pt idx="64" formatCode="0.0000">
                  <c:v>119.12064427446316</c:v>
                </c:pt>
                <c:pt idx="65" formatCode="0.0000">
                  <c:v>163.22423742182917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'Tea (All)'!$A$7:$A$107</c:f>
              <c:numCache>
                <c:formatCode>General</c:formatCode>
                <c:ptCount val="81"/>
                <c:pt idx="0">
                  <c:v>1855</c:v>
                </c:pt>
                <c:pt idx="1">
                  <c:v>1856</c:v>
                </c:pt>
                <c:pt idx="2">
                  <c:v>1857</c:v>
                </c:pt>
                <c:pt idx="3">
                  <c:v>1858</c:v>
                </c:pt>
                <c:pt idx="4">
                  <c:v>1859</c:v>
                </c:pt>
                <c:pt idx="5">
                  <c:v>1860</c:v>
                </c:pt>
                <c:pt idx="6">
                  <c:v>1861</c:v>
                </c:pt>
                <c:pt idx="7">
                  <c:v>1862</c:v>
                </c:pt>
                <c:pt idx="8">
                  <c:v>1863</c:v>
                </c:pt>
                <c:pt idx="9">
                  <c:v>1864</c:v>
                </c:pt>
                <c:pt idx="10">
                  <c:v>1865</c:v>
                </c:pt>
                <c:pt idx="11">
                  <c:v>1866</c:v>
                </c:pt>
                <c:pt idx="12">
                  <c:v>1867</c:v>
                </c:pt>
                <c:pt idx="13">
                  <c:v>1868</c:v>
                </c:pt>
                <c:pt idx="14">
                  <c:v>1869</c:v>
                </c:pt>
                <c:pt idx="15">
                  <c:v>1870</c:v>
                </c:pt>
                <c:pt idx="16">
                  <c:v>1871</c:v>
                </c:pt>
                <c:pt idx="17">
                  <c:v>1872</c:v>
                </c:pt>
                <c:pt idx="18">
                  <c:v>1873</c:v>
                </c:pt>
                <c:pt idx="19">
                  <c:v>1874</c:v>
                </c:pt>
                <c:pt idx="20">
                  <c:v>1875</c:v>
                </c:pt>
                <c:pt idx="21">
                  <c:v>1876</c:v>
                </c:pt>
                <c:pt idx="22">
                  <c:v>1877</c:v>
                </c:pt>
                <c:pt idx="23">
                  <c:v>1878</c:v>
                </c:pt>
                <c:pt idx="24">
                  <c:v>1879</c:v>
                </c:pt>
                <c:pt idx="25">
                  <c:v>1880</c:v>
                </c:pt>
                <c:pt idx="26">
                  <c:v>1881</c:v>
                </c:pt>
                <c:pt idx="27">
                  <c:v>1882</c:v>
                </c:pt>
                <c:pt idx="28">
                  <c:v>1883</c:v>
                </c:pt>
                <c:pt idx="29">
                  <c:v>1884</c:v>
                </c:pt>
                <c:pt idx="30">
                  <c:v>1885</c:v>
                </c:pt>
                <c:pt idx="31">
                  <c:v>1886</c:v>
                </c:pt>
                <c:pt idx="32">
                  <c:v>1887</c:v>
                </c:pt>
                <c:pt idx="33">
                  <c:v>1888</c:v>
                </c:pt>
                <c:pt idx="34">
                  <c:v>1889</c:v>
                </c:pt>
                <c:pt idx="35">
                  <c:v>1890</c:v>
                </c:pt>
                <c:pt idx="36">
                  <c:v>1891</c:v>
                </c:pt>
                <c:pt idx="37">
                  <c:v>1892</c:v>
                </c:pt>
                <c:pt idx="38">
                  <c:v>1893</c:v>
                </c:pt>
                <c:pt idx="39">
                  <c:v>1894</c:v>
                </c:pt>
                <c:pt idx="40">
                  <c:v>1895</c:v>
                </c:pt>
                <c:pt idx="41">
                  <c:v>1896</c:v>
                </c:pt>
                <c:pt idx="42">
                  <c:v>1897</c:v>
                </c:pt>
                <c:pt idx="43">
                  <c:v>1898</c:v>
                </c:pt>
                <c:pt idx="44">
                  <c:v>1899</c:v>
                </c:pt>
                <c:pt idx="45">
                  <c:v>1900</c:v>
                </c:pt>
                <c:pt idx="46">
                  <c:v>1901</c:v>
                </c:pt>
                <c:pt idx="47">
                  <c:v>1902</c:v>
                </c:pt>
                <c:pt idx="48">
                  <c:v>1903</c:v>
                </c:pt>
                <c:pt idx="49">
                  <c:v>1904</c:v>
                </c:pt>
                <c:pt idx="50">
                  <c:v>1905</c:v>
                </c:pt>
                <c:pt idx="51">
                  <c:v>1906</c:v>
                </c:pt>
                <c:pt idx="52">
                  <c:v>1907</c:v>
                </c:pt>
                <c:pt idx="53">
                  <c:v>1908</c:v>
                </c:pt>
                <c:pt idx="54">
                  <c:v>1909</c:v>
                </c:pt>
                <c:pt idx="55">
                  <c:v>1910</c:v>
                </c:pt>
                <c:pt idx="56">
                  <c:v>1911</c:v>
                </c:pt>
                <c:pt idx="57">
                  <c:v>1912</c:v>
                </c:pt>
                <c:pt idx="58">
                  <c:v>1913</c:v>
                </c:pt>
                <c:pt idx="59">
                  <c:v>1914</c:v>
                </c:pt>
                <c:pt idx="60">
                  <c:v>1915</c:v>
                </c:pt>
                <c:pt idx="61">
                  <c:v>1916</c:v>
                </c:pt>
                <c:pt idx="62">
                  <c:v>1917</c:v>
                </c:pt>
                <c:pt idx="63">
                  <c:v>1918</c:v>
                </c:pt>
                <c:pt idx="64">
                  <c:v>1919</c:v>
                </c:pt>
                <c:pt idx="65">
                  <c:v>1920</c:v>
                </c:pt>
                <c:pt idx="66">
                  <c:v>1921</c:v>
                </c:pt>
                <c:pt idx="67">
                  <c:v>1922</c:v>
                </c:pt>
                <c:pt idx="68">
                  <c:v>1923</c:v>
                </c:pt>
                <c:pt idx="69">
                  <c:v>1924</c:v>
                </c:pt>
                <c:pt idx="70">
                  <c:v>1925</c:v>
                </c:pt>
                <c:pt idx="71">
                  <c:v>1926</c:v>
                </c:pt>
                <c:pt idx="72">
                  <c:v>1927</c:v>
                </c:pt>
                <c:pt idx="73">
                  <c:v>1928</c:v>
                </c:pt>
                <c:pt idx="74">
                  <c:v>1929</c:v>
                </c:pt>
                <c:pt idx="75">
                  <c:v>1930</c:v>
                </c:pt>
                <c:pt idx="76">
                  <c:v>1931</c:v>
                </c:pt>
                <c:pt idx="77">
                  <c:v>1932</c:v>
                </c:pt>
                <c:pt idx="78">
                  <c:v>1933</c:v>
                </c:pt>
                <c:pt idx="79">
                  <c:v>1934</c:v>
                </c:pt>
                <c:pt idx="80">
                  <c:v>1935</c:v>
                </c:pt>
              </c:numCache>
            </c:numRef>
          </c:xVal>
          <c:yVal>
            <c:numRef>
              <c:f>'Tea (All)'!$CZ$7:$CZ$107</c:f>
              <c:numCache>
                <c:formatCode>General</c:formatCode>
                <c:ptCount val="81"/>
                <c:pt idx="13" formatCode="0.0000">
                  <c:v>224.60280825062134</c:v>
                </c:pt>
                <c:pt idx="14" formatCode="0.0000">
                  <c:v>222.98612062567088</c:v>
                </c:pt>
                <c:pt idx="15" formatCode="0.0000">
                  <c:v>223.55067551977237</c:v>
                </c:pt>
                <c:pt idx="16" formatCode="0.0000">
                  <c:v>223.99960720773802</c:v>
                </c:pt>
                <c:pt idx="17" formatCode="0.0000">
                  <c:v>224.00011061023767</c:v>
                </c:pt>
                <c:pt idx="18" formatCode="0.0000">
                  <c:v>223.99990915583464</c:v>
                </c:pt>
                <c:pt idx="19" formatCode="0.0000">
                  <c:v>224.0023275005455</c:v>
                </c:pt>
                <c:pt idx="20" formatCode="0.0000">
                  <c:v>223.78211845604551</c:v>
                </c:pt>
                <c:pt idx="21" formatCode="0.0000">
                  <c:v>200.11079660681784</c:v>
                </c:pt>
                <c:pt idx="22" formatCode="0.0000">
                  <c:v>178.79929356805104</c:v>
                </c:pt>
                <c:pt idx="23" formatCode="0.0000">
                  <c:v>183.7979228017854</c:v>
                </c:pt>
                <c:pt idx="24" formatCode="0.0000">
                  <c:v>160.43082950813374</c:v>
                </c:pt>
                <c:pt idx="25" formatCode="0.0000">
                  <c:v>187.41980921027195</c:v>
                </c:pt>
                <c:pt idx="26" formatCode="0.0000">
                  <c:v>182.91923897343099</c:v>
                </c:pt>
                <c:pt idx="27" formatCode="0.0000">
                  <c:v>157.21423922013545</c:v>
                </c:pt>
                <c:pt idx="28" formatCode="0.0000">
                  <c:v>157.18761143330721</c:v>
                </c:pt>
                <c:pt idx="29" formatCode="0.0000">
                  <c:v>174.21464599351265</c:v>
                </c:pt>
                <c:pt idx="30" formatCode="0.0000">
                  <c:v>188.21630740354925</c:v>
                </c:pt>
                <c:pt idx="31" formatCode="0.0000">
                  <c:v>170.14470357648483</c:v>
                </c:pt>
                <c:pt idx="32" formatCode="0.0000">
                  <c:v>172.35013200162683</c:v>
                </c:pt>
                <c:pt idx="33" formatCode="0.0000">
                  <c:v>160.97045370255901</c:v>
                </c:pt>
                <c:pt idx="34" formatCode="0.0000">
                  <c:v>149.39758389126587</c:v>
                </c:pt>
                <c:pt idx="35" formatCode="0.0000">
                  <c:v>151.3408860843445</c:v>
                </c:pt>
                <c:pt idx="36" formatCode="0.0000">
                  <c:v>152.68650283186108</c:v>
                </c:pt>
                <c:pt idx="37" formatCode="0.0000">
                  <c:v>156.25342101241031</c:v>
                </c:pt>
                <c:pt idx="38" formatCode="0.0000">
                  <c:v>164.88326935788061</c:v>
                </c:pt>
                <c:pt idx="39" formatCode="0.0000">
                  <c:v>166.66674558001768</c:v>
                </c:pt>
                <c:pt idx="40" formatCode="0.0000">
                  <c:v>75.724368298428985</c:v>
                </c:pt>
                <c:pt idx="41" formatCode="0.0000">
                  <c:v>84.67382754550863</c:v>
                </c:pt>
                <c:pt idx="42" formatCode="0.0000">
                  <c:v>90.599041725887361</c:v>
                </c:pt>
                <c:pt idx="43" formatCode="0.0000">
                  <c:v>82.346748871993569</c:v>
                </c:pt>
                <c:pt idx="44" formatCode="0.0000">
                  <c:v>75.471353282822889</c:v>
                </c:pt>
                <c:pt idx="45" formatCode="0.0000">
                  <c:v>73.961495558536683</c:v>
                </c:pt>
                <c:pt idx="46" formatCode="0.0000">
                  <c:v>76.546701543326549</c:v>
                </c:pt>
                <c:pt idx="47" formatCode="0.0000">
                  <c:v>74.745959312422315</c:v>
                </c:pt>
                <c:pt idx="48" formatCode="0.0000">
                  <c:v>79.929382850915331</c:v>
                </c:pt>
                <c:pt idx="50" formatCode="0.0000">
                  <c:v>75.815303411709863</c:v>
                </c:pt>
                <c:pt idx="51" formatCode="0.0000">
                  <c:v>72.12354366836594</c:v>
                </c:pt>
                <c:pt idx="52" formatCode="0.0000">
                  <c:v>89.853722695729118</c:v>
                </c:pt>
                <c:pt idx="53" formatCode="0.0000">
                  <c:v>86.813650908759882</c:v>
                </c:pt>
                <c:pt idx="54" formatCode="0.0000">
                  <c:v>72.402141784631652</c:v>
                </c:pt>
                <c:pt idx="55" formatCode="0.0000">
                  <c:v>71.346528835980777</c:v>
                </c:pt>
                <c:pt idx="56" formatCode="0.0000">
                  <c:v>66.99572159979175</c:v>
                </c:pt>
                <c:pt idx="57" formatCode="0.0000">
                  <c:v>66.196010294297366</c:v>
                </c:pt>
                <c:pt idx="58" formatCode="0.0000">
                  <c:v>69.206844918839892</c:v>
                </c:pt>
                <c:pt idx="59" formatCode="0.0000">
                  <c:v>71.533550744133294</c:v>
                </c:pt>
                <c:pt idx="60" formatCode="0.0000">
                  <c:v>72.372320282501235</c:v>
                </c:pt>
                <c:pt idx="61" formatCode="0.0000">
                  <c:v>81.389686731012134</c:v>
                </c:pt>
                <c:pt idx="62" formatCode="0.0000">
                  <c:v>87.762654972754646</c:v>
                </c:pt>
                <c:pt idx="63" formatCode="0.0000">
                  <c:v>93.976961550338999</c:v>
                </c:pt>
                <c:pt idx="64" formatCode="0.0000">
                  <c:v>119.12064427446316</c:v>
                </c:pt>
                <c:pt idx="65" formatCode="0.0000">
                  <c:v>163.22423742182917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088400"/>
        <c:axId val="690088960"/>
      </c:scatterChart>
      <c:valAx>
        <c:axId val="6900884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088960"/>
        <c:crosses val="autoZero"/>
        <c:crossBetween val="midCat"/>
        <c:majorUnit val="5"/>
      </c:valAx>
      <c:valAx>
        <c:axId val="69008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0884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6" Type="http://schemas.openxmlformats.org/officeDocument/2006/relationships/chart" Target="../charts/chart16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103" Type="http://schemas.openxmlformats.org/officeDocument/2006/relationships/chart" Target="../charts/chart103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3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</xdr:row>
      <xdr:rowOff>38100</xdr:rowOff>
    </xdr:from>
    <xdr:to>
      <xdr:col>22</xdr:col>
      <xdr:colOff>571500</xdr:colOff>
      <xdr:row>27</xdr:row>
      <xdr:rowOff>139700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1</xdr:row>
      <xdr:rowOff>38100</xdr:rowOff>
    </xdr:from>
    <xdr:to>
      <xdr:col>11</xdr:col>
      <xdr:colOff>152400</xdr:colOff>
      <xdr:row>27</xdr:row>
      <xdr:rowOff>139700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25400</xdr:colOff>
      <xdr:row>30</xdr:row>
      <xdr:rowOff>50800</xdr:rowOff>
    </xdr:from>
    <xdr:to>
      <xdr:col>22</xdr:col>
      <xdr:colOff>558800</xdr:colOff>
      <xdr:row>56</xdr:row>
      <xdr:rowOff>165100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533400</xdr:colOff>
      <xdr:row>30</xdr:row>
      <xdr:rowOff>76200</xdr:rowOff>
    </xdr:from>
    <xdr:to>
      <xdr:col>34</xdr:col>
      <xdr:colOff>457200</xdr:colOff>
      <xdr:row>57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25400</xdr:colOff>
      <xdr:row>59</xdr:row>
      <xdr:rowOff>50800</xdr:rowOff>
    </xdr:from>
    <xdr:to>
      <xdr:col>22</xdr:col>
      <xdr:colOff>558800</xdr:colOff>
      <xdr:row>85</xdr:row>
      <xdr:rowOff>152400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558800</xdr:colOff>
      <xdr:row>59</xdr:row>
      <xdr:rowOff>101600</xdr:rowOff>
    </xdr:from>
    <xdr:to>
      <xdr:col>34</xdr:col>
      <xdr:colOff>482600</xdr:colOff>
      <xdr:row>86</xdr:row>
      <xdr:rowOff>25400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149</xdr:row>
      <xdr:rowOff>50800</xdr:rowOff>
    </xdr:from>
    <xdr:to>
      <xdr:col>11</xdr:col>
      <xdr:colOff>95250</xdr:colOff>
      <xdr:row>175</xdr:row>
      <xdr:rowOff>127000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552450</xdr:colOff>
      <xdr:row>149</xdr:row>
      <xdr:rowOff>50800</xdr:rowOff>
    </xdr:from>
    <xdr:to>
      <xdr:col>22</xdr:col>
      <xdr:colOff>476250</xdr:colOff>
      <xdr:row>175</xdr:row>
      <xdr:rowOff>127000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552450</xdr:colOff>
      <xdr:row>149</xdr:row>
      <xdr:rowOff>76200</xdr:rowOff>
    </xdr:from>
    <xdr:to>
      <xdr:col>34</xdr:col>
      <xdr:colOff>476250</xdr:colOff>
      <xdr:row>176</xdr:row>
      <xdr:rowOff>25400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203200</xdr:colOff>
      <xdr:row>30</xdr:row>
      <xdr:rowOff>50800</xdr:rowOff>
    </xdr:from>
    <xdr:to>
      <xdr:col>11</xdr:col>
      <xdr:colOff>127000</xdr:colOff>
      <xdr:row>56</xdr:row>
      <xdr:rowOff>152400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59</xdr:row>
      <xdr:rowOff>50800</xdr:rowOff>
    </xdr:from>
    <xdr:to>
      <xdr:col>11</xdr:col>
      <xdr:colOff>152400</xdr:colOff>
      <xdr:row>85</xdr:row>
      <xdr:rowOff>152400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88</xdr:row>
      <xdr:rowOff>76200</xdr:rowOff>
    </xdr:from>
    <xdr:to>
      <xdr:col>11</xdr:col>
      <xdr:colOff>152400</xdr:colOff>
      <xdr:row>115</xdr:row>
      <xdr:rowOff>0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50800</xdr:colOff>
      <xdr:row>88</xdr:row>
      <xdr:rowOff>50800</xdr:rowOff>
    </xdr:from>
    <xdr:to>
      <xdr:col>22</xdr:col>
      <xdr:colOff>584200</xdr:colOff>
      <xdr:row>114</xdr:row>
      <xdr:rowOff>152400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24</xdr:col>
      <xdr:colOff>25400</xdr:colOff>
      <xdr:row>88</xdr:row>
      <xdr:rowOff>76200</xdr:rowOff>
    </xdr:from>
    <xdr:to>
      <xdr:col>34</xdr:col>
      <xdr:colOff>558800</xdr:colOff>
      <xdr:row>115</xdr:row>
      <xdr:rowOff>0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196850</xdr:colOff>
      <xdr:row>178</xdr:row>
      <xdr:rowOff>76200</xdr:rowOff>
    </xdr:from>
    <xdr:to>
      <xdr:col>11</xdr:col>
      <xdr:colOff>120650</xdr:colOff>
      <xdr:row>205</xdr:row>
      <xdr:rowOff>25400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577850</xdr:colOff>
      <xdr:row>178</xdr:row>
      <xdr:rowOff>101600</xdr:rowOff>
    </xdr:from>
    <xdr:to>
      <xdr:col>22</xdr:col>
      <xdr:colOff>501650</xdr:colOff>
      <xdr:row>205</xdr:row>
      <xdr:rowOff>50800</xdr:rowOff>
    </xdr:to>
    <xdr:graphicFrame macro="">
      <xdr:nvGraphicFramePr>
        <xdr:cNvPr id="47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23</xdr:col>
      <xdr:colOff>577850</xdr:colOff>
      <xdr:row>178</xdr:row>
      <xdr:rowOff>101600</xdr:rowOff>
    </xdr:from>
    <xdr:to>
      <xdr:col>34</xdr:col>
      <xdr:colOff>501650</xdr:colOff>
      <xdr:row>205</xdr:row>
      <xdr:rowOff>50800</xdr:rowOff>
    </xdr:to>
    <xdr:graphicFrame macro="">
      <xdr:nvGraphicFramePr>
        <xdr:cNvPr id="48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222250</xdr:colOff>
      <xdr:row>207</xdr:row>
      <xdr:rowOff>127000</xdr:rowOff>
    </xdr:from>
    <xdr:to>
      <xdr:col>11</xdr:col>
      <xdr:colOff>146050</xdr:colOff>
      <xdr:row>234</xdr:row>
      <xdr:rowOff>76200</xdr:rowOff>
    </xdr:to>
    <xdr:graphicFrame macro="">
      <xdr:nvGraphicFramePr>
        <xdr:cNvPr id="4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603250</xdr:colOff>
      <xdr:row>208</xdr:row>
      <xdr:rowOff>0</xdr:rowOff>
    </xdr:from>
    <xdr:to>
      <xdr:col>34</xdr:col>
      <xdr:colOff>527050</xdr:colOff>
      <xdr:row>234</xdr:row>
      <xdr:rowOff>76200</xdr:rowOff>
    </xdr:to>
    <xdr:graphicFrame macro="">
      <xdr:nvGraphicFramePr>
        <xdr:cNvPr id="51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603250</xdr:colOff>
      <xdr:row>207</xdr:row>
      <xdr:rowOff>127000</xdr:rowOff>
    </xdr:from>
    <xdr:to>
      <xdr:col>22</xdr:col>
      <xdr:colOff>527050</xdr:colOff>
      <xdr:row>234</xdr:row>
      <xdr:rowOff>76200</xdr:rowOff>
    </xdr:to>
    <xdr:graphicFrame macro="">
      <xdr:nvGraphicFramePr>
        <xdr:cNvPr id="52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222250</xdr:colOff>
      <xdr:row>236</xdr:row>
      <xdr:rowOff>101600</xdr:rowOff>
    </xdr:from>
    <xdr:to>
      <xdr:col>11</xdr:col>
      <xdr:colOff>146050</xdr:colOff>
      <xdr:row>263</xdr:row>
      <xdr:rowOff>50800</xdr:rowOff>
    </xdr:to>
    <xdr:graphicFrame macro="">
      <xdr:nvGraphicFramePr>
        <xdr:cNvPr id="53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222250</xdr:colOff>
      <xdr:row>265</xdr:row>
      <xdr:rowOff>101600</xdr:rowOff>
    </xdr:from>
    <xdr:to>
      <xdr:col>11</xdr:col>
      <xdr:colOff>146050</xdr:colOff>
      <xdr:row>292</xdr:row>
      <xdr:rowOff>50800</xdr:rowOff>
    </xdr:to>
    <xdr:graphicFrame macro="">
      <xdr:nvGraphicFramePr>
        <xdr:cNvPr id="54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11</xdr:col>
      <xdr:colOff>501650</xdr:colOff>
      <xdr:row>236</xdr:row>
      <xdr:rowOff>76200</xdr:rowOff>
    </xdr:from>
    <xdr:to>
      <xdr:col>22</xdr:col>
      <xdr:colOff>425450</xdr:colOff>
      <xdr:row>263</xdr:row>
      <xdr:rowOff>25400</xdr:rowOff>
    </xdr:to>
    <xdr:graphicFrame macro="">
      <xdr:nvGraphicFramePr>
        <xdr:cNvPr id="55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23</xdr:col>
      <xdr:colOff>501650</xdr:colOff>
      <xdr:row>236</xdr:row>
      <xdr:rowOff>76200</xdr:rowOff>
    </xdr:from>
    <xdr:to>
      <xdr:col>34</xdr:col>
      <xdr:colOff>425450</xdr:colOff>
      <xdr:row>263</xdr:row>
      <xdr:rowOff>25400</xdr:rowOff>
    </xdr:to>
    <xdr:graphicFrame macro="">
      <xdr:nvGraphicFramePr>
        <xdr:cNvPr id="56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11</xdr:col>
      <xdr:colOff>501650</xdr:colOff>
      <xdr:row>265</xdr:row>
      <xdr:rowOff>76200</xdr:rowOff>
    </xdr:from>
    <xdr:to>
      <xdr:col>22</xdr:col>
      <xdr:colOff>425450</xdr:colOff>
      <xdr:row>292</xdr:row>
      <xdr:rowOff>25400</xdr:rowOff>
    </xdr:to>
    <xdr:graphicFrame macro="">
      <xdr:nvGraphicFramePr>
        <xdr:cNvPr id="57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23</xdr:col>
      <xdr:colOff>501650</xdr:colOff>
      <xdr:row>265</xdr:row>
      <xdr:rowOff>76200</xdr:rowOff>
    </xdr:from>
    <xdr:to>
      <xdr:col>34</xdr:col>
      <xdr:colOff>425450</xdr:colOff>
      <xdr:row>292</xdr:row>
      <xdr:rowOff>25400</xdr:rowOff>
    </xdr:to>
    <xdr:graphicFrame macro="">
      <xdr:nvGraphicFramePr>
        <xdr:cNvPr id="58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558800</xdr:colOff>
      <xdr:row>294</xdr:row>
      <xdr:rowOff>76200</xdr:rowOff>
    </xdr:from>
    <xdr:to>
      <xdr:col>22</xdr:col>
      <xdr:colOff>482600</xdr:colOff>
      <xdr:row>321</xdr:row>
      <xdr:rowOff>25400</xdr:rowOff>
    </xdr:to>
    <xdr:graphicFrame macro="">
      <xdr:nvGraphicFramePr>
        <xdr:cNvPr id="60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234950</xdr:colOff>
      <xdr:row>294</xdr:row>
      <xdr:rowOff>76200</xdr:rowOff>
    </xdr:from>
    <xdr:to>
      <xdr:col>11</xdr:col>
      <xdr:colOff>158750</xdr:colOff>
      <xdr:row>321</xdr:row>
      <xdr:rowOff>25400</xdr:rowOff>
    </xdr:to>
    <xdr:graphicFrame macro="">
      <xdr:nvGraphicFramePr>
        <xdr:cNvPr id="67" name="Chart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23</xdr:col>
      <xdr:colOff>501650</xdr:colOff>
      <xdr:row>294</xdr:row>
      <xdr:rowOff>76200</xdr:rowOff>
    </xdr:from>
    <xdr:to>
      <xdr:col>34</xdr:col>
      <xdr:colOff>425450</xdr:colOff>
      <xdr:row>321</xdr:row>
      <xdr:rowOff>25400</xdr:rowOff>
    </xdr:to>
    <xdr:graphicFrame macro="">
      <xdr:nvGraphicFramePr>
        <xdr:cNvPr id="68" name="Chart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254000</xdr:colOff>
      <xdr:row>323</xdr:row>
      <xdr:rowOff>57150</xdr:rowOff>
    </xdr:from>
    <xdr:to>
      <xdr:col>11</xdr:col>
      <xdr:colOff>177800</xdr:colOff>
      <xdr:row>349</xdr:row>
      <xdr:rowOff>139700</xdr:rowOff>
    </xdr:to>
    <xdr:graphicFrame macro="">
      <xdr:nvGraphicFramePr>
        <xdr:cNvPr id="69" name="Chart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11</xdr:col>
      <xdr:colOff>558800</xdr:colOff>
      <xdr:row>323</xdr:row>
      <xdr:rowOff>76200</xdr:rowOff>
    </xdr:from>
    <xdr:to>
      <xdr:col>22</xdr:col>
      <xdr:colOff>482600</xdr:colOff>
      <xdr:row>350</xdr:row>
      <xdr:rowOff>6350</xdr:rowOff>
    </xdr:to>
    <xdr:graphicFrame macro="">
      <xdr:nvGraphicFramePr>
        <xdr:cNvPr id="70" name="Chart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23</xdr:col>
      <xdr:colOff>501650</xdr:colOff>
      <xdr:row>324</xdr:row>
      <xdr:rowOff>0</xdr:rowOff>
    </xdr:from>
    <xdr:to>
      <xdr:col>34</xdr:col>
      <xdr:colOff>425450</xdr:colOff>
      <xdr:row>350</xdr:row>
      <xdr:rowOff>82550</xdr:rowOff>
    </xdr:to>
    <xdr:graphicFrame macro="">
      <xdr:nvGraphicFramePr>
        <xdr:cNvPr id="71" name="Chart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292100</xdr:colOff>
      <xdr:row>352</xdr:row>
      <xdr:rowOff>38100</xdr:rowOff>
    </xdr:from>
    <xdr:to>
      <xdr:col>11</xdr:col>
      <xdr:colOff>215900</xdr:colOff>
      <xdr:row>378</xdr:row>
      <xdr:rowOff>120650</xdr:rowOff>
    </xdr:to>
    <xdr:graphicFrame macro="">
      <xdr:nvGraphicFramePr>
        <xdr:cNvPr id="72" name="Chart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11</xdr:col>
      <xdr:colOff>558800</xdr:colOff>
      <xdr:row>352</xdr:row>
      <xdr:rowOff>19050</xdr:rowOff>
    </xdr:from>
    <xdr:to>
      <xdr:col>22</xdr:col>
      <xdr:colOff>482600</xdr:colOff>
      <xdr:row>378</xdr:row>
      <xdr:rowOff>101600</xdr:rowOff>
    </xdr:to>
    <xdr:graphicFrame macro="">
      <xdr:nvGraphicFramePr>
        <xdr:cNvPr id="76" name="Chart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23</xdr:col>
      <xdr:colOff>539750</xdr:colOff>
      <xdr:row>352</xdr:row>
      <xdr:rowOff>38100</xdr:rowOff>
    </xdr:from>
    <xdr:to>
      <xdr:col>34</xdr:col>
      <xdr:colOff>463550</xdr:colOff>
      <xdr:row>378</xdr:row>
      <xdr:rowOff>120650</xdr:rowOff>
    </xdr:to>
    <xdr:graphicFrame macro="">
      <xdr:nvGraphicFramePr>
        <xdr:cNvPr id="77" name="Chart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311150</xdr:colOff>
      <xdr:row>380</xdr:row>
      <xdr:rowOff>114300</xdr:rowOff>
    </xdr:from>
    <xdr:to>
      <xdr:col>11</xdr:col>
      <xdr:colOff>234950</xdr:colOff>
      <xdr:row>407</xdr:row>
      <xdr:rowOff>63500</xdr:rowOff>
    </xdr:to>
    <xdr:graphicFrame macro="">
      <xdr:nvGraphicFramePr>
        <xdr:cNvPr id="78" name="Chart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11</xdr:col>
      <xdr:colOff>520700</xdr:colOff>
      <xdr:row>380</xdr:row>
      <xdr:rowOff>114300</xdr:rowOff>
    </xdr:from>
    <xdr:to>
      <xdr:col>22</xdr:col>
      <xdr:colOff>444500</xdr:colOff>
      <xdr:row>407</xdr:row>
      <xdr:rowOff>63500</xdr:rowOff>
    </xdr:to>
    <xdr:graphicFrame macro="">
      <xdr:nvGraphicFramePr>
        <xdr:cNvPr id="79" name="Chart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23</xdr:col>
      <xdr:colOff>520700</xdr:colOff>
      <xdr:row>380</xdr:row>
      <xdr:rowOff>133350</xdr:rowOff>
    </xdr:from>
    <xdr:to>
      <xdr:col>34</xdr:col>
      <xdr:colOff>444500</xdr:colOff>
      <xdr:row>407</xdr:row>
      <xdr:rowOff>82550</xdr:rowOff>
    </xdr:to>
    <xdr:graphicFrame macro="">
      <xdr:nvGraphicFramePr>
        <xdr:cNvPr id="80" name="Chart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311150</xdr:colOff>
      <xdr:row>409</xdr:row>
      <xdr:rowOff>76200</xdr:rowOff>
    </xdr:from>
    <xdr:to>
      <xdr:col>11</xdr:col>
      <xdr:colOff>234950</xdr:colOff>
      <xdr:row>436</xdr:row>
      <xdr:rowOff>6350</xdr:rowOff>
    </xdr:to>
    <xdr:graphicFrame macro="">
      <xdr:nvGraphicFramePr>
        <xdr:cNvPr id="81" name="Chart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11</xdr:col>
      <xdr:colOff>577850</xdr:colOff>
      <xdr:row>438</xdr:row>
      <xdr:rowOff>57150</xdr:rowOff>
    </xdr:from>
    <xdr:to>
      <xdr:col>22</xdr:col>
      <xdr:colOff>501650</xdr:colOff>
      <xdr:row>464</xdr:row>
      <xdr:rowOff>139700</xdr:rowOff>
    </xdr:to>
    <xdr:graphicFrame macro="">
      <xdr:nvGraphicFramePr>
        <xdr:cNvPr id="82" name="Chart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23</xdr:col>
      <xdr:colOff>520700</xdr:colOff>
      <xdr:row>467</xdr:row>
      <xdr:rowOff>0</xdr:rowOff>
    </xdr:from>
    <xdr:to>
      <xdr:col>34</xdr:col>
      <xdr:colOff>444500</xdr:colOff>
      <xdr:row>493</xdr:row>
      <xdr:rowOff>82550</xdr:rowOff>
    </xdr:to>
    <xdr:graphicFrame macro="">
      <xdr:nvGraphicFramePr>
        <xdr:cNvPr id="83" name="Chart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11</xdr:col>
      <xdr:colOff>539750</xdr:colOff>
      <xdr:row>409</xdr:row>
      <xdr:rowOff>76200</xdr:rowOff>
    </xdr:from>
    <xdr:to>
      <xdr:col>22</xdr:col>
      <xdr:colOff>463550</xdr:colOff>
      <xdr:row>436</xdr:row>
      <xdr:rowOff>6350</xdr:rowOff>
    </xdr:to>
    <xdr:graphicFrame macro="">
      <xdr:nvGraphicFramePr>
        <xdr:cNvPr id="84" name="Chart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23</xdr:col>
      <xdr:colOff>501650</xdr:colOff>
      <xdr:row>409</xdr:row>
      <xdr:rowOff>76200</xdr:rowOff>
    </xdr:from>
    <xdr:to>
      <xdr:col>34</xdr:col>
      <xdr:colOff>425450</xdr:colOff>
      <xdr:row>436</xdr:row>
      <xdr:rowOff>25400</xdr:rowOff>
    </xdr:to>
    <xdr:graphicFrame macro="">
      <xdr:nvGraphicFramePr>
        <xdr:cNvPr id="85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311150</xdr:colOff>
      <xdr:row>438</xdr:row>
      <xdr:rowOff>76200</xdr:rowOff>
    </xdr:from>
    <xdr:to>
      <xdr:col>11</xdr:col>
      <xdr:colOff>234950</xdr:colOff>
      <xdr:row>465</xdr:row>
      <xdr:rowOff>6350</xdr:rowOff>
    </xdr:to>
    <xdr:graphicFrame macro="">
      <xdr:nvGraphicFramePr>
        <xdr:cNvPr id="86" name="Chart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23</xdr:col>
      <xdr:colOff>501650</xdr:colOff>
      <xdr:row>438</xdr:row>
      <xdr:rowOff>76200</xdr:rowOff>
    </xdr:from>
    <xdr:to>
      <xdr:col>34</xdr:col>
      <xdr:colOff>425450</xdr:colOff>
      <xdr:row>465</xdr:row>
      <xdr:rowOff>6350</xdr:rowOff>
    </xdr:to>
    <xdr:graphicFrame macro="">
      <xdr:nvGraphicFramePr>
        <xdr:cNvPr id="87" name="Chart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11</xdr:col>
      <xdr:colOff>558800</xdr:colOff>
      <xdr:row>466</xdr:row>
      <xdr:rowOff>133350</xdr:rowOff>
    </xdr:from>
    <xdr:to>
      <xdr:col>22</xdr:col>
      <xdr:colOff>482600</xdr:colOff>
      <xdr:row>493</xdr:row>
      <xdr:rowOff>82550</xdr:rowOff>
    </xdr:to>
    <xdr:graphicFrame macro="">
      <xdr:nvGraphicFramePr>
        <xdr:cNvPr id="88" name="Chart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330200</xdr:colOff>
      <xdr:row>466</xdr:row>
      <xdr:rowOff>133350</xdr:rowOff>
    </xdr:from>
    <xdr:to>
      <xdr:col>11</xdr:col>
      <xdr:colOff>254000</xdr:colOff>
      <xdr:row>493</xdr:row>
      <xdr:rowOff>82550</xdr:rowOff>
    </xdr:to>
    <xdr:graphicFrame macro="">
      <xdr:nvGraphicFramePr>
        <xdr:cNvPr id="89" name="Chart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311150</xdr:colOff>
      <xdr:row>495</xdr:row>
      <xdr:rowOff>76200</xdr:rowOff>
    </xdr:from>
    <xdr:to>
      <xdr:col>11</xdr:col>
      <xdr:colOff>234950</xdr:colOff>
      <xdr:row>522</xdr:row>
      <xdr:rowOff>25400</xdr:rowOff>
    </xdr:to>
    <xdr:graphicFrame macro="">
      <xdr:nvGraphicFramePr>
        <xdr:cNvPr id="97" name="Chart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11</xdr:col>
      <xdr:colOff>577850</xdr:colOff>
      <xdr:row>495</xdr:row>
      <xdr:rowOff>76200</xdr:rowOff>
    </xdr:from>
    <xdr:to>
      <xdr:col>22</xdr:col>
      <xdr:colOff>501650</xdr:colOff>
      <xdr:row>522</xdr:row>
      <xdr:rowOff>25400</xdr:rowOff>
    </xdr:to>
    <xdr:graphicFrame macro="">
      <xdr:nvGraphicFramePr>
        <xdr:cNvPr id="98" name="Chart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23</xdr:col>
      <xdr:colOff>514350</xdr:colOff>
      <xdr:row>495</xdr:row>
      <xdr:rowOff>76200</xdr:rowOff>
    </xdr:from>
    <xdr:to>
      <xdr:col>34</xdr:col>
      <xdr:colOff>438150</xdr:colOff>
      <xdr:row>522</xdr:row>
      <xdr:rowOff>25400</xdr:rowOff>
    </xdr:to>
    <xdr:graphicFrame macro="">
      <xdr:nvGraphicFramePr>
        <xdr:cNvPr id="99" name="Chart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330200</xdr:colOff>
      <xdr:row>524</xdr:row>
      <xdr:rowOff>0</xdr:rowOff>
    </xdr:from>
    <xdr:to>
      <xdr:col>11</xdr:col>
      <xdr:colOff>254000</xdr:colOff>
      <xdr:row>550</xdr:row>
      <xdr:rowOff>82550</xdr:rowOff>
    </xdr:to>
    <xdr:graphicFrame macro="">
      <xdr:nvGraphicFramePr>
        <xdr:cNvPr id="100" name="Chart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11</xdr:col>
      <xdr:colOff>577850</xdr:colOff>
      <xdr:row>524</xdr:row>
      <xdr:rowOff>19050</xdr:rowOff>
    </xdr:from>
    <xdr:to>
      <xdr:col>22</xdr:col>
      <xdr:colOff>501650</xdr:colOff>
      <xdr:row>550</xdr:row>
      <xdr:rowOff>101600</xdr:rowOff>
    </xdr:to>
    <xdr:graphicFrame macro="">
      <xdr:nvGraphicFramePr>
        <xdr:cNvPr id="101" name="Chart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23</xdr:col>
      <xdr:colOff>539750</xdr:colOff>
      <xdr:row>524</xdr:row>
      <xdr:rowOff>19050</xdr:rowOff>
    </xdr:from>
    <xdr:to>
      <xdr:col>34</xdr:col>
      <xdr:colOff>463550</xdr:colOff>
      <xdr:row>550</xdr:row>
      <xdr:rowOff>101600</xdr:rowOff>
    </xdr:to>
    <xdr:graphicFrame macro="">
      <xdr:nvGraphicFramePr>
        <xdr:cNvPr id="102" name="Chart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298450</xdr:colOff>
      <xdr:row>553</xdr:row>
      <xdr:rowOff>0</xdr:rowOff>
    </xdr:from>
    <xdr:to>
      <xdr:col>11</xdr:col>
      <xdr:colOff>222250</xdr:colOff>
      <xdr:row>579</xdr:row>
      <xdr:rowOff>76200</xdr:rowOff>
    </xdr:to>
    <xdr:graphicFrame macro="">
      <xdr:nvGraphicFramePr>
        <xdr:cNvPr id="125" name="Chart 1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11</xdr:col>
      <xdr:colOff>577850</xdr:colOff>
      <xdr:row>553</xdr:row>
      <xdr:rowOff>50800</xdr:rowOff>
    </xdr:from>
    <xdr:to>
      <xdr:col>22</xdr:col>
      <xdr:colOff>501650</xdr:colOff>
      <xdr:row>579</xdr:row>
      <xdr:rowOff>127000</xdr:rowOff>
    </xdr:to>
    <xdr:graphicFrame macro="">
      <xdr:nvGraphicFramePr>
        <xdr:cNvPr id="126" name="Chart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23</xdr:col>
      <xdr:colOff>501650</xdr:colOff>
      <xdr:row>553</xdr:row>
      <xdr:rowOff>50800</xdr:rowOff>
    </xdr:from>
    <xdr:to>
      <xdr:col>34</xdr:col>
      <xdr:colOff>425450</xdr:colOff>
      <xdr:row>579</xdr:row>
      <xdr:rowOff>127000</xdr:rowOff>
    </xdr:to>
    <xdr:graphicFrame macro="">
      <xdr:nvGraphicFramePr>
        <xdr:cNvPr id="127" name="Chart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247650</xdr:colOff>
      <xdr:row>582</xdr:row>
      <xdr:rowOff>0</xdr:rowOff>
    </xdr:from>
    <xdr:to>
      <xdr:col>11</xdr:col>
      <xdr:colOff>171450</xdr:colOff>
      <xdr:row>608</xdr:row>
      <xdr:rowOff>76200</xdr:rowOff>
    </xdr:to>
    <xdr:graphicFrame macro="">
      <xdr:nvGraphicFramePr>
        <xdr:cNvPr id="128" name="Chart 1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11</xdr:col>
      <xdr:colOff>527050</xdr:colOff>
      <xdr:row>582</xdr:row>
      <xdr:rowOff>50800</xdr:rowOff>
    </xdr:from>
    <xdr:to>
      <xdr:col>22</xdr:col>
      <xdr:colOff>450850</xdr:colOff>
      <xdr:row>608</xdr:row>
      <xdr:rowOff>127000</xdr:rowOff>
    </xdr:to>
    <xdr:graphicFrame macro="">
      <xdr:nvGraphicFramePr>
        <xdr:cNvPr id="129" name="Chart 1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23</xdr:col>
      <xdr:colOff>450850</xdr:colOff>
      <xdr:row>582</xdr:row>
      <xdr:rowOff>50800</xdr:rowOff>
    </xdr:from>
    <xdr:to>
      <xdr:col>34</xdr:col>
      <xdr:colOff>374650</xdr:colOff>
      <xdr:row>608</xdr:row>
      <xdr:rowOff>127000</xdr:rowOff>
    </xdr:to>
    <xdr:graphicFrame macro="">
      <xdr:nvGraphicFramePr>
        <xdr:cNvPr id="130" name="Chart 1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247650</xdr:colOff>
      <xdr:row>610</xdr:row>
      <xdr:rowOff>127000</xdr:rowOff>
    </xdr:from>
    <xdr:to>
      <xdr:col>11</xdr:col>
      <xdr:colOff>171450</xdr:colOff>
      <xdr:row>637</xdr:row>
      <xdr:rowOff>76200</xdr:rowOff>
    </xdr:to>
    <xdr:graphicFrame macro="">
      <xdr:nvGraphicFramePr>
        <xdr:cNvPr id="131" name="Chart 1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11</xdr:col>
      <xdr:colOff>527050</xdr:colOff>
      <xdr:row>611</xdr:row>
      <xdr:rowOff>25400</xdr:rowOff>
    </xdr:from>
    <xdr:to>
      <xdr:col>22</xdr:col>
      <xdr:colOff>450850</xdr:colOff>
      <xdr:row>637</xdr:row>
      <xdr:rowOff>101600</xdr:rowOff>
    </xdr:to>
    <xdr:graphicFrame macro="">
      <xdr:nvGraphicFramePr>
        <xdr:cNvPr id="132" name="Chart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23</xdr:col>
      <xdr:colOff>450850</xdr:colOff>
      <xdr:row>611</xdr:row>
      <xdr:rowOff>25400</xdr:rowOff>
    </xdr:from>
    <xdr:to>
      <xdr:col>34</xdr:col>
      <xdr:colOff>374650</xdr:colOff>
      <xdr:row>637</xdr:row>
      <xdr:rowOff>101600</xdr:rowOff>
    </xdr:to>
    <xdr:graphicFrame macro="">
      <xdr:nvGraphicFramePr>
        <xdr:cNvPr id="133" name="Chart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196850</xdr:colOff>
      <xdr:row>639</xdr:row>
      <xdr:rowOff>127000</xdr:rowOff>
    </xdr:from>
    <xdr:to>
      <xdr:col>11</xdr:col>
      <xdr:colOff>120650</xdr:colOff>
      <xdr:row>666</xdr:row>
      <xdr:rowOff>76200</xdr:rowOff>
    </xdr:to>
    <xdr:graphicFrame macro="">
      <xdr:nvGraphicFramePr>
        <xdr:cNvPr id="134" name="Chart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11</xdr:col>
      <xdr:colOff>533400</xdr:colOff>
      <xdr:row>640</xdr:row>
      <xdr:rowOff>6350</xdr:rowOff>
    </xdr:from>
    <xdr:to>
      <xdr:col>22</xdr:col>
      <xdr:colOff>457200</xdr:colOff>
      <xdr:row>666</xdr:row>
      <xdr:rowOff>82550</xdr:rowOff>
    </xdr:to>
    <xdr:graphicFrame macro="">
      <xdr:nvGraphicFramePr>
        <xdr:cNvPr id="135" name="Chart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23</xdr:col>
      <xdr:colOff>400050</xdr:colOff>
      <xdr:row>640</xdr:row>
      <xdr:rowOff>25400</xdr:rowOff>
    </xdr:from>
    <xdr:to>
      <xdr:col>34</xdr:col>
      <xdr:colOff>323850</xdr:colOff>
      <xdr:row>666</xdr:row>
      <xdr:rowOff>101600</xdr:rowOff>
    </xdr:to>
    <xdr:graphicFrame macro="">
      <xdr:nvGraphicFramePr>
        <xdr:cNvPr id="136" name="Chart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196850</xdr:colOff>
      <xdr:row>669</xdr:row>
      <xdr:rowOff>50800</xdr:rowOff>
    </xdr:from>
    <xdr:to>
      <xdr:col>11</xdr:col>
      <xdr:colOff>120650</xdr:colOff>
      <xdr:row>695</xdr:row>
      <xdr:rowOff>127000</xdr:rowOff>
    </xdr:to>
    <xdr:graphicFrame macro="">
      <xdr:nvGraphicFramePr>
        <xdr:cNvPr id="137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11</xdr:col>
      <xdr:colOff>552450</xdr:colOff>
      <xdr:row>669</xdr:row>
      <xdr:rowOff>76200</xdr:rowOff>
    </xdr:from>
    <xdr:to>
      <xdr:col>22</xdr:col>
      <xdr:colOff>476250</xdr:colOff>
      <xdr:row>696</xdr:row>
      <xdr:rowOff>25400</xdr:rowOff>
    </xdr:to>
    <xdr:graphicFrame macro="">
      <xdr:nvGraphicFramePr>
        <xdr:cNvPr id="138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23</xdr:col>
      <xdr:colOff>400050</xdr:colOff>
      <xdr:row>669</xdr:row>
      <xdr:rowOff>76200</xdr:rowOff>
    </xdr:from>
    <xdr:to>
      <xdr:col>34</xdr:col>
      <xdr:colOff>323850</xdr:colOff>
      <xdr:row>696</xdr:row>
      <xdr:rowOff>25400</xdr:rowOff>
    </xdr:to>
    <xdr:graphicFrame macro="">
      <xdr:nvGraphicFramePr>
        <xdr:cNvPr id="139" name="Chart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146050</xdr:colOff>
      <xdr:row>698</xdr:row>
      <xdr:rowOff>50800</xdr:rowOff>
    </xdr:from>
    <xdr:to>
      <xdr:col>11</xdr:col>
      <xdr:colOff>69850</xdr:colOff>
      <xdr:row>724</xdr:row>
      <xdr:rowOff>127000</xdr:rowOff>
    </xdr:to>
    <xdr:graphicFrame macro="">
      <xdr:nvGraphicFramePr>
        <xdr:cNvPr id="140" name="Chart 1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11</xdr:col>
      <xdr:colOff>558800</xdr:colOff>
      <xdr:row>698</xdr:row>
      <xdr:rowOff>76200</xdr:rowOff>
    </xdr:from>
    <xdr:to>
      <xdr:col>22</xdr:col>
      <xdr:colOff>482600</xdr:colOff>
      <xdr:row>725</xdr:row>
      <xdr:rowOff>6350</xdr:rowOff>
    </xdr:to>
    <xdr:graphicFrame macro="">
      <xdr:nvGraphicFramePr>
        <xdr:cNvPr id="141" name="Chart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23</xdr:col>
      <xdr:colOff>349250</xdr:colOff>
      <xdr:row>698</xdr:row>
      <xdr:rowOff>76200</xdr:rowOff>
    </xdr:from>
    <xdr:to>
      <xdr:col>34</xdr:col>
      <xdr:colOff>273050</xdr:colOff>
      <xdr:row>725</xdr:row>
      <xdr:rowOff>25400</xdr:rowOff>
    </xdr:to>
    <xdr:graphicFrame macro="">
      <xdr:nvGraphicFramePr>
        <xdr:cNvPr id="142" name="Chart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152400</xdr:colOff>
      <xdr:row>727</xdr:row>
      <xdr:rowOff>0</xdr:rowOff>
    </xdr:from>
    <xdr:to>
      <xdr:col>11</xdr:col>
      <xdr:colOff>76200</xdr:colOff>
      <xdr:row>753</xdr:row>
      <xdr:rowOff>76200</xdr:rowOff>
    </xdr:to>
    <xdr:graphicFrame macro="">
      <xdr:nvGraphicFramePr>
        <xdr:cNvPr id="143" name="Chart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11</xdr:col>
      <xdr:colOff>546100</xdr:colOff>
      <xdr:row>727</xdr:row>
      <xdr:rowOff>44450</xdr:rowOff>
    </xdr:from>
    <xdr:to>
      <xdr:col>22</xdr:col>
      <xdr:colOff>469900</xdr:colOff>
      <xdr:row>753</xdr:row>
      <xdr:rowOff>127000</xdr:rowOff>
    </xdr:to>
    <xdr:graphicFrame macro="">
      <xdr:nvGraphicFramePr>
        <xdr:cNvPr id="144" name="Chart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23</xdr:col>
      <xdr:colOff>355600</xdr:colOff>
      <xdr:row>727</xdr:row>
      <xdr:rowOff>44450</xdr:rowOff>
    </xdr:from>
    <xdr:to>
      <xdr:col>34</xdr:col>
      <xdr:colOff>279400</xdr:colOff>
      <xdr:row>753</xdr:row>
      <xdr:rowOff>127000</xdr:rowOff>
    </xdr:to>
    <xdr:graphicFrame macro="">
      <xdr:nvGraphicFramePr>
        <xdr:cNvPr id="145" name="Chart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0</xdr:col>
      <xdr:colOff>101600</xdr:colOff>
      <xdr:row>756</xdr:row>
      <xdr:rowOff>0</xdr:rowOff>
    </xdr:from>
    <xdr:to>
      <xdr:col>11</xdr:col>
      <xdr:colOff>25400</xdr:colOff>
      <xdr:row>782</xdr:row>
      <xdr:rowOff>76200</xdr:rowOff>
    </xdr:to>
    <xdr:graphicFrame macro="">
      <xdr:nvGraphicFramePr>
        <xdr:cNvPr id="146" name="Chart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11</xdr:col>
      <xdr:colOff>533400</xdr:colOff>
      <xdr:row>756</xdr:row>
      <xdr:rowOff>63500</xdr:rowOff>
    </xdr:from>
    <xdr:to>
      <xdr:col>22</xdr:col>
      <xdr:colOff>457200</xdr:colOff>
      <xdr:row>782</xdr:row>
      <xdr:rowOff>146050</xdr:rowOff>
    </xdr:to>
    <xdr:graphicFrame macro="">
      <xdr:nvGraphicFramePr>
        <xdr:cNvPr id="147" name="Chart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23</xdr:col>
      <xdr:colOff>304800</xdr:colOff>
      <xdr:row>756</xdr:row>
      <xdr:rowOff>44450</xdr:rowOff>
    </xdr:from>
    <xdr:to>
      <xdr:col>34</xdr:col>
      <xdr:colOff>228600</xdr:colOff>
      <xdr:row>782</xdr:row>
      <xdr:rowOff>127000</xdr:rowOff>
    </xdr:to>
    <xdr:graphicFrame macro="">
      <xdr:nvGraphicFramePr>
        <xdr:cNvPr id="148" name="Chart 1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0</xdr:col>
      <xdr:colOff>95250</xdr:colOff>
      <xdr:row>784</xdr:row>
      <xdr:rowOff>76200</xdr:rowOff>
    </xdr:from>
    <xdr:to>
      <xdr:col>11</xdr:col>
      <xdr:colOff>19050</xdr:colOff>
      <xdr:row>811</xdr:row>
      <xdr:rowOff>19050</xdr:rowOff>
    </xdr:to>
    <xdr:graphicFrame macro="">
      <xdr:nvGraphicFramePr>
        <xdr:cNvPr id="149" name="Chart 1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11</xdr:col>
      <xdr:colOff>546100</xdr:colOff>
      <xdr:row>784</xdr:row>
      <xdr:rowOff>120650</xdr:rowOff>
    </xdr:from>
    <xdr:to>
      <xdr:col>22</xdr:col>
      <xdr:colOff>469900</xdr:colOff>
      <xdr:row>811</xdr:row>
      <xdr:rowOff>69850</xdr:rowOff>
    </xdr:to>
    <xdr:graphicFrame macro="">
      <xdr:nvGraphicFramePr>
        <xdr:cNvPr id="150" name="Chart 1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23</xdr:col>
      <xdr:colOff>298450</xdr:colOff>
      <xdr:row>784</xdr:row>
      <xdr:rowOff>120650</xdr:rowOff>
    </xdr:from>
    <xdr:to>
      <xdr:col>34</xdr:col>
      <xdr:colOff>222250</xdr:colOff>
      <xdr:row>811</xdr:row>
      <xdr:rowOff>69850</xdr:rowOff>
    </xdr:to>
    <xdr:graphicFrame macro="">
      <xdr:nvGraphicFramePr>
        <xdr:cNvPr id="151" name="Chart 1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44450</xdr:colOff>
      <xdr:row>813</xdr:row>
      <xdr:rowOff>76200</xdr:rowOff>
    </xdr:from>
    <xdr:to>
      <xdr:col>10</xdr:col>
      <xdr:colOff>577850</xdr:colOff>
      <xdr:row>840</xdr:row>
      <xdr:rowOff>19050</xdr:rowOff>
    </xdr:to>
    <xdr:graphicFrame macro="">
      <xdr:nvGraphicFramePr>
        <xdr:cNvPr id="152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11</xdr:col>
      <xdr:colOff>571500</xdr:colOff>
      <xdr:row>813</xdr:row>
      <xdr:rowOff>82550</xdr:rowOff>
    </xdr:from>
    <xdr:to>
      <xdr:col>22</xdr:col>
      <xdr:colOff>495300</xdr:colOff>
      <xdr:row>840</xdr:row>
      <xdr:rowOff>31750</xdr:rowOff>
    </xdr:to>
    <xdr:graphicFrame macro="">
      <xdr:nvGraphicFramePr>
        <xdr:cNvPr id="153" name="Chart 1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23</xdr:col>
      <xdr:colOff>247650</xdr:colOff>
      <xdr:row>813</xdr:row>
      <xdr:rowOff>120650</xdr:rowOff>
    </xdr:from>
    <xdr:to>
      <xdr:col>34</xdr:col>
      <xdr:colOff>171450</xdr:colOff>
      <xdr:row>840</xdr:row>
      <xdr:rowOff>69850</xdr:rowOff>
    </xdr:to>
    <xdr:graphicFrame macro="">
      <xdr:nvGraphicFramePr>
        <xdr:cNvPr id="154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0</xdr:col>
      <xdr:colOff>57150</xdr:colOff>
      <xdr:row>842</xdr:row>
      <xdr:rowOff>57150</xdr:rowOff>
    </xdr:from>
    <xdr:to>
      <xdr:col>10</xdr:col>
      <xdr:colOff>590550</xdr:colOff>
      <xdr:row>868</xdr:row>
      <xdr:rowOff>133350</xdr:rowOff>
    </xdr:to>
    <xdr:graphicFrame macro="">
      <xdr:nvGraphicFramePr>
        <xdr:cNvPr id="155" name="Chart 1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11</xdr:col>
      <xdr:colOff>584200</xdr:colOff>
      <xdr:row>842</xdr:row>
      <xdr:rowOff>82550</xdr:rowOff>
    </xdr:from>
    <xdr:to>
      <xdr:col>22</xdr:col>
      <xdr:colOff>508000</xdr:colOff>
      <xdr:row>869</xdr:row>
      <xdr:rowOff>31750</xdr:rowOff>
    </xdr:to>
    <xdr:graphicFrame macro="">
      <xdr:nvGraphicFramePr>
        <xdr:cNvPr id="156" name="Chart 1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23</xdr:col>
      <xdr:colOff>260350</xdr:colOff>
      <xdr:row>842</xdr:row>
      <xdr:rowOff>82550</xdr:rowOff>
    </xdr:from>
    <xdr:to>
      <xdr:col>34</xdr:col>
      <xdr:colOff>184150</xdr:colOff>
      <xdr:row>869</xdr:row>
      <xdr:rowOff>31750</xdr:rowOff>
    </xdr:to>
    <xdr:graphicFrame macro="">
      <xdr:nvGraphicFramePr>
        <xdr:cNvPr id="157" name="Chart 1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0</xdr:col>
      <xdr:colOff>6350</xdr:colOff>
      <xdr:row>871</xdr:row>
      <xdr:rowOff>57150</xdr:rowOff>
    </xdr:from>
    <xdr:to>
      <xdr:col>10</xdr:col>
      <xdr:colOff>539750</xdr:colOff>
      <xdr:row>897</xdr:row>
      <xdr:rowOff>133350</xdr:rowOff>
    </xdr:to>
    <xdr:graphicFrame macro="">
      <xdr:nvGraphicFramePr>
        <xdr:cNvPr id="158" name="Chart 1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11</xdr:col>
      <xdr:colOff>571500</xdr:colOff>
      <xdr:row>871</xdr:row>
      <xdr:rowOff>101600</xdr:rowOff>
    </xdr:from>
    <xdr:to>
      <xdr:col>22</xdr:col>
      <xdr:colOff>495300</xdr:colOff>
      <xdr:row>898</xdr:row>
      <xdr:rowOff>50800</xdr:rowOff>
    </xdr:to>
    <xdr:graphicFrame macro="">
      <xdr:nvGraphicFramePr>
        <xdr:cNvPr id="159" name="Chart 1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23</xdr:col>
      <xdr:colOff>209550</xdr:colOff>
      <xdr:row>871</xdr:row>
      <xdr:rowOff>82550</xdr:rowOff>
    </xdr:from>
    <xdr:to>
      <xdr:col>34</xdr:col>
      <xdr:colOff>133350</xdr:colOff>
      <xdr:row>898</xdr:row>
      <xdr:rowOff>31750</xdr:rowOff>
    </xdr:to>
    <xdr:graphicFrame macro="">
      <xdr:nvGraphicFramePr>
        <xdr:cNvPr id="160" name="Chart 1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0</xdr:col>
      <xdr:colOff>0</xdr:colOff>
      <xdr:row>900</xdr:row>
      <xdr:rowOff>0</xdr:rowOff>
    </xdr:from>
    <xdr:to>
      <xdr:col>10</xdr:col>
      <xdr:colOff>533400</xdr:colOff>
      <xdr:row>926</xdr:row>
      <xdr:rowOff>76200</xdr:rowOff>
    </xdr:to>
    <xdr:graphicFrame macro="">
      <xdr:nvGraphicFramePr>
        <xdr:cNvPr id="161" name="Chart 1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11</xdr:col>
      <xdr:colOff>546100</xdr:colOff>
      <xdr:row>900</xdr:row>
      <xdr:rowOff>63500</xdr:rowOff>
    </xdr:from>
    <xdr:to>
      <xdr:col>22</xdr:col>
      <xdr:colOff>469900</xdr:colOff>
      <xdr:row>926</xdr:row>
      <xdr:rowOff>146050</xdr:rowOff>
    </xdr:to>
    <xdr:graphicFrame macro="">
      <xdr:nvGraphicFramePr>
        <xdr:cNvPr id="162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23</xdr:col>
      <xdr:colOff>203200</xdr:colOff>
      <xdr:row>900</xdr:row>
      <xdr:rowOff>44450</xdr:rowOff>
    </xdr:from>
    <xdr:to>
      <xdr:col>34</xdr:col>
      <xdr:colOff>127000</xdr:colOff>
      <xdr:row>926</xdr:row>
      <xdr:rowOff>127000</xdr:rowOff>
    </xdr:to>
    <xdr:graphicFrame macro="">
      <xdr:nvGraphicFramePr>
        <xdr:cNvPr id="163" name="Chart 1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0</xdr:col>
      <xdr:colOff>44450</xdr:colOff>
      <xdr:row>929</xdr:row>
      <xdr:rowOff>0</xdr:rowOff>
    </xdr:from>
    <xdr:to>
      <xdr:col>10</xdr:col>
      <xdr:colOff>577850</xdr:colOff>
      <xdr:row>955</xdr:row>
      <xdr:rowOff>76200</xdr:rowOff>
    </xdr:to>
    <xdr:graphicFrame macro="">
      <xdr:nvGraphicFramePr>
        <xdr:cNvPr id="164" name="Chart 1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11</xdr:col>
      <xdr:colOff>495300</xdr:colOff>
      <xdr:row>929</xdr:row>
      <xdr:rowOff>6350</xdr:rowOff>
    </xdr:from>
    <xdr:to>
      <xdr:col>22</xdr:col>
      <xdr:colOff>419100</xdr:colOff>
      <xdr:row>955</xdr:row>
      <xdr:rowOff>88900</xdr:rowOff>
    </xdr:to>
    <xdr:graphicFrame macro="">
      <xdr:nvGraphicFramePr>
        <xdr:cNvPr id="165" name="Chart 1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23</xdr:col>
      <xdr:colOff>152400</xdr:colOff>
      <xdr:row>929</xdr:row>
      <xdr:rowOff>44450</xdr:rowOff>
    </xdr:from>
    <xdr:to>
      <xdr:col>34</xdr:col>
      <xdr:colOff>76200</xdr:colOff>
      <xdr:row>955</xdr:row>
      <xdr:rowOff>127000</xdr:rowOff>
    </xdr:to>
    <xdr:graphicFrame macro="">
      <xdr:nvGraphicFramePr>
        <xdr:cNvPr id="166" name="Chart 1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190500</xdr:colOff>
      <xdr:row>119</xdr:row>
      <xdr:rowOff>76200</xdr:rowOff>
    </xdr:from>
    <xdr:to>
      <xdr:col>11</xdr:col>
      <xdr:colOff>114300</xdr:colOff>
      <xdr:row>146</xdr:row>
      <xdr:rowOff>6350</xdr:rowOff>
    </xdr:to>
    <xdr:graphicFrame macro="">
      <xdr:nvGraphicFramePr>
        <xdr:cNvPr id="103" name="Chart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24</xdr:col>
      <xdr:colOff>0</xdr:colOff>
      <xdr:row>119</xdr:row>
      <xdr:rowOff>76200</xdr:rowOff>
    </xdr:from>
    <xdr:to>
      <xdr:col>34</xdr:col>
      <xdr:colOff>533400</xdr:colOff>
      <xdr:row>146</xdr:row>
      <xdr:rowOff>6350</xdr:rowOff>
    </xdr:to>
    <xdr:graphicFrame macro="">
      <xdr:nvGraphicFramePr>
        <xdr:cNvPr id="104" name="Chart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12</xdr:col>
      <xdr:colOff>19050</xdr:colOff>
      <xdr:row>119</xdr:row>
      <xdr:rowOff>95250</xdr:rowOff>
    </xdr:from>
    <xdr:to>
      <xdr:col>22</xdr:col>
      <xdr:colOff>552450</xdr:colOff>
      <xdr:row>146</xdr:row>
      <xdr:rowOff>25400</xdr:rowOff>
    </xdr:to>
    <xdr:graphicFrame macro="">
      <xdr:nvGraphicFramePr>
        <xdr:cNvPr id="105" name="Chart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0</xdr:col>
      <xdr:colOff>0</xdr:colOff>
      <xdr:row>958</xdr:row>
      <xdr:rowOff>0</xdr:rowOff>
    </xdr:from>
    <xdr:to>
      <xdr:col>10</xdr:col>
      <xdr:colOff>533400</xdr:colOff>
      <xdr:row>984</xdr:row>
      <xdr:rowOff>76200</xdr:rowOff>
    </xdr:to>
    <xdr:graphicFrame macro="">
      <xdr:nvGraphicFramePr>
        <xdr:cNvPr id="109" name="Chart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11</xdr:col>
      <xdr:colOff>495300</xdr:colOff>
      <xdr:row>958</xdr:row>
      <xdr:rowOff>0</xdr:rowOff>
    </xdr:from>
    <xdr:to>
      <xdr:col>22</xdr:col>
      <xdr:colOff>419100</xdr:colOff>
      <xdr:row>984</xdr:row>
      <xdr:rowOff>76200</xdr:rowOff>
    </xdr:to>
    <xdr:graphicFrame macro="">
      <xdr:nvGraphicFramePr>
        <xdr:cNvPr id="110" name="Chart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23</xdr:col>
      <xdr:colOff>171450</xdr:colOff>
      <xdr:row>958</xdr:row>
      <xdr:rowOff>19050</xdr:rowOff>
    </xdr:from>
    <xdr:to>
      <xdr:col>34</xdr:col>
      <xdr:colOff>95250</xdr:colOff>
      <xdr:row>984</xdr:row>
      <xdr:rowOff>95250</xdr:rowOff>
    </xdr:to>
    <xdr:graphicFrame macro="">
      <xdr:nvGraphicFramePr>
        <xdr:cNvPr id="111" name="Chart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35</xdr:col>
      <xdr:colOff>552450</xdr:colOff>
      <xdr:row>265</xdr:row>
      <xdr:rowOff>101600</xdr:rowOff>
    </xdr:from>
    <xdr:to>
      <xdr:col>46</xdr:col>
      <xdr:colOff>476250</xdr:colOff>
      <xdr:row>292</xdr:row>
      <xdr:rowOff>50800</xdr:rowOff>
    </xdr:to>
    <xdr:graphicFrame macro="">
      <xdr:nvGraphicFramePr>
        <xdr:cNvPr id="106" name="Chart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47</xdr:col>
      <xdr:colOff>222250</xdr:colOff>
      <xdr:row>265</xdr:row>
      <xdr:rowOff>76200</xdr:rowOff>
    </xdr:from>
    <xdr:to>
      <xdr:col>58</xdr:col>
      <xdr:colOff>146050</xdr:colOff>
      <xdr:row>292</xdr:row>
      <xdr:rowOff>25400</xdr:rowOff>
    </xdr:to>
    <xdr:graphicFrame macro="">
      <xdr:nvGraphicFramePr>
        <xdr:cNvPr id="107" name="Chart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59</xdr:col>
      <xdr:colOff>222250</xdr:colOff>
      <xdr:row>265</xdr:row>
      <xdr:rowOff>76200</xdr:rowOff>
    </xdr:from>
    <xdr:to>
      <xdr:col>70</xdr:col>
      <xdr:colOff>146050</xdr:colOff>
      <xdr:row>292</xdr:row>
      <xdr:rowOff>25400</xdr:rowOff>
    </xdr:to>
    <xdr:graphicFrame macro="">
      <xdr:nvGraphicFramePr>
        <xdr:cNvPr id="108" name="Chart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195580</xdr:colOff>
      <xdr:row>1</xdr:row>
      <xdr:rowOff>25400</xdr:rowOff>
    </xdr:from>
    <xdr:to>
      <xdr:col>47</xdr:col>
      <xdr:colOff>594360</xdr:colOff>
      <xdr:row>65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19</xdr:col>
      <xdr:colOff>464820</xdr:colOff>
      <xdr:row>30</xdr:row>
      <xdr:rowOff>99060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60960</xdr:rowOff>
    </xdr:from>
    <xdr:to>
      <xdr:col>19</xdr:col>
      <xdr:colOff>388620</xdr:colOff>
      <xdr:row>32</xdr:row>
      <xdr:rowOff>53340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53340</xdr:rowOff>
    </xdr:from>
    <xdr:to>
      <xdr:col>19</xdr:col>
      <xdr:colOff>342900</xdr:colOff>
      <xdr:row>32</xdr:row>
      <xdr:rowOff>106680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9"/>
  <sheetViews>
    <sheetView tabSelected="1" workbookViewId="0">
      <selection activeCell="D25" sqref="D25"/>
    </sheetView>
  </sheetViews>
  <sheetFormatPr defaultRowHeight="13.2" x14ac:dyDescent="0.25"/>
  <cols>
    <col min="1" max="16384" width="8.88671875" style="10"/>
  </cols>
  <sheetData>
    <row r="1" spans="1:1" x14ac:dyDescent="0.25">
      <c r="A1" s="10" t="s">
        <v>38</v>
      </c>
    </row>
    <row r="2" spans="1:1" x14ac:dyDescent="0.25">
      <c r="A2" s="10" t="s">
        <v>40</v>
      </c>
    </row>
    <row r="4" spans="1:1" x14ac:dyDescent="0.25">
      <c r="A4" s="10" t="s">
        <v>53</v>
      </c>
    </row>
    <row r="5" spans="1:1" x14ac:dyDescent="0.25">
      <c r="A5" s="10" t="s">
        <v>45</v>
      </c>
    </row>
    <row r="7" spans="1:1" x14ac:dyDescent="0.25">
      <c r="A7" s="10" t="s">
        <v>46</v>
      </c>
    </row>
    <row r="9" spans="1:1" x14ac:dyDescent="0.25">
      <c r="A9" s="10" t="s">
        <v>39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DB255"/>
  <sheetViews>
    <sheetView zoomScale="60" zoomScaleNormal="60" workbookViewId="0">
      <pane xSplit="2" ySplit="5" topLeftCell="CR6" activePane="bottomRight" state="frozen"/>
      <selection activeCell="CE20" sqref="CE20"/>
      <selection pane="topRight" activeCell="CE20" sqref="CE20"/>
      <selection pane="bottomLeft" activeCell="CE20" sqref="CE20"/>
      <selection pane="bottomRight" activeCell="CZ1" sqref="CZ1:DB1048576"/>
    </sheetView>
  </sheetViews>
  <sheetFormatPr defaultRowHeight="13.2" x14ac:dyDescent="0.25"/>
  <cols>
    <col min="2" max="2" width="12.33203125" bestFit="1" customWidth="1"/>
    <col min="3" max="3" width="12" customWidth="1"/>
    <col min="4" max="4" width="17.109375" customWidth="1"/>
    <col min="5" max="18" width="12" customWidth="1"/>
    <col min="19" max="19" width="11.33203125" customWidth="1"/>
    <col min="20" max="33" width="12" customWidth="1"/>
    <col min="34" max="34" width="14.44140625" customWidth="1"/>
    <col min="35" max="37" width="12" customWidth="1"/>
    <col min="38" max="40" width="13.77734375" customWidth="1"/>
    <col min="41" max="41" width="13.44140625" customWidth="1"/>
    <col min="42" max="94" width="12" customWidth="1"/>
    <col min="95" max="95" width="12.88671875" customWidth="1"/>
    <col min="96" max="96" width="13.33203125" customWidth="1"/>
    <col min="97" max="97" width="14" customWidth="1"/>
    <col min="98" max="100" width="12" customWidth="1"/>
    <col min="101" max="103" width="13.5546875" customWidth="1"/>
    <col min="104" max="106" width="12.44140625" customWidth="1"/>
  </cols>
  <sheetData>
    <row r="1" spans="1:106" s="13" customFormat="1" x14ac:dyDescent="0.25"/>
    <row r="2" spans="1:106" s="2" customFormat="1" ht="39" customHeight="1" x14ac:dyDescent="0.25">
      <c r="B2" s="5" t="s">
        <v>29</v>
      </c>
      <c r="C2" s="7" t="s">
        <v>1</v>
      </c>
      <c r="D2" s="7" t="s">
        <v>1</v>
      </c>
      <c r="E2" s="7" t="s">
        <v>0</v>
      </c>
      <c r="F2" s="7" t="s">
        <v>0</v>
      </c>
      <c r="G2" s="7" t="s">
        <v>0</v>
      </c>
      <c r="H2" s="7" t="s">
        <v>24</v>
      </c>
      <c r="I2" s="7" t="s">
        <v>24</v>
      </c>
      <c r="J2" s="7" t="s">
        <v>24</v>
      </c>
      <c r="K2" s="7" t="s">
        <v>25</v>
      </c>
      <c r="L2" s="7" t="s">
        <v>25</v>
      </c>
      <c r="M2" s="7" t="s">
        <v>25</v>
      </c>
      <c r="N2" s="7" t="s">
        <v>41</v>
      </c>
      <c r="O2" s="7" t="s">
        <v>41</v>
      </c>
      <c r="P2" s="7" t="s">
        <v>41</v>
      </c>
      <c r="Q2" s="7" t="s">
        <v>26</v>
      </c>
      <c r="R2" s="7" t="s">
        <v>26</v>
      </c>
      <c r="S2" s="7" t="s">
        <v>26</v>
      </c>
      <c r="T2" s="7" t="s">
        <v>2</v>
      </c>
      <c r="U2" s="7" t="s">
        <v>2</v>
      </c>
      <c r="V2" s="7" t="s">
        <v>2</v>
      </c>
      <c r="W2" s="7" t="s">
        <v>4</v>
      </c>
      <c r="X2" s="7" t="s">
        <v>4</v>
      </c>
      <c r="Y2" s="7" t="s">
        <v>4</v>
      </c>
      <c r="Z2" s="7" t="s">
        <v>42</v>
      </c>
      <c r="AA2" s="7" t="s">
        <v>42</v>
      </c>
      <c r="AB2" s="7" t="s">
        <v>42</v>
      </c>
      <c r="AC2" s="7" t="s">
        <v>43</v>
      </c>
      <c r="AD2" s="7" t="s">
        <v>43</v>
      </c>
      <c r="AE2" s="7" t="s">
        <v>43</v>
      </c>
      <c r="AF2" s="7" t="s">
        <v>44</v>
      </c>
      <c r="AG2" s="7" t="s">
        <v>44</v>
      </c>
      <c r="AH2" s="7" t="s">
        <v>44</v>
      </c>
      <c r="AI2" s="7" t="s">
        <v>11</v>
      </c>
      <c r="AJ2" s="7" t="s">
        <v>11</v>
      </c>
      <c r="AK2" s="7" t="s">
        <v>11</v>
      </c>
      <c r="AL2" s="7" t="s">
        <v>12</v>
      </c>
      <c r="AM2" s="7" t="s">
        <v>12</v>
      </c>
      <c r="AN2" s="7" t="s">
        <v>12</v>
      </c>
      <c r="AO2" s="7" t="s">
        <v>28</v>
      </c>
      <c r="AP2" s="7" t="s">
        <v>28</v>
      </c>
      <c r="AQ2" s="7" t="s">
        <v>28</v>
      </c>
      <c r="AR2" s="7" t="s">
        <v>37</v>
      </c>
      <c r="AS2" s="7" t="s">
        <v>37</v>
      </c>
      <c r="AT2" s="7" t="s">
        <v>48</v>
      </c>
      <c r="AU2" s="7" t="s">
        <v>3</v>
      </c>
      <c r="AV2" s="7" t="s">
        <v>3</v>
      </c>
      <c r="AW2" s="7" t="s">
        <v>3</v>
      </c>
      <c r="AX2" s="7" t="s">
        <v>9</v>
      </c>
      <c r="AY2" s="7" t="s">
        <v>9</v>
      </c>
      <c r="AZ2" s="7" t="s">
        <v>9</v>
      </c>
      <c r="BA2" s="7" t="s">
        <v>20</v>
      </c>
      <c r="BB2" s="7" t="s">
        <v>20</v>
      </c>
      <c r="BC2" s="7" t="s">
        <v>20</v>
      </c>
      <c r="BD2" s="7" t="s">
        <v>34</v>
      </c>
      <c r="BE2" s="7" t="s">
        <v>34</v>
      </c>
      <c r="BF2" s="7" t="s">
        <v>34</v>
      </c>
      <c r="BG2" s="7" t="s">
        <v>15</v>
      </c>
      <c r="BH2" s="7" t="s">
        <v>15</v>
      </c>
      <c r="BI2" s="7" t="s">
        <v>15</v>
      </c>
      <c r="BJ2" s="7" t="s">
        <v>16</v>
      </c>
      <c r="BK2" s="7" t="s">
        <v>16</v>
      </c>
      <c r="BL2" s="7" t="s">
        <v>16</v>
      </c>
      <c r="BM2" s="7" t="s">
        <v>17</v>
      </c>
      <c r="BN2" s="7" t="s">
        <v>17</v>
      </c>
      <c r="BO2" s="7" t="s">
        <v>17</v>
      </c>
      <c r="BP2" s="7" t="s">
        <v>6</v>
      </c>
      <c r="BQ2" s="7" t="s">
        <v>6</v>
      </c>
      <c r="BR2" s="7" t="s">
        <v>6</v>
      </c>
      <c r="BS2" s="7" t="s">
        <v>19</v>
      </c>
      <c r="BT2" s="7" t="s">
        <v>19</v>
      </c>
      <c r="BU2" s="7" t="s">
        <v>19</v>
      </c>
      <c r="BV2" s="7" t="s">
        <v>35</v>
      </c>
      <c r="BW2" s="7" t="s">
        <v>35</v>
      </c>
      <c r="BX2" s="7" t="s">
        <v>35</v>
      </c>
      <c r="BY2" s="7" t="s">
        <v>21</v>
      </c>
      <c r="BZ2" s="7" t="s">
        <v>21</v>
      </c>
      <c r="CA2" s="7" t="s">
        <v>21</v>
      </c>
      <c r="CB2" s="7" t="s">
        <v>22</v>
      </c>
      <c r="CC2" s="7" t="s">
        <v>22</v>
      </c>
      <c r="CD2" s="7" t="s">
        <v>22</v>
      </c>
      <c r="CE2" s="7" t="s">
        <v>23</v>
      </c>
      <c r="CF2" s="7" t="s">
        <v>23</v>
      </c>
      <c r="CG2" s="7" t="s">
        <v>23</v>
      </c>
      <c r="CH2" s="7" t="s">
        <v>18</v>
      </c>
      <c r="CI2" s="7" t="s">
        <v>18</v>
      </c>
      <c r="CJ2" s="7" t="s">
        <v>18</v>
      </c>
      <c r="CK2" s="7" t="s">
        <v>5</v>
      </c>
      <c r="CL2" s="7" t="s">
        <v>5</v>
      </c>
      <c r="CM2" s="7" t="s">
        <v>5</v>
      </c>
      <c r="CN2" s="7" t="s">
        <v>27</v>
      </c>
      <c r="CO2" s="7" t="s">
        <v>27</v>
      </c>
      <c r="CP2" s="7" t="s">
        <v>27</v>
      </c>
      <c r="CQ2" s="7" t="s">
        <v>13</v>
      </c>
      <c r="CR2" s="7" t="s">
        <v>13</v>
      </c>
      <c r="CS2" s="7" t="s">
        <v>13</v>
      </c>
      <c r="CT2" s="7" t="s">
        <v>14</v>
      </c>
      <c r="CU2" s="7" t="s">
        <v>14</v>
      </c>
      <c r="CV2" s="7" t="s">
        <v>14</v>
      </c>
      <c r="CW2" s="7" t="s">
        <v>36</v>
      </c>
      <c r="CX2" s="7" t="s">
        <v>36</v>
      </c>
      <c r="CY2" s="7" t="s">
        <v>36</v>
      </c>
      <c r="CZ2" s="7" t="s">
        <v>54</v>
      </c>
      <c r="DA2" s="7" t="s">
        <v>54</v>
      </c>
      <c r="DB2" s="7" t="s">
        <v>54</v>
      </c>
    </row>
    <row r="3" spans="1:106" x14ac:dyDescent="0.25">
      <c r="B3" s="5" t="s">
        <v>31</v>
      </c>
      <c r="C3" s="7" t="s">
        <v>50</v>
      </c>
      <c r="D3" s="7" t="s">
        <v>50</v>
      </c>
      <c r="E3" s="7" t="s">
        <v>50</v>
      </c>
      <c r="F3" s="7" t="s">
        <v>50</v>
      </c>
      <c r="G3" s="7" t="s">
        <v>50</v>
      </c>
      <c r="H3" s="7" t="s">
        <v>50</v>
      </c>
      <c r="I3" s="7" t="s">
        <v>50</v>
      </c>
      <c r="J3" s="7" t="s">
        <v>50</v>
      </c>
      <c r="K3" s="7" t="s">
        <v>50</v>
      </c>
      <c r="L3" s="7" t="s">
        <v>50</v>
      </c>
      <c r="M3" s="7" t="s">
        <v>50</v>
      </c>
      <c r="N3" s="7" t="s">
        <v>50</v>
      </c>
      <c r="O3" s="7" t="s">
        <v>50</v>
      </c>
      <c r="P3" s="7" t="s">
        <v>50</v>
      </c>
      <c r="Q3" s="7" t="s">
        <v>50</v>
      </c>
      <c r="R3" s="7" t="s">
        <v>50</v>
      </c>
      <c r="S3" s="7" t="s">
        <v>50</v>
      </c>
      <c r="T3" s="7" t="s">
        <v>50</v>
      </c>
      <c r="U3" s="7" t="s">
        <v>50</v>
      </c>
      <c r="V3" s="7" t="s">
        <v>50</v>
      </c>
      <c r="W3" s="7" t="s">
        <v>50</v>
      </c>
      <c r="X3" s="7" t="s">
        <v>50</v>
      </c>
      <c r="Y3" s="7" t="s">
        <v>50</v>
      </c>
      <c r="Z3" s="7" t="s">
        <v>50</v>
      </c>
      <c r="AA3" s="7" t="s">
        <v>50</v>
      </c>
      <c r="AB3" s="7" t="s">
        <v>50</v>
      </c>
      <c r="AC3" s="7" t="s">
        <v>50</v>
      </c>
      <c r="AD3" s="7" t="s">
        <v>50</v>
      </c>
      <c r="AE3" s="7" t="s">
        <v>50</v>
      </c>
      <c r="AF3" s="7" t="s">
        <v>50</v>
      </c>
      <c r="AG3" s="7" t="s">
        <v>50</v>
      </c>
      <c r="AH3" s="7" t="s">
        <v>50</v>
      </c>
      <c r="AI3" s="7" t="s">
        <v>50</v>
      </c>
      <c r="AJ3" s="7" t="s">
        <v>50</v>
      </c>
      <c r="AK3" s="7" t="s">
        <v>50</v>
      </c>
      <c r="AL3" s="7" t="s">
        <v>50</v>
      </c>
      <c r="AM3" s="7" t="s">
        <v>50</v>
      </c>
      <c r="AN3" s="7" t="s">
        <v>50</v>
      </c>
      <c r="AO3" s="7" t="s">
        <v>50</v>
      </c>
      <c r="AP3" s="7" t="s">
        <v>50</v>
      </c>
      <c r="AQ3" s="7" t="s">
        <v>50</v>
      </c>
      <c r="AR3" s="7" t="s">
        <v>50</v>
      </c>
      <c r="AS3" s="7" t="s">
        <v>50</v>
      </c>
      <c r="AT3" s="7" t="s">
        <v>50</v>
      </c>
      <c r="AU3" s="7" t="s">
        <v>50</v>
      </c>
      <c r="AV3" s="7" t="s">
        <v>50</v>
      </c>
      <c r="AW3" s="7" t="s">
        <v>50</v>
      </c>
      <c r="AX3" s="7" t="s">
        <v>50</v>
      </c>
      <c r="AY3" s="7" t="s">
        <v>50</v>
      </c>
      <c r="AZ3" s="7" t="s">
        <v>50</v>
      </c>
      <c r="BA3" s="7" t="s">
        <v>50</v>
      </c>
      <c r="BB3" s="7" t="s">
        <v>50</v>
      </c>
      <c r="BC3" s="7" t="s">
        <v>50</v>
      </c>
      <c r="BD3" s="7" t="s">
        <v>50</v>
      </c>
      <c r="BE3" s="7" t="s">
        <v>50</v>
      </c>
      <c r="BF3" s="7" t="s">
        <v>50</v>
      </c>
      <c r="BG3" s="7" t="s">
        <v>50</v>
      </c>
      <c r="BH3" s="7" t="s">
        <v>50</v>
      </c>
      <c r="BI3" s="7" t="s">
        <v>50</v>
      </c>
      <c r="BJ3" s="7" t="s">
        <v>50</v>
      </c>
      <c r="BK3" s="7" t="s">
        <v>50</v>
      </c>
      <c r="BL3" s="7" t="s">
        <v>50</v>
      </c>
      <c r="BM3" s="7" t="s">
        <v>50</v>
      </c>
      <c r="BN3" s="7" t="s">
        <v>50</v>
      </c>
      <c r="BO3" s="7" t="s">
        <v>50</v>
      </c>
      <c r="BP3" s="7" t="s">
        <v>50</v>
      </c>
      <c r="BQ3" s="7" t="s">
        <v>50</v>
      </c>
      <c r="BR3" s="7" t="s">
        <v>50</v>
      </c>
      <c r="BS3" s="7" t="s">
        <v>50</v>
      </c>
      <c r="BT3" s="7" t="s">
        <v>50</v>
      </c>
      <c r="BU3" s="7" t="s">
        <v>50</v>
      </c>
      <c r="BV3" s="7" t="s">
        <v>50</v>
      </c>
      <c r="BW3" s="7" t="s">
        <v>50</v>
      </c>
      <c r="BX3" s="7" t="s">
        <v>50</v>
      </c>
      <c r="BY3" s="7" t="s">
        <v>50</v>
      </c>
      <c r="BZ3" s="7" t="s">
        <v>50</v>
      </c>
      <c r="CA3" s="7" t="s">
        <v>50</v>
      </c>
      <c r="CB3" s="7" t="s">
        <v>50</v>
      </c>
      <c r="CC3" s="7" t="s">
        <v>50</v>
      </c>
      <c r="CD3" s="7" t="s">
        <v>50</v>
      </c>
      <c r="CE3" s="7" t="s">
        <v>50</v>
      </c>
      <c r="CF3" s="7" t="s">
        <v>50</v>
      </c>
      <c r="CG3" s="7" t="s">
        <v>50</v>
      </c>
      <c r="CH3" s="7" t="s">
        <v>50</v>
      </c>
      <c r="CI3" s="7" t="s">
        <v>50</v>
      </c>
      <c r="CJ3" s="7" t="s">
        <v>50</v>
      </c>
      <c r="CK3" s="7" t="s">
        <v>50</v>
      </c>
      <c r="CL3" s="7" t="s">
        <v>50</v>
      </c>
      <c r="CM3" s="7" t="s">
        <v>50</v>
      </c>
      <c r="CN3" s="7" t="s">
        <v>50</v>
      </c>
      <c r="CO3" s="7" t="s">
        <v>50</v>
      </c>
      <c r="CP3" s="7" t="s">
        <v>50</v>
      </c>
      <c r="CQ3" s="7" t="s">
        <v>50</v>
      </c>
      <c r="CR3" s="7" t="s">
        <v>50</v>
      </c>
      <c r="CS3" s="7" t="s">
        <v>50</v>
      </c>
      <c r="CT3" s="7" t="s">
        <v>50</v>
      </c>
      <c r="CU3" s="7" t="s">
        <v>50</v>
      </c>
      <c r="CV3" s="7" t="s">
        <v>50</v>
      </c>
      <c r="CW3" s="7" t="s">
        <v>50</v>
      </c>
      <c r="CX3" s="7" t="s">
        <v>50</v>
      </c>
      <c r="CY3" s="7" t="s">
        <v>50</v>
      </c>
      <c r="CZ3" s="7" t="s">
        <v>50</v>
      </c>
      <c r="DA3" s="7" t="s">
        <v>50</v>
      </c>
      <c r="DB3" s="7" t="s">
        <v>50</v>
      </c>
    </row>
    <row r="4" spans="1:106" s="2" customFormat="1" ht="27" customHeight="1" x14ac:dyDescent="0.25">
      <c r="B4" s="5" t="s">
        <v>30</v>
      </c>
      <c r="C4" s="5" t="s">
        <v>8</v>
      </c>
      <c r="D4" s="5" t="s">
        <v>7</v>
      </c>
      <c r="E4" s="5" t="s">
        <v>8</v>
      </c>
      <c r="F4" s="7" t="s">
        <v>7</v>
      </c>
      <c r="G4" s="5" t="s">
        <v>10</v>
      </c>
      <c r="H4" s="5" t="s">
        <v>8</v>
      </c>
      <c r="I4" s="5" t="s">
        <v>7</v>
      </c>
      <c r="J4" s="5" t="s">
        <v>10</v>
      </c>
      <c r="K4" s="5" t="s">
        <v>8</v>
      </c>
      <c r="L4" s="5" t="s">
        <v>7</v>
      </c>
      <c r="M4" s="5" t="s">
        <v>10</v>
      </c>
      <c r="N4" s="5" t="s">
        <v>8</v>
      </c>
      <c r="O4" s="5" t="s">
        <v>7</v>
      </c>
      <c r="P4" s="5" t="s">
        <v>10</v>
      </c>
      <c r="Q4" s="5" t="s">
        <v>8</v>
      </c>
      <c r="R4" s="5" t="s">
        <v>7</v>
      </c>
      <c r="S4" s="5" t="s">
        <v>10</v>
      </c>
      <c r="T4" s="5" t="s">
        <v>8</v>
      </c>
      <c r="U4" s="5" t="s">
        <v>7</v>
      </c>
      <c r="V4" s="5" t="s">
        <v>10</v>
      </c>
      <c r="W4" s="5" t="s">
        <v>8</v>
      </c>
      <c r="X4" s="5" t="s">
        <v>7</v>
      </c>
      <c r="Y4" s="5" t="s">
        <v>10</v>
      </c>
      <c r="Z4" s="5" t="s">
        <v>8</v>
      </c>
      <c r="AA4" s="5" t="s">
        <v>7</v>
      </c>
      <c r="AB4" s="5" t="s">
        <v>10</v>
      </c>
      <c r="AC4" s="5" t="s">
        <v>8</v>
      </c>
      <c r="AD4" s="5" t="s">
        <v>7</v>
      </c>
      <c r="AE4" s="5" t="s">
        <v>10</v>
      </c>
      <c r="AF4" s="5" t="s">
        <v>8</v>
      </c>
      <c r="AG4" s="5" t="s">
        <v>7</v>
      </c>
      <c r="AH4" s="5" t="s">
        <v>10</v>
      </c>
      <c r="AI4" s="5" t="s">
        <v>8</v>
      </c>
      <c r="AJ4" s="5" t="s">
        <v>7</v>
      </c>
      <c r="AK4" s="5" t="s">
        <v>10</v>
      </c>
      <c r="AL4" s="5" t="s">
        <v>8</v>
      </c>
      <c r="AM4" s="5" t="s">
        <v>7</v>
      </c>
      <c r="AN4" s="5" t="s">
        <v>10</v>
      </c>
      <c r="AO4" s="5" t="s">
        <v>8</v>
      </c>
      <c r="AP4" s="5" t="s">
        <v>7</v>
      </c>
      <c r="AQ4" s="5" t="s">
        <v>10</v>
      </c>
      <c r="AR4" s="5" t="s">
        <v>8</v>
      </c>
      <c r="AS4" s="5" t="s">
        <v>7</v>
      </c>
      <c r="AT4" s="5"/>
      <c r="AU4" s="5"/>
      <c r="AV4" s="5" t="s">
        <v>7</v>
      </c>
      <c r="AW4" s="5"/>
      <c r="AX4" s="5" t="s">
        <v>8</v>
      </c>
      <c r="AY4" s="5" t="s">
        <v>7</v>
      </c>
      <c r="AZ4" s="5" t="s">
        <v>10</v>
      </c>
      <c r="BA4" s="5" t="s">
        <v>8</v>
      </c>
      <c r="BB4" s="5" t="s">
        <v>7</v>
      </c>
      <c r="BC4" s="5" t="s">
        <v>10</v>
      </c>
      <c r="BD4" s="5" t="s">
        <v>8</v>
      </c>
      <c r="BE4" s="5" t="s">
        <v>7</v>
      </c>
      <c r="BF4" s="5" t="s">
        <v>10</v>
      </c>
      <c r="BG4" s="5" t="s">
        <v>8</v>
      </c>
      <c r="BH4" s="5" t="s">
        <v>7</v>
      </c>
      <c r="BI4" s="5" t="s">
        <v>10</v>
      </c>
      <c r="BJ4" s="5" t="s">
        <v>8</v>
      </c>
      <c r="BK4" s="5" t="s">
        <v>7</v>
      </c>
      <c r="BL4" s="5" t="s">
        <v>10</v>
      </c>
      <c r="BM4" s="5" t="s">
        <v>8</v>
      </c>
      <c r="BN4" s="5" t="s">
        <v>7</v>
      </c>
      <c r="BO4" s="5" t="s">
        <v>10</v>
      </c>
      <c r="BP4" s="5" t="s">
        <v>8</v>
      </c>
      <c r="BQ4" s="5" t="s">
        <v>7</v>
      </c>
      <c r="BR4" s="5" t="s">
        <v>10</v>
      </c>
      <c r="BS4" s="5" t="s">
        <v>8</v>
      </c>
      <c r="BT4" s="5" t="s">
        <v>7</v>
      </c>
      <c r="BU4" s="5" t="s">
        <v>10</v>
      </c>
      <c r="BV4" s="5" t="s">
        <v>8</v>
      </c>
      <c r="BW4" s="5" t="s">
        <v>7</v>
      </c>
      <c r="BX4" s="5" t="s">
        <v>10</v>
      </c>
      <c r="BY4" s="5" t="s">
        <v>8</v>
      </c>
      <c r="BZ4" s="5" t="s">
        <v>7</v>
      </c>
      <c r="CA4" s="5" t="s">
        <v>10</v>
      </c>
      <c r="CB4" s="5" t="s">
        <v>8</v>
      </c>
      <c r="CC4" s="5" t="s">
        <v>7</v>
      </c>
      <c r="CD4" s="5" t="s">
        <v>10</v>
      </c>
      <c r="CE4" s="5" t="s">
        <v>8</v>
      </c>
      <c r="CF4" s="5" t="s">
        <v>7</v>
      </c>
      <c r="CG4" s="5" t="s">
        <v>10</v>
      </c>
      <c r="CH4" s="5" t="s">
        <v>8</v>
      </c>
      <c r="CI4" s="5" t="s">
        <v>7</v>
      </c>
      <c r="CJ4" s="5" t="s">
        <v>10</v>
      </c>
      <c r="CK4" s="5" t="s">
        <v>8</v>
      </c>
      <c r="CL4" s="5" t="s">
        <v>7</v>
      </c>
      <c r="CM4" s="5" t="s">
        <v>10</v>
      </c>
      <c r="CN4" s="5" t="s">
        <v>8</v>
      </c>
      <c r="CO4" s="5" t="s">
        <v>7</v>
      </c>
      <c r="CP4" s="5" t="s">
        <v>10</v>
      </c>
      <c r="CQ4" s="5" t="s">
        <v>8</v>
      </c>
      <c r="CR4" s="5" t="s">
        <v>7</v>
      </c>
      <c r="CS4" s="5" t="s">
        <v>10</v>
      </c>
      <c r="CT4" s="5" t="s">
        <v>8</v>
      </c>
      <c r="CU4" s="5" t="s">
        <v>7</v>
      </c>
      <c r="CV4" s="5" t="s">
        <v>10</v>
      </c>
      <c r="CW4" s="5" t="s">
        <v>8</v>
      </c>
      <c r="CX4" s="5" t="s">
        <v>7</v>
      </c>
      <c r="CY4" s="5" t="s">
        <v>10</v>
      </c>
      <c r="CZ4" s="5" t="s">
        <v>8</v>
      </c>
      <c r="DA4" s="5" t="s">
        <v>7</v>
      </c>
      <c r="DB4" s="5" t="s">
        <v>55</v>
      </c>
    </row>
    <row r="5" spans="1:106" s="9" customFormat="1" x14ac:dyDescent="0.25">
      <c r="A5" s="4" t="s">
        <v>33</v>
      </c>
      <c r="B5" s="4" t="s">
        <v>32</v>
      </c>
      <c r="C5" s="6" t="s">
        <v>47</v>
      </c>
      <c r="D5" s="6" t="s">
        <v>47</v>
      </c>
      <c r="E5" s="6" t="s">
        <v>47</v>
      </c>
      <c r="F5" s="6" t="s">
        <v>47</v>
      </c>
      <c r="G5" s="6" t="s">
        <v>47</v>
      </c>
      <c r="H5" s="6" t="s">
        <v>47</v>
      </c>
      <c r="I5" s="6" t="s">
        <v>47</v>
      </c>
      <c r="J5" s="6" t="s">
        <v>47</v>
      </c>
      <c r="K5" s="6" t="s">
        <v>47</v>
      </c>
      <c r="L5" s="6" t="s">
        <v>47</v>
      </c>
      <c r="M5" s="6" t="s">
        <v>47</v>
      </c>
      <c r="N5" s="6" t="s">
        <v>47</v>
      </c>
      <c r="O5" s="6" t="s">
        <v>47</v>
      </c>
      <c r="P5" s="6" t="s">
        <v>47</v>
      </c>
      <c r="Q5" s="6" t="s">
        <v>47</v>
      </c>
      <c r="R5" s="6" t="s">
        <v>47</v>
      </c>
      <c r="S5" s="6" t="s">
        <v>47</v>
      </c>
      <c r="T5" s="6" t="s">
        <v>47</v>
      </c>
      <c r="U5" s="6" t="s">
        <v>47</v>
      </c>
      <c r="V5" s="6" t="s">
        <v>47</v>
      </c>
      <c r="W5" s="6" t="s">
        <v>47</v>
      </c>
      <c r="X5" s="6" t="s">
        <v>47</v>
      </c>
      <c r="Y5" s="6" t="s">
        <v>47</v>
      </c>
      <c r="Z5" s="6" t="s">
        <v>47</v>
      </c>
      <c r="AA5" s="6" t="s">
        <v>47</v>
      </c>
      <c r="AB5" s="6" t="s">
        <v>47</v>
      </c>
      <c r="AC5" s="6" t="s">
        <v>47</v>
      </c>
      <c r="AD5" s="6" t="s">
        <v>47</v>
      </c>
      <c r="AE5" s="6" t="s">
        <v>47</v>
      </c>
      <c r="AF5" s="6" t="s">
        <v>47</v>
      </c>
      <c r="AG5" s="6" t="s">
        <v>47</v>
      </c>
      <c r="AH5" s="6" t="s">
        <v>47</v>
      </c>
      <c r="AI5" s="6" t="s">
        <v>47</v>
      </c>
      <c r="AJ5" s="6" t="s">
        <v>47</v>
      </c>
      <c r="AK5" s="6" t="s">
        <v>47</v>
      </c>
      <c r="AL5" s="6" t="s">
        <v>47</v>
      </c>
      <c r="AM5" s="6" t="s">
        <v>47</v>
      </c>
      <c r="AN5" s="6" t="s">
        <v>47</v>
      </c>
      <c r="AO5" s="6" t="s">
        <v>47</v>
      </c>
      <c r="AP5" s="6" t="s">
        <v>47</v>
      </c>
      <c r="AQ5" s="6" t="s">
        <v>47</v>
      </c>
      <c r="AR5" s="6" t="s">
        <v>47</v>
      </c>
      <c r="AS5" s="6" t="s">
        <v>47</v>
      </c>
      <c r="AT5" s="6" t="s">
        <v>47</v>
      </c>
      <c r="AU5" s="6" t="s">
        <v>47</v>
      </c>
      <c r="AV5" s="6" t="s">
        <v>47</v>
      </c>
      <c r="AW5" s="6" t="s">
        <v>47</v>
      </c>
      <c r="AX5" s="6" t="s">
        <v>47</v>
      </c>
      <c r="AY5" s="6" t="s">
        <v>47</v>
      </c>
      <c r="AZ5" s="6" t="s">
        <v>47</v>
      </c>
      <c r="BA5" s="6" t="s">
        <v>47</v>
      </c>
      <c r="BB5" s="6" t="s">
        <v>47</v>
      </c>
      <c r="BC5" s="6" t="s">
        <v>47</v>
      </c>
      <c r="BD5" s="6" t="s">
        <v>47</v>
      </c>
      <c r="BE5" s="6" t="s">
        <v>47</v>
      </c>
      <c r="BF5" s="6" t="s">
        <v>47</v>
      </c>
      <c r="BG5" s="6" t="s">
        <v>47</v>
      </c>
      <c r="BH5" s="6" t="s">
        <v>47</v>
      </c>
      <c r="BI5" s="6" t="s">
        <v>47</v>
      </c>
      <c r="BJ5" s="6" t="s">
        <v>47</v>
      </c>
      <c r="BK5" s="6" t="s">
        <v>47</v>
      </c>
      <c r="BL5" s="6" t="s">
        <v>47</v>
      </c>
      <c r="BM5" s="6" t="s">
        <v>47</v>
      </c>
      <c r="BN5" s="6" t="s">
        <v>47</v>
      </c>
      <c r="BO5" s="6" t="s">
        <v>47</v>
      </c>
      <c r="BP5" s="6" t="s">
        <v>47</v>
      </c>
      <c r="BQ5" s="6" t="s">
        <v>47</v>
      </c>
      <c r="BR5" s="6" t="s">
        <v>47</v>
      </c>
      <c r="BS5" s="6" t="s">
        <v>47</v>
      </c>
      <c r="BT5" s="6" t="s">
        <v>47</v>
      </c>
      <c r="BU5" s="6" t="s">
        <v>47</v>
      </c>
      <c r="BV5" s="6" t="s">
        <v>47</v>
      </c>
      <c r="BW5" s="6" t="s">
        <v>47</v>
      </c>
      <c r="BX5" s="6" t="s">
        <v>47</v>
      </c>
      <c r="BY5" s="6" t="s">
        <v>47</v>
      </c>
      <c r="BZ5" s="6" t="s">
        <v>47</v>
      </c>
      <c r="CA5" s="6" t="s">
        <v>47</v>
      </c>
      <c r="CB5" s="6" t="s">
        <v>47</v>
      </c>
      <c r="CC5" s="6" t="s">
        <v>47</v>
      </c>
      <c r="CD5" s="6" t="s">
        <v>47</v>
      </c>
      <c r="CE5" s="6" t="s">
        <v>47</v>
      </c>
      <c r="CF5" s="6" t="s">
        <v>47</v>
      </c>
      <c r="CG5" s="6" t="s">
        <v>47</v>
      </c>
      <c r="CH5" s="6" t="s">
        <v>47</v>
      </c>
      <c r="CI5" s="6" t="s">
        <v>47</v>
      </c>
      <c r="CJ5" s="6" t="s">
        <v>47</v>
      </c>
      <c r="CK5" s="6" t="s">
        <v>47</v>
      </c>
      <c r="CL5" s="6" t="s">
        <v>47</v>
      </c>
      <c r="CM5" s="6" t="s">
        <v>47</v>
      </c>
      <c r="CN5" s="6" t="s">
        <v>47</v>
      </c>
      <c r="CO5" s="6" t="s">
        <v>47</v>
      </c>
      <c r="CP5" s="6" t="s">
        <v>47</v>
      </c>
      <c r="CQ5" s="6" t="s">
        <v>47</v>
      </c>
      <c r="CR5" s="6" t="s">
        <v>47</v>
      </c>
      <c r="CS5" s="6" t="s">
        <v>47</v>
      </c>
      <c r="CT5" s="6" t="s">
        <v>47</v>
      </c>
      <c r="CU5" s="6" t="s">
        <v>47</v>
      </c>
      <c r="CV5" s="6" t="s">
        <v>47</v>
      </c>
      <c r="CW5" s="6" t="s">
        <v>47</v>
      </c>
      <c r="CX5" s="6" t="s">
        <v>47</v>
      </c>
      <c r="CY5" s="6" t="s">
        <v>47</v>
      </c>
      <c r="CZ5" s="6" t="s">
        <v>47</v>
      </c>
      <c r="DA5" s="6" t="s">
        <v>47</v>
      </c>
      <c r="DB5" s="6" t="s">
        <v>47</v>
      </c>
    </row>
    <row r="6" spans="1:106" s="2" customFormat="1" ht="54.6" hidden="1" customHeight="1" x14ac:dyDescent="0.25">
      <c r="A6" s="4" t="s">
        <v>33</v>
      </c>
      <c r="B6" s="5" t="s">
        <v>29</v>
      </c>
      <c r="C6" s="7" t="str">
        <f t="shared" ref="C6:AQ6" si="0">CONCATENATE(C2,", ",C4,", ","in ",C5)</f>
        <v>UK, Imports, in pound/ton</v>
      </c>
      <c r="D6" s="7" t="str">
        <f t="shared" si="0"/>
        <v>UK, Exports, in pound/ton</v>
      </c>
      <c r="E6" s="7" t="str">
        <f t="shared" si="0"/>
        <v>Baghdad, Imports, in pound/ton</v>
      </c>
      <c r="F6" s="7" t="str">
        <f t="shared" si="0"/>
        <v>Baghdad, Exports, in pound/ton</v>
      </c>
      <c r="G6" s="7" t="str">
        <f t="shared" si="0"/>
        <v>Baghdad, Bazaar (Local), in pound/ton</v>
      </c>
      <c r="H6" s="7" t="str">
        <f t="shared" si="0"/>
        <v>Basrah, Imports, in pound/ton</v>
      </c>
      <c r="I6" s="7" t="str">
        <f t="shared" si="0"/>
        <v>Basrah, Exports, in pound/ton</v>
      </c>
      <c r="J6" s="7" t="str">
        <f t="shared" si="0"/>
        <v>Basrah, Bazaar (Local), in pound/ton</v>
      </c>
      <c r="K6" s="7" t="str">
        <f t="shared" si="0"/>
        <v>Mosul, Imports, in pound/ton</v>
      </c>
      <c r="L6" s="7" t="str">
        <f t="shared" si="0"/>
        <v>Mosul, Exports, in pound/ton</v>
      </c>
      <c r="M6" s="7" t="str">
        <f t="shared" si="0"/>
        <v>Mosul, Bazaar (Local), in pound/ton</v>
      </c>
      <c r="N6" s="7" t="str">
        <f t="shared" si="0"/>
        <v>Egypt, Imports, in pound/ton</v>
      </c>
      <c r="O6" s="7" t="str">
        <f t="shared" si="0"/>
        <v>Egypt, Exports, in pound/ton</v>
      </c>
      <c r="P6" s="7" t="str">
        <f t="shared" si="0"/>
        <v>Egypt, Bazaar (Local), in pound/ton</v>
      </c>
      <c r="Q6" s="7" t="str">
        <f t="shared" si="0"/>
        <v>Palestine, Imports, in pound/ton</v>
      </c>
      <c r="R6" s="7" t="str">
        <f t="shared" si="0"/>
        <v>Palestine, Exports, in pound/ton</v>
      </c>
      <c r="S6" s="7" t="str">
        <f t="shared" si="0"/>
        <v>Palestine, Bazaar (Local), in pound/ton</v>
      </c>
      <c r="T6" s="7" t="str">
        <f t="shared" si="0"/>
        <v>Damascus, Imports, in pound/ton</v>
      </c>
      <c r="U6" s="7" t="str">
        <f t="shared" si="0"/>
        <v>Damascus, Exports, in pound/ton</v>
      </c>
      <c r="V6" s="7" t="str">
        <f t="shared" si="0"/>
        <v>Damascus, Bazaar (Local), in pound/ton</v>
      </c>
      <c r="W6" s="7" t="str">
        <f t="shared" si="0"/>
        <v>Beirut, Imports, in pound/ton</v>
      </c>
      <c r="X6" s="7" t="str">
        <f t="shared" si="0"/>
        <v>Beirut, Exports, in pound/ton</v>
      </c>
      <c r="Y6" s="7" t="str">
        <f t="shared" si="0"/>
        <v>Beirut, Bazaar (Local), in pound/ton</v>
      </c>
      <c r="Z6" s="7" t="str">
        <f t="shared" si="0"/>
        <v>Istanbul (Malatya), Imports, in pound/ton</v>
      </c>
      <c r="AA6" s="7" t="str">
        <f t="shared" si="0"/>
        <v>Istanbul (Malatya), Exports, in pound/ton</v>
      </c>
      <c r="AB6" s="7" t="str">
        <f t="shared" si="0"/>
        <v>Istanbul (Malatya), Bazaar (Local), in pound/ton</v>
      </c>
      <c r="AC6" s="7" t="str">
        <f t="shared" si="0"/>
        <v>Istanbul (Geyve), Imports, in pound/ton</v>
      </c>
      <c r="AD6" s="7" t="str">
        <f t="shared" si="0"/>
        <v>Istanbul (Geyve), Exports, in pound/ton</v>
      </c>
      <c r="AE6" s="7" t="str">
        <f t="shared" si="0"/>
        <v>Istanbul (Geyve), Bazaar (Local), in pound/ton</v>
      </c>
      <c r="AF6" s="7" t="str">
        <f t="shared" si="0"/>
        <v>Istanbul (Nallrihan), Imports, in pound/ton</v>
      </c>
      <c r="AG6" s="7" t="str">
        <f t="shared" si="0"/>
        <v>Istanbul (Nallrihan), Exports, in pound/ton</v>
      </c>
      <c r="AH6" s="7" t="str">
        <f t="shared" si="0"/>
        <v>Istanbul (Nallrihan), Bazaar (Local), in pound/ton</v>
      </c>
      <c r="AI6" s="7" t="str">
        <f t="shared" si="0"/>
        <v>Turkey, Imports, in pound/ton</v>
      </c>
      <c r="AJ6" s="7" t="str">
        <f t="shared" si="0"/>
        <v>Turkey, Exports, in pound/ton</v>
      </c>
      <c r="AK6" s="7" t="str">
        <f t="shared" si="0"/>
        <v>Turkey, Bazaar (Local), in pound/ton</v>
      </c>
      <c r="AL6" s="7" t="str">
        <f t="shared" si="0"/>
        <v>Constantinople, Imports, in pound/ton</v>
      </c>
      <c r="AM6" s="7" t="str">
        <f t="shared" si="0"/>
        <v>Constantinople, Exports, in pound/ton</v>
      </c>
      <c r="AN6" s="7" t="str">
        <f t="shared" si="0"/>
        <v>Constantinople, Bazaar (Local), in pound/ton</v>
      </c>
      <c r="AO6" s="7" t="str">
        <f t="shared" si="0"/>
        <v>Trebizond (Anatolia), Imports, in pound/ton</v>
      </c>
      <c r="AP6" s="7" t="str">
        <f t="shared" si="0"/>
        <v>Trebizond (Anatolia), Exports, in pound/ton</v>
      </c>
      <c r="AQ6" s="7" t="str">
        <f t="shared" si="0"/>
        <v>Trebizond (Anatolia), Bazaar (Local), in pound/ton</v>
      </c>
      <c r="AR6" s="7" t="str">
        <f t="shared" ref="AR6:BW6" si="1">CONCATENATE(AR2,", ",AR4,", ","in ",AR5)</f>
        <v>Trebizond (Persia), Imports, in pound/ton</v>
      </c>
      <c r="AS6" s="7" t="str">
        <f t="shared" si="1"/>
        <v>Trebizond (Persia), Exports, in pound/ton</v>
      </c>
      <c r="AT6" s="7" t="str">
        <f t="shared" si="1"/>
        <v>Adana, , in pound/ton</v>
      </c>
      <c r="AU6" s="7" t="str">
        <f t="shared" si="1"/>
        <v>Izmir, , in pound/ton</v>
      </c>
      <c r="AV6" s="7" t="str">
        <f t="shared" si="1"/>
        <v>Izmir, Exports, in pound/ton</v>
      </c>
      <c r="AW6" s="7" t="str">
        <f t="shared" si="1"/>
        <v>Izmir, , in pound/ton</v>
      </c>
      <c r="AX6" s="7" t="str">
        <f t="shared" si="1"/>
        <v>Alexandretta, Imports, in pound/ton</v>
      </c>
      <c r="AY6" s="7" t="str">
        <f t="shared" si="1"/>
        <v>Alexandretta, Exports, in pound/ton</v>
      </c>
      <c r="AZ6" s="7" t="str">
        <f t="shared" si="1"/>
        <v>Alexandretta, Bazaar (Local), in pound/ton</v>
      </c>
      <c r="BA6" s="7" t="str">
        <f t="shared" si="1"/>
        <v>Ispahan, Imports, in pound/ton</v>
      </c>
      <c r="BB6" s="7" t="str">
        <f t="shared" si="1"/>
        <v>Ispahan, Exports, in pound/ton</v>
      </c>
      <c r="BC6" s="7" t="str">
        <f t="shared" si="1"/>
        <v>Ispahan, Bazaar (Local), in pound/ton</v>
      </c>
      <c r="BD6" s="7" t="str">
        <f t="shared" si="1"/>
        <v>Yezd, Imports, in pound/ton</v>
      </c>
      <c r="BE6" s="7" t="str">
        <f t="shared" si="1"/>
        <v>Yezd, Exports, in pound/ton</v>
      </c>
      <c r="BF6" s="7" t="str">
        <f t="shared" si="1"/>
        <v>Yezd, Bazaar (Local), in pound/ton</v>
      </c>
      <c r="BG6" s="7" t="str">
        <f t="shared" si="1"/>
        <v>Khorasan, Imports, in pound/ton</v>
      </c>
      <c r="BH6" s="7" t="str">
        <f t="shared" si="1"/>
        <v>Khorasan, Exports, in pound/ton</v>
      </c>
      <c r="BI6" s="7" t="str">
        <f t="shared" si="1"/>
        <v>Khorasan, Bazaar (Local), in pound/ton</v>
      </c>
      <c r="BJ6" s="7" t="str">
        <f t="shared" si="1"/>
        <v>Kermanshah, Imports, in pound/ton</v>
      </c>
      <c r="BK6" s="7" t="str">
        <f t="shared" si="1"/>
        <v>Kermanshah, Exports, in pound/ton</v>
      </c>
      <c r="BL6" s="7" t="str">
        <f t="shared" si="1"/>
        <v>Kermanshah, Bazaar (Local), in pound/ton</v>
      </c>
      <c r="BM6" s="7" t="str">
        <f t="shared" si="1"/>
        <v>Kerman, Imports, in pound/ton</v>
      </c>
      <c r="BN6" s="7" t="str">
        <f t="shared" si="1"/>
        <v>Kerman, Exports, in pound/ton</v>
      </c>
      <c r="BO6" s="7" t="str">
        <f t="shared" si="1"/>
        <v>Kerman, Bazaar (Local), in pound/ton</v>
      </c>
      <c r="BP6" s="7" t="str">
        <f t="shared" si="1"/>
        <v>Bam, Imports, in pound/ton</v>
      </c>
      <c r="BQ6" s="7" t="str">
        <f t="shared" si="1"/>
        <v>Bam, Exports, in pound/ton</v>
      </c>
      <c r="BR6" s="7" t="str">
        <f t="shared" si="1"/>
        <v>Bam, Bazaar (Local), in pound/ton</v>
      </c>
      <c r="BS6" s="7" t="str">
        <f t="shared" si="1"/>
        <v>Resht, Imports, in pound/ton</v>
      </c>
      <c r="BT6" s="7" t="str">
        <f t="shared" si="1"/>
        <v>Resht, Exports, in pound/ton</v>
      </c>
      <c r="BU6" s="7" t="str">
        <f t="shared" si="1"/>
        <v>Resht, Bazaar (Local), in pound/ton</v>
      </c>
      <c r="BV6" s="7" t="str">
        <f t="shared" si="1"/>
        <v>Mazandaran, Imports, in pound/ton</v>
      </c>
      <c r="BW6" s="7" t="str">
        <f t="shared" si="1"/>
        <v>Mazandaran, Exports, in pound/ton</v>
      </c>
      <c r="BX6" s="7" t="str">
        <f t="shared" ref="BX6:DB6" si="2">CONCATENATE(BX2,", ",BX4,", ","in ",BX5)</f>
        <v>Mazandaran, Bazaar (Local), in pound/ton</v>
      </c>
      <c r="BY6" s="7" t="str">
        <f t="shared" si="2"/>
        <v>Ghilan &amp; Tunekabun, Imports, in pound/ton</v>
      </c>
      <c r="BZ6" s="7" t="str">
        <f t="shared" si="2"/>
        <v>Ghilan &amp; Tunekabun, Exports, in pound/ton</v>
      </c>
      <c r="CA6" s="7" t="str">
        <f t="shared" si="2"/>
        <v>Ghilan &amp; Tunekabun, Bazaar (Local), in pound/ton</v>
      </c>
      <c r="CB6" s="7" t="str">
        <f t="shared" si="2"/>
        <v>Bender Gez &amp; Astarabad, Imports, in pound/ton</v>
      </c>
      <c r="CC6" s="7" t="str">
        <f t="shared" si="2"/>
        <v>Bender Gez &amp; Astarabad, Exports, in pound/ton</v>
      </c>
      <c r="CD6" s="7" t="str">
        <f t="shared" si="2"/>
        <v>Bender Gez &amp; Astarabad, Bazaar (Local), in pound/ton</v>
      </c>
      <c r="CE6" s="7" t="str">
        <f t="shared" si="2"/>
        <v>Astara, Imports, in pound/ton</v>
      </c>
      <c r="CF6" s="7" t="str">
        <f t="shared" si="2"/>
        <v>Astara, Exports, in pound/ton</v>
      </c>
      <c r="CG6" s="7" t="str">
        <f t="shared" si="2"/>
        <v>Astara, Bazaar (Local), in pound/ton</v>
      </c>
      <c r="CH6" s="7" t="str">
        <f t="shared" si="2"/>
        <v>Sultanabad, Imports, in pound/ton</v>
      </c>
      <c r="CI6" s="7" t="str">
        <f t="shared" si="2"/>
        <v>Sultanabad, Exports, in pound/ton</v>
      </c>
      <c r="CJ6" s="7" t="str">
        <f t="shared" si="2"/>
        <v>Sultanabad, Bazaar (Local), in pound/ton</v>
      </c>
      <c r="CK6" s="7" t="str">
        <f t="shared" si="2"/>
        <v>Bahrain, Imports, in pound/ton</v>
      </c>
      <c r="CL6" s="7" t="str">
        <f t="shared" si="2"/>
        <v>Bahrain, Exports, in pound/ton</v>
      </c>
      <c r="CM6" s="7" t="str">
        <f t="shared" si="2"/>
        <v>Bahrain, Bazaar (Local), in pound/ton</v>
      </c>
      <c r="CN6" s="7" t="str">
        <f t="shared" si="2"/>
        <v>Muscat, Imports, in pound/ton</v>
      </c>
      <c r="CO6" s="7" t="str">
        <f t="shared" si="2"/>
        <v>Muscat, Exports, in pound/ton</v>
      </c>
      <c r="CP6" s="7" t="str">
        <f t="shared" si="2"/>
        <v>Muscat, Bazaar (Local), in pound/ton</v>
      </c>
      <c r="CQ6" s="7" t="str">
        <f t="shared" si="2"/>
        <v>Mohammerah, Imports, in pound/ton</v>
      </c>
      <c r="CR6" s="7" t="str">
        <f t="shared" si="2"/>
        <v>Mohammerah, Exports, in pound/ton</v>
      </c>
      <c r="CS6" s="7" t="str">
        <f t="shared" si="2"/>
        <v>Mohammerah, Bazaar (Local), in pound/ton</v>
      </c>
      <c r="CT6" s="7" t="str">
        <f t="shared" si="2"/>
        <v>Lingah, Imports, in pound/ton</v>
      </c>
      <c r="CU6" s="7" t="str">
        <f t="shared" si="2"/>
        <v>Lingah, Exports, in pound/ton</v>
      </c>
      <c r="CV6" s="7" t="str">
        <f t="shared" si="2"/>
        <v>Lingah, Bazaar (Local), in pound/ton</v>
      </c>
      <c r="CW6" s="7" t="str">
        <f t="shared" si="2"/>
        <v>Shiraz, Imports, in pound/ton</v>
      </c>
      <c r="CX6" s="7" t="str">
        <f t="shared" si="2"/>
        <v>Shiraz, Exports, in pound/ton</v>
      </c>
      <c r="CY6" s="7" t="str">
        <f t="shared" si="2"/>
        <v>Shiraz, Bazaar (Local), in pound/ton</v>
      </c>
      <c r="CZ6" s="7" t="str">
        <f t="shared" si="2"/>
        <v>India, Imports, in pound/ton</v>
      </c>
      <c r="DA6" s="7" t="str">
        <f t="shared" si="2"/>
        <v>India, Exports, in pound/ton</v>
      </c>
      <c r="DB6" s="7" t="str">
        <f t="shared" si="2"/>
        <v>India, Wholesale, in pound/ton</v>
      </c>
    </row>
    <row r="7" spans="1:106" hidden="1" x14ac:dyDescent="0.25">
      <c r="A7" s="8">
        <v>1840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</row>
    <row r="8" spans="1:106" hidden="1" x14ac:dyDescent="0.25">
      <c r="A8" s="8">
        <f t="shared" ref="A8:A39" si="3">A7+1</f>
        <v>1841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</row>
    <row r="9" spans="1:106" hidden="1" x14ac:dyDescent="0.25">
      <c r="A9" s="8">
        <f t="shared" si="3"/>
        <v>1842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</row>
    <row r="10" spans="1:106" hidden="1" x14ac:dyDescent="0.25">
      <c r="A10" s="8">
        <f t="shared" si="3"/>
        <v>1843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</row>
    <row r="11" spans="1:106" hidden="1" x14ac:dyDescent="0.25">
      <c r="A11" s="8">
        <f t="shared" si="3"/>
        <v>1844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</row>
    <row r="12" spans="1:106" hidden="1" x14ac:dyDescent="0.25">
      <c r="A12" s="8">
        <f t="shared" si="3"/>
        <v>1845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</row>
    <row r="13" spans="1:106" hidden="1" x14ac:dyDescent="0.25">
      <c r="A13" s="8">
        <f t="shared" si="3"/>
        <v>1846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</row>
    <row r="14" spans="1:106" hidden="1" x14ac:dyDescent="0.25">
      <c r="A14" s="8">
        <f t="shared" si="3"/>
        <v>1847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</row>
    <row r="15" spans="1:106" hidden="1" x14ac:dyDescent="0.25">
      <c r="A15" s="8">
        <f t="shared" si="3"/>
        <v>1848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</row>
    <row r="16" spans="1:106" hidden="1" x14ac:dyDescent="0.25">
      <c r="A16" s="8">
        <f t="shared" si="3"/>
        <v>1849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</row>
    <row r="17" spans="1:100" hidden="1" x14ac:dyDescent="0.25">
      <c r="A17" s="8">
        <f t="shared" si="3"/>
        <v>1850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</row>
    <row r="18" spans="1:100" hidden="1" x14ac:dyDescent="0.25">
      <c r="A18" s="8">
        <f t="shared" si="3"/>
        <v>1851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</row>
    <row r="19" spans="1:100" hidden="1" x14ac:dyDescent="0.25">
      <c r="A19" s="8">
        <f t="shared" si="3"/>
        <v>1852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</row>
    <row r="20" spans="1:100" hidden="1" x14ac:dyDescent="0.25">
      <c r="A20" s="8">
        <f t="shared" si="3"/>
        <v>1853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3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</row>
    <row r="21" spans="1:100" hidden="1" x14ac:dyDescent="0.25">
      <c r="A21" s="8">
        <f t="shared" si="3"/>
        <v>1854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4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</row>
    <row r="22" spans="1:100" x14ac:dyDescent="0.25">
      <c r="A22" s="8">
        <f t="shared" si="3"/>
        <v>1855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4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</row>
    <row r="23" spans="1:100" x14ac:dyDescent="0.25">
      <c r="A23" s="8">
        <f t="shared" si="3"/>
        <v>1856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4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</row>
    <row r="24" spans="1:100" x14ac:dyDescent="0.25">
      <c r="A24" s="8">
        <f t="shared" si="3"/>
        <v>1857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4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</row>
    <row r="25" spans="1:100" x14ac:dyDescent="0.25">
      <c r="A25" s="8">
        <f t="shared" si="3"/>
        <v>1858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R25" s="3"/>
      <c r="S25" s="1">
        <f>2240*0.161997467655586</f>
        <v>362.87432754851267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4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</row>
    <row r="26" spans="1:100" x14ac:dyDescent="0.25">
      <c r="A26" s="8">
        <f t="shared" si="3"/>
        <v>1859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4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</row>
    <row r="27" spans="1:100" x14ac:dyDescent="0.25">
      <c r="A27" s="8">
        <f t="shared" si="3"/>
        <v>1860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4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</row>
    <row r="28" spans="1:100" x14ac:dyDescent="0.25">
      <c r="A28" s="8">
        <f t="shared" si="3"/>
        <v>1861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>
        <f>80000/12*4</f>
        <v>26666.666666666668</v>
      </c>
      <c r="N28" s="1"/>
      <c r="O28" s="1"/>
      <c r="P28" s="1"/>
      <c r="Q28" s="1"/>
      <c r="R28" s="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4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</row>
    <row r="29" spans="1:100" x14ac:dyDescent="0.25">
      <c r="A29" s="8">
        <f t="shared" si="3"/>
        <v>1862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"/>
      <c r="S29" s="3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4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</row>
    <row r="30" spans="1:100" x14ac:dyDescent="0.25">
      <c r="A30" s="8">
        <f t="shared" si="3"/>
        <v>1863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"/>
      <c r="S30" s="3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4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</row>
    <row r="31" spans="1:100" x14ac:dyDescent="0.25">
      <c r="A31" s="8">
        <f t="shared" si="3"/>
        <v>1864</v>
      </c>
      <c r="C31" s="1"/>
      <c r="D31" s="1"/>
      <c r="E31" s="1">
        <f>2240*0.259737502626961</f>
        <v>581.81200588439265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3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7"/>
      <c r="AU31" s="1">
        <f>2240*0.15</f>
        <v>336</v>
      </c>
      <c r="AV31" s="3"/>
      <c r="AW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</row>
    <row r="32" spans="1:100" x14ac:dyDescent="0.25">
      <c r="A32" s="8">
        <f t="shared" si="3"/>
        <v>1865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3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7"/>
      <c r="AU32" s="1">
        <f>2240*0.2</f>
        <v>448</v>
      </c>
      <c r="AV32" s="3"/>
      <c r="AW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</row>
    <row r="33" spans="1:106" x14ac:dyDescent="0.25">
      <c r="A33" s="8">
        <f t="shared" si="3"/>
        <v>1866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7"/>
      <c r="AU33" s="1">
        <f>2240*0.2</f>
        <v>448</v>
      </c>
      <c r="AV33" s="3"/>
      <c r="AW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</row>
    <row r="34" spans="1:106" x14ac:dyDescent="0.25">
      <c r="A34" s="8">
        <f t="shared" si="3"/>
        <v>1867</v>
      </c>
      <c r="C34" s="1"/>
      <c r="D34" s="1"/>
      <c r="E34" s="1">
        <f>2240*0.273974773646375</f>
        <v>613.70349296788004</v>
      </c>
      <c r="F34" s="1"/>
      <c r="G34" s="1"/>
      <c r="H34" s="1"/>
      <c r="I34" s="1"/>
      <c r="J34" s="1"/>
      <c r="K34" s="1"/>
      <c r="L34" s="1"/>
      <c r="M34" s="1"/>
      <c r="N34" s="1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V34" s="3"/>
      <c r="AW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</row>
    <row r="35" spans="1:106" x14ac:dyDescent="0.25">
      <c r="A35" s="8">
        <f t="shared" si="3"/>
        <v>1868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7"/>
      <c r="AU35" s="1">
        <f>2240*0.175</f>
        <v>392</v>
      </c>
      <c r="AV35" s="3"/>
      <c r="AW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Z35" s="1">
        <v>224.60280825062134</v>
      </c>
      <c r="DA35" s="1">
        <v>209.25228405711681</v>
      </c>
    </row>
    <row r="36" spans="1:106" x14ac:dyDescent="0.25">
      <c r="A36" s="8">
        <f t="shared" si="3"/>
        <v>1869</v>
      </c>
      <c r="C36" s="1"/>
      <c r="D36" s="1"/>
      <c r="E36" s="1">
        <f>2240*0.240477630741787</f>
        <v>538.66989286160288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>
        <f t="shared" ref="AO36:AO41" si="4">20*10</f>
        <v>200</v>
      </c>
      <c r="AP36" s="1"/>
      <c r="AQ36" s="1"/>
      <c r="AR36" s="1">
        <f t="shared" ref="AR36:AR42" si="5">20*10</f>
        <v>200</v>
      </c>
      <c r="AS36" s="1"/>
      <c r="AT36" s="17"/>
      <c r="AU36" s="1">
        <f>2240*0.175</f>
        <v>392</v>
      </c>
      <c r="AV36" s="3"/>
      <c r="AW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Z36" s="1">
        <v>222.98612062567088</v>
      </c>
      <c r="DA36" s="1">
        <v>191.94902394232582</v>
      </c>
    </row>
    <row r="37" spans="1:106" x14ac:dyDescent="0.25">
      <c r="A37" s="8">
        <f t="shared" si="3"/>
        <v>1870</v>
      </c>
      <c r="C37" s="1"/>
      <c r="D37" s="1"/>
      <c r="E37" s="1">
        <f>2240*0.273943670519427</f>
        <v>613.63382196351643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>
        <f t="shared" si="4"/>
        <v>200</v>
      </c>
      <c r="AP37" s="1"/>
      <c r="AQ37" s="1"/>
      <c r="AR37" s="1">
        <f t="shared" si="5"/>
        <v>200</v>
      </c>
      <c r="AS37" s="1"/>
      <c r="AV37" s="13"/>
      <c r="AW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Z37" s="1">
        <v>223.55067551977237</v>
      </c>
      <c r="DA37" s="1">
        <v>189.77179120437458</v>
      </c>
    </row>
    <row r="38" spans="1:106" x14ac:dyDescent="0.25">
      <c r="A38" s="8">
        <f t="shared" si="3"/>
        <v>1871</v>
      </c>
      <c r="C38" s="1"/>
      <c r="D38" s="1"/>
      <c r="F38" s="1"/>
      <c r="G38" s="1"/>
      <c r="H38" s="1"/>
      <c r="I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>
        <f t="shared" si="4"/>
        <v>200</v>
      </c>
      <c r="AP38" s="1"/>
      <c r="AQ38" s="1"/>
      <c r="AR38" s="1">
        <f t="shared" si="5"/>
        <v>200</v>
      </c>
      <c r="AS38" s="1"/>
      <c r="AT38" s="17"/>
      <c r="AU38" s="1">
        <f>2240*0.2</f>
        <v>448</v>
      </c>
      <c r="AV38" s="3"/>
      <c r="AW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Z38" s="1">
        <v>223.99960720773802</v>
      </c>
      <c r="DA38" s="1">
        <v>162.01798754385783</v>
      </c>
    </row>
    <row r="39" spans="1:106" x14ac:dyDescent="0.25">
      <c r="A39" s="8">
        <f t="shared" si="3"/>
        <v>1872</v>
      </c>
      <c r="C39" s="1"/>
      <c r="D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>
        <f t="shared" si="4"/>
        <v>200</v>
      </c>
      <c r="AP39" s="1"/>
      <c r="AQ39" s="1"/>
      <c r="AR39" s="1">
        <f t="shared" si="5"/>
        <v>200</v>
      </c>
      <c r="AS39" s="1"/>
      <c r="AT39" s="17"/>
      <c r="AU39" s="1">
        <f>2240*0.191666666666667</f>
        <v>429.33333333333411</v>
      </c>
      <c r="AV39" s="3"/>
      <c r="AW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Z39" s="1">
        <v>224.00011061023767</v>
      </c>
      <c r="DA39" s="1">
        <v>151.78305149263724</v>
      </c>
    </row>
    <row r="40" spans="1:106" x14ac:dyDescent="0.25">
      <c r="A40" s="8">
        <f t="shared" ref="A40:A71" si="6">A39+1</f>
        <v>1873</v>
      </c>
      <c r="C40" s="1"/>
      <c r="D40" s="1"/>
      <c r="F40" s="1"/>
      <c r="G40" s="1"/>
      <c r="H40" s="3"/>
      <c r="I40" s="1"/>
      <c r="J40" s="1"/>
      <c r="K40" s="1"/>
      <c r="L40" s="1"/>
      <c r="M40" s="1"/>
      <c r="N40" s="1"/>
      <c r="O40" s="1"/>
      <c r="P40" s="1"/>
      <c r="Q40" s="1"/>
      <c r="R40" s="3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>
        <f t="shared" si="4"/>
        <v>200</v>
      </c>
      <c r="AP40" s="1"/>
      <c r="AQ40" s="1"/>
      <c r="AR40" s="1">
        <f t="shared" si="5"/>
        <v>200</v>
      </c>
      <c r="AS40" s="1"/>
      <c r="AV40" s="13"/>
      <c r="AW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>
        <f>2240*0.142857142857143</f>
        <v>320.00000000000028</v>
      </c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Z40" s="1">
        <v>223.99990915583464</v>
      </c>
      <c r="DA40" s="1">
        <v>155.91770397913982</v>
      </c>
      <c r="DB40" s="1">
        <v>196.0291666666667</v>
      </c>
    </row>
    <row r="41" spans="1:106" x14ac:dyDescent="0.25">
      <c r="A41" s="8">
        <f t="shared" si="6"/>
        <v>1874</v>
      </c>
      <c r="C41" s="1"/>
      <c r="D41" s="1"/>
      <c r="E41" s="1">
        <f>2240*0.147180529353614</f>
        <v>329.68438575209535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>
        <f t="shared" si="4"/>
        <v>200</v>
      </c>
      <c r="AP41" s="1"/>
      <c r="AQ41" s="1"/>
      <c r="AR41" s="1">
        <f t="shared" si="5"/>
        <v>200</v>
      </c>
      <c r="AS41" s="1"/>
      <c r="AT41" s="17"/>
      <c r="AU41" s="1">
        <f>2240*0.2</f>
        <v>448</v>
      </c>
      <c r="AV41" s="3"/>
      <c r="AW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>
        <f>2240*0.137931034482759</f>
        <v>308.96551724138016</v>
      </c>
      <c r="BT41" s="1"/>
      <c r="BU41" s="1">
        <f>2240*0.112941176470588</f>
        <v>252.98823529411712</v>
      </c>
      <c r="BV41" s="3"/>
      <c r="BW41" s="3"/>
      <c r="BX41" s="3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Z41" s="1">
        <v>224.0023275005455</v>
      </c>
      <c r="DA41" s="1">
        <v>186.16218002311228</v>
      </c>
      <c r="DB41" s="1"/>
    </row>
    <row r="42" spans="1:106" x14ac:dyDescent="0.25">
      <c r="A42" s="8">
        <f t="shared" si="6"/>
        <v>1875</v>
      </c>
      <c r="C42" s="1"/>
      <c r="D42" s="1"/>
      <c r="E42" s="1">
        <f>2240*0.115366694608428</f>
        <v>258.42139592287873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3"/>
      <c r="R42" s="3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>
        <f>20*8</f>
        <v>160</v>
      </c>
      <c r="AP42" s="1"/>
      <c r="AQ42" s="1"/>
      <c r="AR42" s="1">
        <f t="shared" si="5"/>
        <v>200</v>
      </c>
      <c r="AS42" s="1"/>
      <c r="AT42" s="17"/>
      <c r="AU42" s="1">
        <f>2240*0.15</f>
        <v>336</v>
      </c>
      <c r="AV42" s="3"/>
      <c r="AW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>
        <f>2240*0.153888888888889</f>
        <v>344.71111111111134</v>
      </c>
      <c r="BT42" s="1"/>
      <c r="BU42" s="1"/>
      <c r="BV42" s="1"/>
      <c r="BW42" s="1"/>
      <c r="BX42" s="1"/>
      <c r="BY42" s="1"/>
      <c r="BZ42" s="1"/>
      <c r="CA42" s="3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>
        <f>20*2.1795530043946</f>
        <v>43.591060087892004</v>
      </c>
      <c r="CO42" s="1"/>
      <c r="CP42" s="1"/>
      <c r="CQ42" s="1"/>
      <c r="CR42" s="1"/>
      <c r="CS42" s="1"/>
      <c r="CT42" s="1"/>
      <c r="CU42" s="1"/>
      <c r="CV42" s="1"/>
      <c r="CZ42" s="1">
        <v>223.78211845604551</v>
      </c>
      <c r="DA42" s="1">
        <v>183.29794202658434</v>
      </c>
      <c r="DB42" s="1"/>
    </row>
    <row r="43" spans="1:106" x14ac:dyDescent="0.25">
      <c r="A43" s="8">
        <f t="shared" si="6"/>
        <v>1876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P43" s="1"/>
      <c r="AQ43" s="1"/>
      <c r="AS43" s="1"/>
      <c r="AT43" s="17"/>
      <c r="AU43" s="1">
        <f>2240*0.15</f>
        <v>336</v>
      </c>
      <c r="AV43" s="3"/>
      <c r="AW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V43" s="1"/>
      <c r="BW43" s="1"/>
      <c r="BX43" s="1"/>
      <c r="BY43" s="1"/>
      <c r="BZ43" s="1"/>
      <c r="CA43" s="3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>
        <f>20*2.0214755337462</f>
        <v>40.429510674923996</v>
      </c>
      <c r="CO43" s="1"/>
      <c r="CP43" s="1"/>
      <c r="CQ43" s="1"/>
      <c r="CR43" s="1"/>
      <c r="CS43" s="1"/>
      <c r="CT43" s="1"/>
      <c r="CU43" s="1"/>
      <c r="CV43" s="1"/>
      <c r="CZ43" s="1">
        <v>200.11079660681784</v>
      </c>
      <c r="DA43" s="1">
        <v>151.14687287327141</v>
      </c>
      <c r="DB43" s="1"/>
    </row>
    <row r="44" spans="1:106" x14ac:dyDescent="0.25">
      <c r="A44" s="8">
        <f t="shared" si="6"/>
        <v>1877</v>
      </c>
      <c r="C44" s="1"/>
      <c r="D44" s="1"/>
      <c r="E44" s="1">
        <f>2240*0.11734197982667</f>
        <v>262.84603481174076</v>
      </c>
      <c r="F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>
        <f>20*10</f>
        <v>200</v>
      </c>
      <c r="AP44" s="1"/>
      <c r="AQ44" s="1"/>
      <c r="AR44" s="1">
        <f>20*10</f>
        <v>200</v>
      </c>
      <c r="AS44" s="1"/>
      <c r="AT44" s="3"/>
      <c r="AU44" s="3"/>
      <c r="AV44" s="3"/>
      <c r="AW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>
        <f>20*2.1005142690704</f>
        <v>42.010285381408004</v>
      </c>
      <c r="CO44" s="1"/>
      <c r="CP44" s="1"/>
      <c r="CQ44" s="1"/>
      <c r="CR44" s="1"/>
      <c r="CS44" s="1"/>
      <c r="CT44" s="1"/>
      <c r="CU44" s="1"/>
      <c r="CV44" s="1"/>
      <c r="CZ44" s="1">
        <v>178.79929356805104</v>
      </c>
      <c r="DA44" s="1">
        <v>162.0054090893166</v>
      </c>
      <c r="DB44" s="1"/>
    </row>
    <row r="45" spans="1:106" x14ac:dyDescent="0.25">
      <c r="A45" s="8">
        <f t="shared" si="6"/>
        <v>1878</v>
      </c>
      <c r="C45" s="1"/>
      <c r="D45" s="1"/>
      <c r="E45" s="1">
        <f>2240*0.120902860548272</f>
        <v>270.82240762812927</v>
      </c>
      <c r="F45" s="1">
        <f>2240*0.120896289850487</f>
        <v>270.80768926509091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3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>
        <f t="shared" ref="AO45:AO50" si="7">20*8</f>
        <v>160</v>
      </c>
      <c r="AP45" s="1"/>
      <c r="AQ45" s="1"/>
      <c r="AR45" s="1">
        <f>20*8</f>
        <v>160</v>
      </c>
      <c r="AS45" s="1"/>
      <c r="AT45" s="3"/>
      <c r="AU45" s="3"/>
      <c r="AV45" s="3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V45" s="1"/>
      <c r="BW45" s="1"/>
      <c r="BX45" s="1"/>
      <c r="BY45" s="1"/>
      <c r="BZ45" s="1"/>
      <c r="CA45" s="1"/>
      <c r="CB45" s="1">
        <f>2240*0.163206797692653</f>
        <v>365.58322683154273</v>
      </c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>
        <f>20*2.01429019417127</f>
        <v>40.285803883425402</v>
      </c>
      <c r="CO45" s="1"/>
      <c r="CP45" s="1"/>
      <c r="CQ45" s="1"/>
      <c r="CR45" s="1"/>
      <c r="CS45" s="1"/>
      <c r="CT45" s="1"/>
      <c r="CU45" s="1"/>
      <c r="CV45" s="1"/>
      <c r="CZ45" s="1">
        <v>183.7979228017854</v>
      </c>
      <c r="DA45" s="1">
        <v>123.78935063353461</v>
      </c>
      <c r="DB45" s="1"/>
    </row>
    <row r="46" spans="1:106" x14ac:dyDescent="0.25">
      <c r="A46" s="8">
        <f t="shared" si="6"/>
        <v>1879</v>
      </c>
      <c r="C46" s="1"/>
      <c r="D46" s="1"/>
      <c r="E46" s="1"/>
      <c r="F46" s="1"/>
      <c r="G46" s="1"/>
      <c r="H46" s="1"/>
      <c r="I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>
        <f t="shared" si="7"/>
        <v>160</v>
      </c>
      <c r="AP46" s="1"/>
      <c r="AQ46" s="1"/>
      <c r="AR46" s="1">
        <f>20*8</f>
        <v>160</v>
      </c>
      <c r="AS46" s="1"/>
      <c r="AT46" s="3"/>
      <c r="AU46" s="3"/>
      <c r="AV46" s="3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>
        <f>20*1.96399281714678</f>
        <v>39.279856342935602</v>
      </c>
      <c r="CO46" s="1"/>
      <c r="CP46" s="1"/>
      <c r="CQ46" s="1"/>
      <c r="CR46" s="1"/>
      <c r="CS46" s="1"/>
      <c r="CT46" s="1"/>
      <c r="CU46" s="1"/>
      <c r="CV46" s="1"/>
      <c r="CZ46" s="1">
        <v>160.43082950813374</v>
      </c>
      <c r="DA46" s="1">
        <v>108.41871410423558</v>
      </c>
      <c r="DB46" s="1"/>
    </row>
    <row r="47" spans="1:106" x14ac:dyDescent="0.25">
      <c r="A47" s="8">
        <f t="shared" si="6"/>
        <v>1880</v>
      </c>
      <c r="C47" s="1"/>
      <c r="D47" s="1"/>
      <c r="F47" s="1"/>
      <c r="G47" s="1"/>
      <c r="H47" s="1"/>
      <c r="I47" s="1"/>
      <c r="K47" s="1"/>
      <c r="L47" s="1"/>
      <c r="M47" s="1"/>
      <c r="N47" s="1"/>
      <c r="O47" s="1"/>
      <c r="P47" s="1"/>
      <c r="Q47" s="1"/>
      <c r="R47" s="3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>
        <f t="shared" si="7"/>
        <v>160</v>
      </c>
      <c r="AP47" s="1"/>
      <c r="AQ47" s="1"/>
      <c r="AR47" s="1">
        <f>20*8</f>
        <v>160</v>
      </c>
      <c r="AS47" s="1"/>
      <c r="AT47" s="3"/>
      <c r="AU47" s="3"/>
      <c r="AV47" s="3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Z47" s="1">
        <v>187.41980921027195</v>
      </c>
      <c r="DA47" s="1">
        <v>112.34387234817174</v>
      </c>
      <c r="DB47" s="1"/>
    </row>
    <row r="48" spans="1:106" x14ac:dyDescent="0.25">
      <c r="A48" s="8">
        <f t="shared" si="6"/>
        <v>1881</v>
      </c>
      <c r="C48" s="1"/>
      <c r="D48" s="1"/>
      <c r="F48" s="1"/>
      <c r="G48" s="1"/>
      <c r="H48" s="1"/>
      <c r="I48" s="1"/>
      <c r="K48" s="1"/>
      <c r="L48" s="1"/>
      <c r="M48" s="1"/>
      <c r="N48" s="1"/>
      <c r="O48" s="1"/>
      <c r="P48" s="1"/>
      <c r="Q48" s="1"/>
      <c r="R48" s="3"/>
      <c r="S48" s="1"/>
      <c r="T48" s="1"/>
      <c r="U48" s="1"/>
      <c r="V48" s="1"/>
      <c r="W48" s="1">
        <f>20*6.78733031674208</f>
        <v>135.7466063348416</v>
      </c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>
        <f t="shared" si="7"/>
        <v>160</v>
      </c>
      <c r="AP48" s="1"/>
      <c r="AQ48" s="1"/>
      <c r="AR48" s="1">
        <f>20*8</f>
        <v>160</v>
      </c>
      <c r="AS48" s="1"/>
      <c r="AT48" s="3"/>
      <c r="AU48" s="3"/>
      <c r="AV48" s="3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Z48" s="1">
        <v>182.91923897343099</v>
      </c>
      <c r="DA48" s="1">
        <v>98.61313855595985</v>
      </c>
      <c r="DB48" s="1"/>
    </row>
    <row r="49" spans="1:106" x14ac:dyDescent="0.25">
      <c r="A49" s="8">
        <f t="shared" si="6"/>
        <v>1882</v>
      </c>
      <c r="C49" s="1"/>
      <c r="D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"/>
      <c r="S49" s="1"/>
      <c r="T49" s="1"/>
      <c r="U49" s="1"/>
      <c r="V49" s="1"/>
      <c r="W49" s="1">
        <f>20*6.78733031674208</f>
        <v>135.7466063348416</v>
      </c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N49" s="1"/>
      <c r="AO49" s="1">
        <f t="shared" si="7"/>
        <v>160</v>
      </c>
      <c r="AP49" s="1"/>
      <c r="AQ49" s="1"/>
      <c r="AR49" s="1">
        <f>20*8</f>
        <v>160</v>
      </c>
      <c r="AS49" s="1"/>
      <c r="AT49" s="3"/>
      <c r="AU49" s="3"/>
      <c r="AV49" s="3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Z49" s="1">
        <v>157.21423922013545</v>
      </c>
      <c r="DA49" s="1">
        <v>105.81225663355191</v>
      </c>
      <c r="DB49" s="1"/>
    </row>
    <row r="50" spans="1:106" x14ac:dyDescent="0.25">
      <c r="A50" s="8">
        <f t="shared" si="6"/>
        <v>1883</v>
      </c>
      <c r="C50" s="1"/>
      <c r="D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>
        <f>20*5.65610859728507</f>
        <v>113.1221719457014</v>
      </c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N50" s="1"/>
      <c r="AO50" s="1">
        <f t="shared" si="7"/>
        <v>160</v>
      </c>
      <c r="AP50" s="1"/>
      <c r="AQ50" s="1"/>
      <c r="AR50" s="1">
        <f>20*12.3985323172453</f>
        <v>247.97064634490599</v>
      </c>
      <c r="AS50" s="1"/>
      <c r="AT50" s="3"/>
      <c r="AU50" s="3"/>
      <c r="AV50" s="3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Z50" s="1">
        <v>157.18761143330721</v>
      </c>
      <c r="DA50" s="1">
        <v>90.451055222251398</v>
      </c>
      <c r="DB50" s="1"/>
    </row>
    <row r="51" spans="1:106" x14ac:dyDescent="0.25">
      <c r="A51" s="8">
        <f t="shared" si="6"/>
        <v>1884</v>
      </c>
      <c r="C51" s="1"/>
      <c r="D51" s="1"/>
      <c r="F51" s="1"/>
      <c r="G51" s="1"/>
      <c r="H51" s="1"/>
      <c r="I51" s="1"/>
      <c r="J51" s="1"/>
      <c r="K51" s="3"/>
      <c r="L51" s="3"/>
      <c r="M51" s="3"/>
      <c r="N51" s="3"/>
      <c r="O51" s="3"/>
      <c r="P51" s="3"/>
      <c r="Q51" s="1"/>
      <c r="R51" s="1"/>
      <c r="S51" s="1"/>
      <c r="T51" s="1"/>
      <c r="U51" s="1"/>
      <c r="V51" s="1"/>
      <c r="W51" s="1"/>
      <c r="X51" s="3"/>
      <c r="Y51" s="3"/>
      <c r="Z51" s="1"/>
      <c r="AA51" s="1"/>
      <c r="AB51" s="1"/>
      <c r="AC51" s="1"/>
      <c r="AD51" s="1"/>
      <c r="AE51" s="1"/>
      <c r="AF51" s="1"/>
      <c r="AG51" s="1"/>
      <c r="AH51" s="1"/>
      <c r="AI51" s="3"/>
      <c r="AJ51" s="1"/>
      <c r="AK51" s="3"/>
      <c r="AL51" s="1"/>
      <c r="AN51" s="1"/>
      <c r="AO51" s="1">
        <f>20*5.5</f>
        <v>110</v>
      </c>
      <c r="AP51" s="1"/>
      <c r="AQ51" s="3"/>
      <c r="AR51" s="1">
        <f>20*8.71139510117146</f>
        <v>174.22790202342921</v>
      </c>
      <c r="AS51" s="3"/>
      <c r="AT51" s="3"/>
      <c r="AU51" s="3"/>
      <c r="AV51" s="3"/>
      <c r="AW51" s="1"/>
      <c r="AX51" s="1"/>
      <c r="AY51" s="1"/>
      <c r="AZ51" s="3"/>
      <c r="BA51" s="3"/>
      <c r="BB51" s="3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3"/>
      <c r="BN51" s="3"/>
      <c r="BO51" s="1"/>
      <c r="BP51" s="3"/>
      <c r="BQ51" s="1"/>
      <c r="BR51" s="3"/>
      <c r="BU51" s="1"/>
      <c r="BV51" s="1"/>
      <c r="BW51" s="1"/>
      <c r="BX51" s="1"/>
      <c r="BY51" s="1"/>
      <c r="BZ51" s="3"/>
      <c r="CA51" s="1"/>
      <c r="CB51" s="3"/>
      <c r="CC51" s="1"/>
      <c r="CD51" s="3"/>
      <c r="CE51" s="3"/>
      <c r="CF51" s="1"/>
      <c r="CG51" s="3"/>
      <c r="CH51" s="3"/>
      <c r="CI51" s="1"/>
      <c r="CJ51" s="3"/>
      <c r="CK51" s="1"/>
      <c r="CL51" s="1"/>
      <c r="CM51" s="1"/>
      <c r="CN51" s="1">
        <f>20*0.43650937917683</f>
        <v>8.7301875835366012</v>
      </c>
      <c r="CO51" s="3"/>
      <c r="CP51" s="3"/>
      <c r="CQ51" s="3"/>
      <c r="CR51" s="1"/>
      <c r="CS51" s="3"/>
      <c r="CT51" s="1"/>
      <c r="CU51" s="3"/>
      <c r="CV51" s="3"/>
      <c r="CZ51" s="1">
        <v>174.21464599351265</v>
      </c>
      <c r="DA51" s="1">
        <v>86.276727918100534</v>
      </c>
      <c r="DB51" s="1">
        <v>98.67936117936118</v>
      </c>
    </row>
    <row r="52" spans="1:106" x14ac:dyDescent="0.25">
      <c r="A52" s="8">
        <f t="shared" si="6"/>
        <v>1885</v>
      </c>
      <c r="C52" s="1"/>
      <c r="D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>
        <f>2240*0.0835797865500836</f>
        <v>187.21872187218727</v>
      </c>
      <c r="AM52" s="1"/>
      <c r="AN52" s="1"/>
      <c r="AO52" s="1">
        <f>20*5</f>
        <v>100</v>
      </c>
      <c r="AP52" s="1"/>
      <c r="AQ52" s="1"/>
      <c r="AR52" s="3">
        <f>20*8</f>
        <v>160</v>
      </c>
      <c r="AS52" s="1"/>
      <c r="AT52" s="3"/>
      <c r="AU52" s="3"/>
      <c r="AV52" s="3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>
        <f>20*0.744401179962462</f>
        <v>14.888023599249241</v>
      </c>
      <c r="CO52" s="3"/>
      <c r="CP52" s="1"/>
      <c r="CQ52" s="1"/>
      <c r="CR52" s="1"/>
      <c r="CS52" s="1"/>
      <c r="CT52" s="1"/>
      <c r="CU52" s="1"/>
      <c r="CV52" s="1"/>
      <c r="CZ52" s="1">
        <v>188.21630740354925</v>
      </c>
      <c r="DA52" s="1">
        <v>75.858768044236385</v>
      </c>
      <c r="DB52" s="1">
        <v>100.22727272727273</v>
      </c>
    </row>
    <row r="53" spans="1:106" x14ac:dyDescent="0.25">
      <c r="A53" s="8">
        <f t="shared" si="6"/>
        <v>1886</v>
      </c>
      <c r="C53" s="1"/>
      <c r="D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M53" s="1"/>
      <c r="AN53" s="1"/>
      <c r="AO53" s="1">
        <f>20*5</f>
        <v>100</v>
      </c>
      <c r="AP53" s="1"/>
      <c r="AQ53" s="1"/>
      <c r="AR53" s="1">
        <f>20*8</f>
        <v>160</v>
      </c>
      <c r="AS53" s="1"/>
      <c r="AT53" s="3"/>
      <c r="AU53" s="3"/>
      <c r="AV53" s="3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>
        <f>20*0.652069566424647</f>
        <v>13.041391328492939</v>
      </c>
      <c r="CO53" s="1"/>
      <c r="CP53" s="1"/>
      <c r="CQ53" s="1"/>
      <c r="CR53" s="1"/>
      <c r="CS53" s="1"/>
      <c r="CT53" s="1"/>
      <c r="CU53" s="1"/>
      <c r="CV53" s="1"/>
      <c r="CZ53" s="1">
        <v>170.14470357648483</v>
      </c>
      <c r="DA53" s="1">
        <v>79.11830106676021</v>
      </c>
      <c r="DB53" s="1">
        <v>96.250000000000014</v>
      </c>
    </row>
    <row r="54" spans="1:106" x14ac:dyDescent="0.25">
      <c r="A54" s="8">
        <f t="shared" si="6"/>
        <v>1887</v>
      </c>
      <c r="C54" s="1"/>
      <c r="D54" s="1"/>
      <c r="E54" s="1">
        <f>2240*0.0705915178571429</f>
        <v>158.12500000000011</v>
      </c>
      <c r="F54" s="1"/>
      <c r="G54" s="1"/>
      <c r="H54" s="1"/>
      <c r="K54" s="1"/>
      <c r="L54" s="1"/>
      <c r="M54" s="1"/>
      <c r="N54" s="1"/>
      <c r="O54" s="1"/>
      <c r="P54" s="1"/>
      <c r="Q54" s="1"/>
      <c r="R54" s="3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>
        <f>2240*0.0609666878017851</f>
        <v>136.56538067599863</v>
      </c>
      <c r="AM54" s="1"/>
      <c r="AN54" s="1"/>
      <c r="AO54" s="1">
        <f>20*5.00094786729858</f>
        <v>100.01895734597159</v>
      </c>
      <c r="AP54" s="1"/>
      <c r="AQ54" s="1"/>
      <c r="AR54" s="1">
        <f t="shared" ref="AR54:AR60" si="8">20*6</f>
        <v>120</v>
      </c>
      <c r="AS54" s="1"/>
      <c r="AT54" s="3"/>
      <c r="AU54" s="3"/>
      <c r="AV54" s="13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>
        <f>20*0.951392184457959</f>
        <v>19.02784368915918</v>
      </c>
      <c r="CO54" s="1"/>
      <c r="CP54" s="1"/>
      <c r="CQ54" s="1"/>
      <c r="CR54" s="1"/>
      <c r="CS54" s="1"/>
      <c r="CT54" s="1">
        <f>20*10.1330623514073</f>
        <v>202.66124702814602</v>
      </c>
      <c r="CU54" s="1">
        <f>20*6.67289719626168</f>
        <v>133.45794392523359</v>
      </c>
      <c r="CV54" s="1"/>
      <c r="CW54" s="3">
        <f>20*6.12829100090247</f>
        <v>122.56582001804941</v>
      </c>
      <c r="CX54" s="1"/>
      <c r="CZ54" s="1">
        <v>172.35013200162683</v>
      </c>
      <c r="DA54" s="1">
        <v>64.522856189522855</v>
      </c>
      <c r="DB54" s="1">
        <v>94.791666666666671</v>
      </c>
    </row>
    <row r="55" spans="1:106" x14ac:dyDescent="0.25">
      <c r="A55" s="8">
        <f t="shared" si="6"/>
        <v>1888</v>
      </c>
      <c r="C55" s="1"/>
      <c r="D55" s="1"/>
      <c r="E55" s="1">
        <f>2240*0.0609405577299413</f>
        <v>136.50684931506851</v>
      </c>
      <c r="F55" s="1"/>
      <c r="G55" s="1"/>
      <c r="H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N55" s="1"/>
      <c r="AO55" s="1">
        <f>20*6.00234192037471</f>
        <v>120.04683840749421</v>
      </c>
      <c r="AP55" s="1"/>
      <c r="AQ55" s="1"/>
      <c r="AR55" s="1">
        <f t="shared" si="8"/>
        <v>120</v>
      </c>
      <c r="AS55" s="1"/>
      <c r="AT55" s="3"/>
      <c r="AU55" s="3"/>
      <c r="AV55" s="3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3"/>
      <c r="BJ55" s="1"/>
      <c r="BK55" s="1"/>
      <c r="BL55" s="1"/>
      <c r="BM55" s="1"/>
      <c r="BN55" s="1"/>
      <c r="BO55" s="1"/>
      <c r="BP55" s="1"/>
      <c r="BQ55" s="1"/>
      <c r="BR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>
        <f>20*0.821523824733348</f>
        <v>16.430476494666959</v>
      </c>
      <c r="CO55" s="1"/>
      <c r="CP55" s="1"/>
      <c r="CQ55" s="1"/>
      <c r="CR55" s="1"/>
      <c r="CS55" s="1"/>
      <c r="CT55" s="1">
        <f>20*2.64754019447386</f>
        <v>52.9508038894772</v>
      </c>
      <c r="CU55" s="1">
        <f>20*3.86611658237956</f>
        <v>77.322331647591199</v>
      </c>
      <c r="CV55" s="1"/>
      <c r="CW55" s="3">
        <f>20*5.13909028253291</f>
        <v>102.78180565065821</v>
      </c>
      <c r="CX55" s="1"/>
      <c r="CZ55" s="1">
        <v>160.97045370255901</v>
      </c>
      <c r="DA55" s="1">
        <v>58.81055297721965</v>
      </c>
      <c r="DB55" s="1">
        <v>83.572891072891082</v>
      </c>
    </row>
    <row r="56" spans="1:106" x14ac:dyDescent="0.25">
      <c r="A56" s="8">
        <f t="shared" si="6"/>
        <v>1889</v>
      </c>
      <c r="C56" s="1"/>
      <c r="D56" s="1"/>
      <c r="E56" s="1">
        <f>2240*0.0482396750169262</f>
        <v>108.05687203791469</v>
      </c>
      <c r="F56" s="1"/>
      <c r="G56" s="1"/>
      <c r="H56" s="1"/>
      <c r="K56" s="1"/>
      <c r="L56" s="1"/>
      <c r="M56" s="1"/>
      <c r="N56" s="1"/>
      <c r="O56" s="1"/>
      <c r="P56" s="1"/>
      <c r="Q56" s="1"/>
      <c r="R56" s="3"/>
      <c r="S56" s="1"/>
      <c r="T56" s="1"/>
      <c r="U56" s="1"/>
      <c r="V56" s="1"/>
      <c r="W56" s="1">
        <f>2240*0.0454545454545455</f>
        <v>101.81818181818191</v>
      </c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>
        <f>20*6.00152671755725</f>
        <v>120.03053435114501</v>
      </c>
      <c r="AP56" s="1"/>
      <c r="AQ56" s="1"/>
      <c r="AR56" s="1">
        <f t="shared" si="8"/>
        <v>120</v>
      </c>
      <c r="AS56" s="1"/>
      <c r="AT56" s="3"/>
      <c r="AU56" s="3"/>
      <c r="AV56" s="3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K56" s="1"/>
      <c r="BL56" s="1"/>
      <c r="BM56" s="1"/>
      <c r="BN56" s="1"/>
      <c r="BO56" s="1"/>
      <c r="BP56" s="1"/>
      <c r="BQ56" s="1"/>
      <c r="BR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>
        <f>20*0.630109926773126</f>
        <v>12.60219853546252</v>
      </c>
      <c r="CO56" s="1"/>
      <c r="CP56" s="1"/>
      <c r="CQ56" s="1"/>
      <c r="CR56" s="1"/>
      <c r="CS56" s="1"/>
      <c r="CT56" s="1">
        <f>20*2.70703988214248</f>
        <v>54.140797642849599</v>
      </c>
      <c r="CU56" s="1">
        <f>20*2.70543935702307</f>
        <v>54.108787140461402</v>
      </c>
      <c r="CV56" s="1"/>
      <c r="CW56" s="3">
        <f>20*5.82081124186387</f>
        <v>116.41622483727741</v>
      </c>
      <c r="CX56" s="1"/>
      <c r="CZ56" s="1">
        <v>149.39758389126587</v>
      </c>
      <c r="DA56" s="1">
        <v>52.752411502411505</v>
      </c>
      <c r="DB56" s="1">
        <v>91.781670831670809</v>
      </c>
    </row>
    <row r="57" spans="1:106" x14ac:dyDescent="0.25">
      <c r="A57" s="8">
        <f t="shared" si="6"/>
        <v>1890</v>
      </c>
      <c r="C57" s="1"/>
      <c r="D57" s="1"/>
      <c r="E57" s="1">
        <f>2240*0.0481963688485428</f>
        <v>107.95986622073588</v>
      </c>
      <c r="F57" s="1"/>
      <c r="G57" s="1"/>
      <c r="H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>
        <v>109.66666666666671</v>
      </c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N57" s="1"/>
      <c r="AO57" s="1">
        <f>20*6</f>
        <v>120</v>
      </c>
      <c r="AP57" s="1"/>
      <c r="AQ57" s="1"/>
      <c r="AR57" s="1">
        <f t="shared" si="8"/>
        <v>120</v>
      </c>
      <c r="AS57" s="1"/>
      <c r="AT57" s="3"/>
      <c r="AU57" s="3"/>
      <c r="AV57" s="3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T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M57" s="1"/>
      <c r="CN57" s="1">
        <f>20*0.365973295682961</f>
        <v>7.3194659136592204</v>
      </c>
      <c r="CO57" s="1"/>
      <c r="CP57" s="1"/>
      <c r="CQ57" s="3">
        <f>20*5.84394984221335</f>
        <v>116.87899684426699</v>
      </c>
      <c r="CR57" s="1"/>
      <c r="CS57" s="1"/>
      <c r="CT57" s="1">
        <f>20*2.91824857880788</f>
        <v>58.3649715761576</v>
      </c>
      <c r="CU57" s="1">
        <f>20*2.94164008604703</f>
        <v>58.832801720940601</v>
      </c>
      <c r="CV57" s="1"/>
      <c r="CW57" s="3">
        <f>20*6.88301085176085</f>
        <v>137.66021703521699</v>
      </c>
      <c r="CX57" s="1"/>
      <c r="CZ57" s="1">
        <v>151.3408860843445</v>
      </c>
      <c r="DA57" s="1">
        <v>64.382185215518547</v>
      </c>
      <c r="DB57" s="1">
        <v>90.883281872911482</v>
      </c>
    </row>
    <row r="58" spans="1:106" x14ac:dyDescent="0.25">
      <c r="A58" s="8">
        <f t="shared" si="6"/>
        <v>1891</v>
      </c>
      <c r="C58" s="1"/>
      <c r="D58" s="1"/>
      <c r="E58" s="1">
        <f>2240*0.0481951738350063</f>
        <v>107.95718939041411</v>
      </c>
      <c r="F58" s="1"/>
      <c r="G58" s="1"/>
      <c r="H58" s="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>
        <v>119</v>
      </c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>
        <f>20*5.99792531120332</f>
        <v>119.95850622406641</v>
      </c>
      <c r="AP58" s="1"/>
      <c r="AQ58" s="1"/>
      <c r="AR58" s="1">
        <f t="shared" si="8"/>
        <v>120</v>
      </c>
      <c r="AS58" s="1"/>
      <c r="AT58" s="3"/>
      <c r="AU58" s="3"/>
      <c r="AV58" s="3"/>
      <c r="AW58" s="1"/>
      <c r="AX58" s="1"/>
      <c r="AY58" s="1"/>
      <c r="AZ58" s="1"/>
      <c r="BA58" s="1"/>
      <c r="BB58" s="1"/>
      <c r="BC58" s="1"/>
      <c r="BD58" s="1"/>
      <c r="BE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3"/>
      <c r="BW58" s="3"/>
      <c r="BX58" s="3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K58" s="1"/>
      <c r="CL58" s="1"/>
      <c r="CM58" s="1"/>
      <c r="CN58" s="1">
        <f>20*0.604406813910963</f>
        <v>12.08813627821926</v>
      </c>
      <c r="CO58" s="1"/>
      <c r="CP58" s="1"/>
      <c r="CQ58" s="3">
        <f>20*3.5797213622291</f>
        <v>71.594427244582008</v>
      </c>
      <c r="CR58" s="1"/>
      <c r="CS58" s="1"/>
      <c r="CT58" s="1">
        <f>20*4.03846153846154</f>
        <v>80.769230769230802</v>
      </c>
      <c r="CU58" s="1">
        <f>20*4.03940422322775</f>
        <v>80.788084464554998</v>
      </c>
      <c r="CV58" s="1"/>
      <c r="CW58" s="3">
        <f>20*5.30312295018177</f>
        <v>106.0624590036354</v>
      </c>
      <c r="CX58" s="1"/>
      <c r="CZ58" s="1">
        <v>152.68650283186108</v>
      </c>
      <c r="DA58" s="1">
        <v>60.471532138198803</v>
      </c>
      <c r="DB58" s="1">
        <v>98.778077903077872</v>
      </c>
    </row>
    <row r="59" spans="1:106" x14ac:dyDescent="0.25">
      <c r="A59" s="8">
        <f t="shared" si="6"/>
        <v>1892</v>
      </c>
      <c r="C59" s="1"/>
      <c r="D59" s="1"/>
      <c r="E59" s="1">
        <f>2240*0.0446428571428571</f>
        <v>99.999999999999915</v>
      </c>
      <c r="F59" s="1"/>
      <c r="G59" s="1"/>
      <c r="H59" s="3">
        <f>2240*0.0293208192367856</f>
        <v>65.678635090399737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>
        <f>20*6.00140252454418</f>
        <v>120.0280504908836</v>
      </c>
      <c r="AP59" s="1"/>
      <c r="AQ59" s="1"/>
      <c r="AR59" s="1">
        <f t="shared" si="8"/>
        <v>120</v>
      </c>
      <c r="AS59" s="1"/>
      <c r="AT59" s="3"/>
      <c r="AU59" s="3"/>
      <c r="AV59" s="3"/>
      <c r="AW59" s="1"/>
      <c r="AX59" s="1"/>
      <c r="AY59" s="1"/>
      <c r="AZ59" s="1"/>
      <c r="BA59" s="1"/>
      <c r="BB59" s="3"/>
      <c r="BC59" s="3">
        <f>2240*0.12081170363379</f>
        <v>270.61821613968959</v>
      </c>
      <c r="BD59" s="3"/>
      <c r="BE59" s="3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>
        <f>2240*0.125</f>
        <v>280</v>
      </c>
      <c r="BV59" s="3"/>
      <c r="BW59" s="3"/>
      <c r="BX59" s="3"/>
      <c r="BY59" s="1"/>
      <c r="BZ59" s="1"/>
      <c r="CA59" s="1"/>
      <c r="CB59" s="3"/>
      <c r="CC59" s="1"/>
      <c r="CD59" s="1"/>
      <c r="CE59" s="1"/>
      <c r="CF59" s="1"/>
      <c r="CG59" s="1"/>
      <c r="CH59" s="1"/>
      <c r="CI59" s="1"/>
      <c r="CK59" s="1"/>
      <c r="CL59" s="1"/>
      <c r="CM59" s="1"/>
      <c r="CN59" s="1">
        <f>20*0.553924359958027</f>
        <v>11.078487199160541</v>
      </c>
      <c r="CO59" s="1"/>
      <c r="CP59" s="1"/>
      <c r="CQ59" s="1">
        <f>20*2.82805429864253</f>
        <v>56.561085972850606</v>
      </c>
      <c r="CR59" s="1"/>
      <c r="CS59" s="1"/>
      <c r="CT59" s="1">
        <f>20*4.46153846153846</f>
        <v>89.230769230769198</v>
      </c>
      <c r="CU59" s="1">
        <f>20*4.74505754805794</f>
        <v>94.901150961158791</v>
      </c>
      <c r="CV59" s="1"/>
      <c r="CW59" s="3">
        <f>20*4.96945701357466</f>
        <v>99.389140271493204</v>
      </c>
      <c r="CX59" s="1"/>
      <c r="CZ59" s="1">
        <v>156.25342101241031</v>
      </c>
      <c r="DA59" s="1">
        <v>44.275184275184266</v>
      </c>
      <c r="DB59" s="1">
        <v>78.523387022349979</v>
      </c>
    </row>
    <row r="60" spans="1:106" x14ac:dyDescent="0.25">
      <c r="A60" s="8">
        <f t="shared" si="6"/>
        <v>1893</v>
      </c>
      <c r="C60" s="1"/>
      <c r="D60" s="1"/>
      <c r="E60" s="1"/>
      <c r="F60" s="1"/>
      <c r="G60" s="1"/>
      <c r="H60" s="3">
        <f>2240*0.0294117647058824</f>
        <v>65.882352941176578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>
        <f>20*4.9982174688057</f>
        <v>99.964349376114001</v>
      </c>
      <c r="AP60" s="1"/>
      <c r="AQ60" s="1"/>
      <c r="AR60" s="1">
        <f t="shared" si="8"/>
        <v>120</v>
      </c>
      <c r="AS60" s="1"/>
      <c r="AT60" s="3"/>
      <c r="AU60" s="3"/>
      <c r="AV60" s="13"/>
      <c r="AW60" s="1"/>
      <c r="AX60" s="1"/>
      <c r="AY60" s="1"/>
      <c r="AZ60" s="1"/>
      <c r="BA60" s="1"/>
      <c r="BB60" s="3"/>
      <c r="BC60" s="3">
        <f>2240*0.0949263502454992</f>
        <v>212.6350245499182</v>
      </c>
      <c r="BD60" s="3"/>
      <c r="BE60" s="3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>
        <f>2240*0.117795310103002</f>
        <v>263.86149463072445</v>
      </c>
      <c r="BT60" s="1"/>
      <c r="BU60" s="1">
        <f>2240*0.1</f>
        <v>224</v>
      </c>
      <c r="BV60" s="3"/>
      <c r="BW60" s="3"/>
      <c r="BX60" s="3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K60" s="1"/>
      <c r="CL60" s="1"/>
      <c r="CM60" s="1"/>
      <c r="CN60" s="1">
        <f>20*1.23817771555146</f>
        <v>24.7635543110292</v>
      </c>
      <c r="CO60" s="1"/>
      <c r="CP60" s="1"/>
      <c r="CQ60" s="1"/>
      <c r="CR60" s="1"/>
      <c r="CS60" s="1"/>
      <c r="CT60" s="1">
        <f>20*4.14116849721929</f>
        <v>82.823369944385803</v>
      </c>
      <c r="CU60" s="1">
        <f>20*4.63800904977376</f>
        <v>92.760180995475196</v>
      </c>
      <c r="CV60" s="1"/>
      <c r="CW60" s="3">
        <f>20*4.90620286576169</f>
        <v>98.124057315233813</v>
      </c>
      <c r="CX60" s="1"/>
      <c r="CZ60" s="1">
        <v>164.88326935788061</v>
      </c>
      <c r="DA60" s="1">
        <v>56.526068004627007</v>
      </c>
      <c r="DB60" s="1">
        <v>71.815006073522113</v>
      </c>
    </row>
    <row r="61" spans="1:106" x14ac:dyDescent="0.25">
      <c r="A61" s="8">
        <f t="shared" si="6"/>
        <v>1894</v>
      </c>
      <c r="C61" s="1"/>
      <c r="D61" s="1"/>
      <c r="F61" s="1"/>
      <c r="G61" s="1"/>
      <c r="H61" s="3">
        <f>2240*0.0122558734155573</f>
        <v>27.453156450848354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>
        <f>20*4.59865092748735</f>
        <v>91.973018549746996</v>
      </c>
      <c r="AP61" s="1"/>
      <c r="AQ61" s="1"/>
      <c r="AR61" s="1">
        <f>20*5</f>
        <v>100</v>
      </c>
      <c r="AS61" s="3"/>
      <c r="AT61" s="3"/>
      <c r="AU61" s="3"/>
      <c r="AV61" s="3"/>
      <c r="AW61" s="1"/>
      <c r="AX61" s="1"/>
      <c r="AY61" s="1"/>
      <c r="AZ61" s="1"/>
      <c r="BA61" s="1"/>
      <c r="BC61" s="3"/>
      <c r="BF61" s="1"/>
      <c r="BG61" s="1"/>
      <c r="BH61" s="1"/>
      <c r="BI61" s="1"/>
      <c r="BJ61" s="1"/>
      <c r="BK61" s="1"/>
      <c r="BL61" s="1"/>
      <c r="BM61" s="1">
        <f>20*8.96</f>
        <v>179.20000000000002</v>
      </c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K61" s="1"/>
      <c r="CL61" s="1"/>
      <c r="CM61" s="1"/>
      <c r="CN61" s="1">
        <f>20*1.10893740773044</f>
        <v>22.178748154608797</v>
      </c>
      <c r="CO61" s="1"/>
      <c r="CP61" s="1"/>
      <c r="CQ61" s="1"/>
      <c r="CR61" s="1"/>
      <c r="CS61" s="1"/>
      <c r="CT61" s="1">
        <f>20*3.52036199095023</f>
        <v>70.407239819004602</v>
      </c>
      <c r="CU61" s="1">
        <f>20*3.39977987036811</f>
        <v>67.995597407362197</v>
      </c>
      <c r="CV61" s="1"/>
      <c r="CW61" s="3">
        <f>20*5.0277149321267</f>
        <v>100.55429864253399</v>
      </c>
      <c r="CX61" s="1"/>
      <c r="CZ61" s="1">
        <v>166.66674558001768</v>
      </c>
      <c r="DA61" s="1">
        <v>36.78972972899394</v>
      </c>
      <c r="DB61" s="1">
        <v>67.429270305901426</v>
      </c>
    </row>
    <row r="62" spans="1:106" x14ac:dyDescent="0.25">
      <c r="A62" s="8">
        <f t="shared" si="6"/>
        <v>1895</v>
      </c>
      <c r="C62" s="1"/>
      <c r="D62" s="1"/>
      <c r="F62" s="1"/>
      <c r="G62" s="1"/>
      <c r="H62" s="3">
        <f>2240*0.012253922743688</f>
        <v>27.448786945861123</v>
      </c>
      <c r="J62" s="1"/>
      <c r="K62" s="1"/>
      <c r="L62" s="1"/>
      <c r="M62" s="1"/>
      <c r="N62" s="1"/>
      <c r="O62" s="1"/>
      <c r="P62" s="1"/>
      <c r="Q62" s="1"/>
      <c r="R62" s="3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>
        <f>20*4.60170697012802</f>
        <v>92.034139402560399</v>
      </c>
      <c r="AP62" s="1"/>
      <c r="AQ62" s="1"/>
      <c r="AR62" s="1">
        <f>20*5</f>
        <v>100</v>
      </c>
      <c r="AS62" s="3"/>
      <c r="AT62" s="3"/>
      <c r="AU62" s="3"/>
      <c r="AV62" s="13"/>
      <c r="AW62" s="1"/>
      <c r="AX62" s="1"/>
      <c r="AY62" s="1"/>
      <c r="AZ62" s="1"/>
      <c r="BA62" s="1"/>
      <c r="BB62" s="3"/>
      <c r="BC62" s="3">
        <f>2240*0.08</f>
        <v>179.20000000000002</v>
      </c>
      <c r="BD62" s="1"/>
      <c r="BE62" s="1"/>
      <c r="BF62" s="3"/>
      <c r="BG62" s="1"/>
      <c r="BH62" s="1"/>
      <c r="BI62" s="1"/>
      <c r="BJ62" s="1"/>
      <c r="BK62" s="1"/>
      <c r="BL62" s="1"/>
      <c r="BN62" s="1"/>
      <c r="BO62" s="1"/>
      <c r="BP62" s="1"/>
      <c r="BQ62" s="1"/>
      <c r="BR62" s="1"/>
      <c r="BS62" s="1"/>
      <c r="BT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K62" s="1"/>
      <c r="CL62" s="1"/>
      <c r="CM62" s="1"/>
      <c r="CN62" s="1"/>
      <c r="CO62" s="1"/>
      <c r="CP62" s="1"/>
      <c r="CQ62" s="1">
        <f>20*4.08290155440415</f>
        <v>81.658031088082993</v>
      </c>
      <c r="CR62" s="1"/>
      <c r="CS62" s="1"/>
      <c r="CT62" s="1">
        <f>20*3.77262443438914</f>
        <v>75.452488687782804</v>
      </c>
      <c r="CU62" s="1">
        <f>20*3.69976044716529</f>
        <v>73.995208943305798</v>
      </c>
      <c r="CV62" s="1"/>
      <c r="CW62" s="3">
        <f>20*3.77073906485671</f>
        <v>75.414781297134198</v>
      </c>
      <c r="CX62" s="1"/>
      <c r="CZ62" s="1">
        <v>75.724368298428985</v>
      </c>
      <c r="DA62" s="1">
        <v>54.479960165695957</v>
      </c>
      <c r="DB62" s="1">
        <v>69.177141985694817</v>
      </c>
    </row>
    <row r="63" spans="1:106" x14ac:dyDescent="0.25">
      <c r="A63" s="8">
        <f t="shared" si="6"/>
        <v>1896</v>
      </c>
      <c r="C63" s="1"/>
      <c r="D63" s="1"/>
      <c r="F63" s="1"/>
      <c r="G63" s="1"/>
      <c r="H63" s="3">
        <f>2240*0.0122549019607843</f>
        <v>27.450980392156833</v>
      </c>
      <c r="J63" s="1"/>
      <c r="K63" s="1"/>
      <c r="L63" s="1"/>
      <c r="M63" s="1"/>
      <c r="N63" s="1"/>
      <c r="O63" s="1"/>
      <c r="P63" s="1"/>
      <c r="Q63" s="1"/>
      <c r="R63" s="3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>
        <f>20*4.59897172236504</f>
        <v>91.979434447300804</v>
      </c>
      <c r="AP63" s="1"/>
      <c r="AQ63" s="1"/>
      <c r="AR63" s="1">
        <f>20*5</f>
        <v>100</v>
      </c>
      <c r="AS63" s="3"/>
      <c r="AT63" s="3"/>
      <c r="AU63" s="3"/>
      <c r="AV63" s="13"/>
      <c r="AW63" s="1"/>
      <c r="AX63" s="1"/>
      <c r="AY63" s="1"/>
      <c r="AZ63" s="1"/>
      <c r="BA63" s="1"/>
      <c r="BB63" s="3"/>
      <c r="BC63" s="3">
        <f>2240*0.0792079207920792</f>
        <v>177.42574257425738</v>
      </c>
      <c r="BD63" s="3"/>
      <c r="BE63" s="3"/>
      <c r="BI63" s="1"/>
      <c r="BJ63" s="1"/>
      <c r="BK63" s="1"/>
      <c r="BL63" s="1"/>
      <c r="BN63" s="1"/>
      <c r="BO63" s="1"/>
      <c r="BP63" s="1"/>
      <c r="BQ63" s="1"/>
      <c r="BR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K63" s="1"/>
      <c r="CL63" s="1"/>
      <c r="CM63" s="1"/>
      <c r="CN63" s="1"/>
      <c r="CO63" s="1"/>
      <c r="CP63" s="1"/>
      <c r="CQ63" s="1">
        <f>20*4.64795918367347</f>
        <v>92.959183673469411</v>
      </c>
      <c r="CR63" s="1"/>
      <c r="CS63" s="1"/>
      <c r="CT63" s="1">
        <f>20*4.32692307692308</f>
        <v>86.538461538461604</v>
      </c>
      <c r="CU63" s="1">
        <f>20*3.61990950226244</f>
        <v>72.398190045248796</v>
      </c>
      <c r="CV63" s="1"/>
      <c r="CW63" s="3">
        <f>20*3.77073906485671</f>
        <v>75.414781297134198</v>
      </c>
      <c r="CX63" s="1"/>
      <c r="CZ63" s="1">
        <v>84.67382754550863</v>
      </c>
      <c r="DA63" s="1">
        <v>51.13184644846018</v>
      </c>
      <c r="DB63" s="1">
        <v>63.880255255211459</v>
      </c>
    </row>
    <row r="64" spans="1:106" x14ac:dyDescent="0.25">
      <c r="A64" s="8">
        <f t="shared" si="6"/>
        <v>1897</v>
      </c>
      <c r="C64" s="1"/>
      <c r="D64" s="1"/>
      <c r="E64" s="1">
        <f>2240*0.0392156862745098</f>
        <v>87.843137254901961</v>
      </c>
      <c r="F64" s="1"/>
      <c r="G64" s="1"/>
      <c r="H64" s="3">
        <f>2240*0.0122555718105772</f>
        <v>27.452480855692929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K64" s="1"/>
      <c r="AL64" s="1"/>
      <c r="AM64" s="1"/>
      <c r="AN64" s="1"/>
      <c r="AO64" s="1">
        <f>20*4</f>
        <v>80</v>
      </c>
      <c r="AP64" s="1"/>
      <c r="AQ64" s="1"/>
      <c r="AR64" s="1">
        <f>20*4.60006393861893</f>
        <v>92.001278772378598</v>
      </c>
      <c r="AS64" s="3"/>
      <c r="AT64" s="3"/>
      <c r="AU64" s="3"/>
      <c r="AV64" s="13"/>
      <c r="AW64" s="1"/>
      <c r="AX64" s="1"/>
      <c r="AY64" s="1"/>
      <c r="AZ64" s="1"/>
      <c r="BA64" s="1"/>
      <c r="BC64" s="3"/>
      <c r="BI64" s="1"/>
      <c r="BL64" s="1"/>
      <c r="BN64" s="1"/>
      <c r="BO64" s="1"/>
      <c r="BP64" s="1"/>
      <c r="BQ64" s="1"/>
      <c r="BR64" s="1"/>
      <c r="BS64" s="1"/>
      <c r="BT64" s="1"/>
      <c r="BU64" s="1">
        <f>2240*0.0808080808080808</f>
        <v>181.01010101010098</v>
      </c>
      <c r="BV64" s="3"/>
      <c r="BW64" s="3"/>
      <c r="BX64" s="3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K64" s="1"/>
      <c r="CL64" s="1"/>
      <c r="CM64" s="1"/>
      <c r="CN64" s="1"/>
      <c r="CO64" s="1"/>
      <c r="CP64" s="1"/>
      <c r="CQ64" s="1">
        <f>20*4.49122807017544</f>
        <v>89.824561403508795</v>
      </c>
      <c r="CR64" s="1"/>
      <c r="CS64" s="1"/>
      <c r="CT64" s="1">
        <f>20*4.23831070889894</f>
        <v>84.766214177978796</v>
      </c>
      <c r="CU64" s="1">
        <f>20*4.24809858476942</f>
        <v>84.961971695388399</v>
      </c>
      <c r="CV64" s="1"/>
      <c r="CW64" s="3">
        <f>20*3.52960912605903</f>
        <v>70.592182521180604</v>
      </c>
      <c r="CX64" s="3"/>
      <c r="CZ64" s="1">
        <v>90.599041725887361</v>
      </c>
      <c r="DA64" s="1">
        <v>49.428283064191724</v>
      </c>
      <c r="DB64" s="1">
        <v>59.408439367701042</v>
      </c>
    </row>
    <row r="65" spans="1:106" x14ac:dyDescent="0.25">
      <c r="A65" s="8">
        <f t="shared" si="6"/>
        <v>1898</v>
      </c>
      <c r="C65" s="1"/>
      <c r="D65" s="1"/>
      <c r="E65" s="1">
        <f>2240*0.07875281260045</f>
        <v>176.40630022500801</v>
      </c>
      <c r="F65" s="1"/>
      <c r="G65" s="1"/>
      <c r="H65" s="1"/>
      <c r="I65" s="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K65" s="1"/>
      <c r="AL65" s="1"/>
      <c r="AM65" s="1"/>
      <c r="AN65" s="1"/>
      <c r="AO65" s="1">
        <f>20*4.00113250283126</f>
        <v>80.02265005662521</v>
      </c>
      <c r="AP65" s="1"/>
      <c r="AQ65" s="1"/>
      <c r="AR65" s="1">
        <f>20*4.39987562189055</f>
        <v>87.997512437811011</v>
      </c>
      <c r="AS65" s="3"/>
      <c r="AT65" s="3"/>
      <c r="AU65" s="3"/>
      <c r="AV65" s="3"/>
      <c r="AW65" s="1"/>
      <c r="AX65" s="1"/>
      <c r="AY65" s="1"/>
      <c r="AZ65" s="1"/>
      <c r="BA65" s="1"/>
      <c r="BB65" s="3"/>
      <c r="BC65" s="3">
        <f>2240*0.0914285714285714</f>
        <v>204.79999999999993</v>
      </c>
      <c r="BD65" s="3"/>
      <c r="BE65" s="3"/>
      <c r="BF65" s="3"/>
      <c r="BG65" s="1"/>
      <c r="BH65" s="1"/>
      <c r="BI65" s="1"/>
      <c r="BL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K65" s="1"/>
      <c r="CL65" s="1"/>
      <c r="CM65" s="1"/>
      <c r="CN65" s="1"/>
      <c r="CO65" s="1"/>
      <c r="CP65" s="1"/>
      <c r="CQ65" s="1">
        <f>20*3.67839195979899</f>
        <v>73.567839195979801</v>
      </c>
      <c r="CR65" s="1"/>
      <c r="CS65" s="1"/>
      <c r="CT65" s="1">
        <f>20*4.2420814479638</f>
        <v>84.841628959275994</v>
      </c>
      <c r="CU65" s="1">
        <f>20*4.24403183023873</f>
        <v>84.880636604774594</v>
      </c>
      <c r="CV65" s="1"/>
      <c r="CW65" s="3">
        <f>20*4.91898166676171</f>
        <v>98.379633335234203</v>
      </c>
      <c r="CX65" s="1"/>
      <c r="CZ65" s="1">
        <v>82.346748871993569</v>
      </c>
      <c r="DA65" s="1">
        <v>49.448294847522135</v>
      </c>
      <c r="DB65" s="1">
        <v>58.139874249249239</v>
      </c>
    </row>
    <row r="66" spans="1:106" x14ac:dyDescent="0.25">
      <c r="A66" s="8">
        <f t="shared" si="6"/>
        <v>1899</v>
      </c>
      <c r="C66" s="1"/>
      <c r="D66" s="1"/>
      <c r="E66" s="1">
        <f>2240*0.0882352941176471</f>
        <v>197.64705882352951</v>
      </c>
      <c r="F66" s="1"/>
      <c r="G66" s="1"/>
      <c r="H66" s="1"/>
      <c r="I66" s="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K66" s="1"/>
      <c r="AL66" s="1"/>
      <c r="AM66" s="1"/>
      <c r="AN66" s="1"/>
      <c r="AO66" s="1">
        <f>20*3.00315457413249</f>
        <v>60.063091482649796</v>
      </c>
      <c r="AP66" s="1"/>
      <c r="AQ66" s="1"/>
      <c r="AR66" s="1">
        <f>20*4</f>
        <v>80</v>
      </c>
      <c r="AS66" s="3"/>
      <c r="AT66" s="3"/>
      <c r="AU66" s="3"/>
      <c r="AV66" s="3"/>
      <c r="AW66" s="1"/>
      <c r="AX66" s="1"/>
      <c r="AY66" s="1"/>
      <c r="AZ66" s="1"/>
      <c r="BA66" s="1"/>
      <c r="BC66" s="1"/>
      <c r="BD66" s="1"/>
      <c r="BE66" s="1"/>
      <c r="BF66" s="1"/>
      <c r="BG66" s="1"/>
      <c r="BH66" s="1"/>
      <c r="BI66" s="1"/>
      <c r="BL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K66" s="1"/>
      <c r="CL66" s="1"/>
      <c r="CM66" s="1"/>
      <c r="CN66" s="1"/>
      <c r="CO66" s="1"/>
      <c r="CP66" s="1"/>
      <c r="CQ66" s="1">
        <f>20*3.33928571428571</f>
        <v>66.785714285714192</v>
      </c>
      <c r="CR66" s="1"/>
      <c r="CS66" s="1"/>
      <c r="CT66" s="1">
        <f>20*7.23981900452489</f>
        <v>144.79638009049779</v>
      </c>
      <c r="CU66" s="1">
        <f>20*4.60157987575734</f>
        <v>92.031597515146785</v>
      </c>
      <c r="CV66" s="1"/>
      <c r="CW66" s="3">
        <f>20*4.94632566968462</f>
        <v>98.926513393692389</v>
      </c>
      <c r="CX66" s="1"/>
      <c r="CZ66" s="1">
        <v>75.471353282822889</v>
      </c>
      <c r="DA66" s="1">
        <v>45.811146923617251</v>
      </c>
      <c r="DB66" s="1">
        <v>62.709645771475202</v>
      </c>
    </row>
    <row r="67" spans="1:106" x14ac:dyDescent="0.25">
      <c r="A67" s="8">
        <f t="shared" si="6"/>
        <v>1900</v>
      </c>
      <c r="C67" s="1"/>
      <c r="D67" s="1"/>
      <c r="E67" s="1">
        <f>2240*0.0882352941176471</f>
        <v>197.64705882352951</v>
      </c>
      <c r="F67" s="1"/>
      <c r="G67" s="1"/>
      <c r="H67" s="1"/>
      <c r="I67" s="3"/>
      <c r="K67" s="1"/>
      <c r="L67" s="1"/>
      <c r="M67" s="1"/>
      <c r="N67" s="1"/>
      <c r="O67" s="1"/>
      <c r="P67" s="1"/>
      <c r="Q67" s="1"/>
      <c r="R67" s="1"/>
      <c r="S67" s="1"/>
      <c r="T67" s="3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J67" s="1"/>
      <c r="AK67" s="1"/>
      <c r="AL67" s="1"/>
      <c r="AM67" s="1"/>
      <c r="AN67" s="1"/>
      <c r="AO67" s="1">
        <f>20*2.99639855942377</f>
        <v>59.927971188475404</v>
      </c>
      <c r="AP67" s="1"/>
      <c r="AQ67" s="1"/>
      <c r="AR67" s="1">
        <f>20*3</f>
        <v>60</v>
      </c>
      <c r="AS67" s="3"/>
      <c r="AT67" s="3"/>
      <c r="AU67" s="3"/>
      <c r="AV67" s="3"/>
      <c r="AW67" s="1"/>
      <c r="AX67" s="1"/>
      <c r="AY67" s="1"/>
      <c r="AZ67" s="1"/>
      <c r="BA67" s="1"/>
      <c r="BC67" s="1"/>
      <c r="BD67" s="1"/>
      <c r="BE67" s="1"/>
      <c r="BF67" s="1"/>
      <c r="BG67" s="1"/>
      <c r="BH67" s="1"/>
      <c r="BI67" s="1"/>
      <c r="BJ67" s="1">
        <f>20*5.03578047413017</f>
        <v>100.7156094826034</v>
      </c>
      <c r="BK67" s="1"/>
      <c r="BL67" s="1"/>
      <c r="BO67" s="1"/>
      <c r="BP67" s="1"/>
      <c r="BQ67" s="1"/>
      <c r="BR67" s="1"/>
      <c r="BS67" s="1"/>
      <c r="BT67" s="3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K67" s="1"/>
      <c r="CL67" s="1"/>
      <c r="CM67" s="1"/>
      <c r="CN67" s="1"/>
      <c r="CO67" s="1"/>
      <c r="CP67" s="1"/>
      <c r="CQ67" s="1">
        <f>20*3.18237082066869</f>
        <v>63.647416413373804</v>
      </c>
      <c r="CR67" s="1"/>
      <c r="CS67" s="1"/>
      <c r="CT67" s="1">
        <f>20*4.52488687782805</f>
        <v>90.497737556560992</v>
      </c>
      <c r="CU67" s="1">
        <f>20*4.52488687782805</f>
        <v>90.497737556560992</v>
      </c>
      <c r="CV67" s="1"/>
      <c r="CW67" s="3">
        <f>20*4.53272791794517</f>
        <v>90.654558358903401</v>
      </c>
      <c r="CX67" s="1"/>
      <c r="CZ67" s="1">
        <v>73.961495558536683</v>
      </c>
      <c r="DA67" s="1">
        <v>49.232804205706117</v>
      </c>
      <c r="DB67" s="1">
        <v>61.817917897581886</v>
      </c>
    </row>
    <row r="68" spans="1:106" x14ac:dyDescent="0.25">
      <c r="A68" s="8">
        <f t="shared" si="6"/>
        <v>1901</v>
      </c>
      <c r="C68" s="1"/>
      <c r="D68" s="1"/>
      <c r="E68" s="1">
        <f>2240*0.0490196078431373</f>
        <v>109.80392156862756</v>
      </c>
      <c r="F68" s="1"/>
      <c r="G68" s="1"/>
      <c r="H68" s="1"/>
      <c r="I68" s="3"/>
      <c r="K68" s="1"/>
      <c r="L68" s="1"/>
      <c r="M68" s="1"/>
      <c r="N68" s="1"/>
      <c r="O68" s="1"/>
      <c r="P68" s="1"/>
      <c r="Q68" s="1"/>
      <c r="R68" s="1"/>
      <c r="S68" s="1"/>
      <c r="T68" s="3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J68" s="1"/>
      <c r="AK68" s="1"/>
      <c r="AL68" s="1"/>
      <c r="AM68" s="1"/>
      <c r="AN68" s="1"/>
      <c r="AO68" s="1">
        <f>20*3.99784482758621</f>
        <v>79.956896551724199</v>
      </c>
      <c r="AP68" s="1"/>
      <c r="AQ68" s="1"/>
      <c r="AR68" s="1">
        <f>20*3.6</f>
        <v>72</v>
      </c>
      <c r="AS68" s="3"/>
      <c r="AT68" s="3"/>
      <c r="AU68" s="3"/>
      <c r="AV68" s="3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>
        <f>20*4.97132311545837</f>
        <v>99.426462309167391</v>
      </c>
      <c r="BK68" s="1"/>
      <c r="BL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K68" s="1"/>
      <c r="CL68" s="1"/>
      <c r="CM68" s="1"/>
      <c r="CN68" s="1"/>
      <c r="CO68" s="1"/>
      <c r="CP68" s="1"/>
      <c r="CQ68" s="1">
        <f>20*3</f>
        <v>60</v>
      </c>
      <c r="CR68" s="1"/>
      <c r="CS68" s="1"/>
      <c r="CT68" s="1">
        <f>20*4.52488687782805</f>
        <v>90.497737556560992</v>
      </c>
      <c r="CU68" s="1">
        <f>20*4.52488687782805</f>
        <v>90.497737556560992</v>
      </c>
      <c r="CV68" s="1"/>
      <c r="CW68" s="3">
        <f>20*5.31368472544943</f>
        <v>106.2736945089886</v>
      </c>
      <c r="CX68" s="1"/>
      <c r="CZ68" s="1">
        <v>76.546701543326549</v>
      </c>
      <c r="DA68" s="1">
        <v>37.836258880580395</v>
      </c>
      <c r="DB68" s="1">
        <v>60.052373025195266</v>
      </c>
    </row>
    <row r="69" spans="1:106" x14ac:dyDescent="0.25">
      <c r="A69" s="8">
        <f t="shared" si="6"/>
        <v>1902</v>
      </c>
      <c r="C69" s="1"/>
      <c r="D69" s="1"/>
      <c r="E69" s="1">
        <f>2240*0.0245067641344024</f>
        <v>54.895151661061377</v>
      </c>
      <c r="F69" s="1"/>
      <c r="G69" s="1"/>
      <c r="H69" s="1"/>
      <c r="I69" s="3"/>
      <c r="K69" s="1"/>
      <c r="L69" s="1"/>
      <c r="M69" s="1"/>
      <c r="N69" s="1"/>
      <c r="O69" s="1"/>
      <c r="P69" s="1"/>
      <c r="Q69" s="1"/>
      <c r="R69" s="1"/>
      <c r="S69" s="1"/>
      <c r="T69" s="1">
        <f>20*8.40336134453782</f>
        <v>168.06722689075642</v>
      </c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J69" s="1"/>
      <c r="AK69" s="1"/>
      <c r="AL69" s="1"/>
      <c r="AM69" s="1"/>
      <c r="AN69" s="1"/>
      <c r="AO69" s="1">
        <f>20*3.60840336134454</f>
        <v>72.168067226890798</v>
      </c>
      <c r="AP69" s="1"/>
      <c r="AQ69" s="1"/>
      <c r="AR69" s="1">
        <f>20*4</f>
        <v>80</v>
      </c>
      <c r="AS69" s="3"/>
      <c r="AT69" s="3"/>
      <c r="AU69" s="3"/>
      <c r="AV69" s="3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3">
        <f>2240*0.0412315798626075</f>
        <v>92.358738892240794</v>
      </c>
      <c r="BH69" s="1">
        <f>2240*0.0469454369869628</f>
        <v>105.15777885079667</v>
      </c>
      <c r="BI69" s="1"/>
      <c r="BJ69" s="1">
        <f>20*5.87022953487508</f>
        <v>117.4045906975016</v>
      </c>
      <c r="BK69" s="1"/>
      <c r="BL69" s="1">
        <f>20*5.4412955465587</f>
        <v>108.82591093117399</v>
      </c>
      <c r="BO69" s="1"/>
      <c r="BP69" s="1"/>
      <c r="BQ69" s="1"/>
      <c r="BR69" s="1"/>
      <c r="BS69" s="1">
        <f>2240*0.0510973006223766</f>
        <v>114.45795339412358</v>
      </c>
      <c r="BT69" s="1"/>
      <c r="BU69" s="1"/>
      <c r="BV69" s="1"/>
      <c r="BW69" s="1"/>
      <c r="BX69" s="1"/>
      <c r="BY69" s="1"/>
      <c r="BZ69" s="1"/>
      <c r="CA69" s="1"/>
      <c r="CC69" s="1"/>
      <c r="CD69" s="1"/>
      <c r="CE69" s="1"/>
      <c r="CF69" s="1"/>
      <c r="CG69" s="1"/>
      <c r="CH69" s="1"/>
      <c r="CI69" s="1"/>
      <c r="CK69" s="1"/>
      <c r="CL69" s="1"/>
      <c r="CM69" s="1"/>
      <c r="CN69" s="1"/>
      <c r="CO69" s="1"/>
      <c r="CP69" s="1"/>
      <c r="CQ69" s="1">
        <f>20*2.16316736652669</f>
        <v>43.263347330533797</v>
      </c>
      <c r="CR69" s="1"/>
      <c r="CS69" s="1"/>
      <c r="CT69" s="1">
        <f>20*4.4125</f>
        <v>88.25</v>
      </c>
      <c r="CU69" s="1"/>
      <c r="CV69" s="1"/>
      <c r="CZ69" s="1">
        <v>74.745959312422315</v>
      </c>
      <c r="DA69" s="1">
        <v>42.841616948691588</v>
      </c>
      <c r="DB69" s="1">
        <v>58.952577575503504</v>
      </c>
    </row>
    <row r="70" spans="1:106" x14ac:dyDescent="0.25">
      <c r="A70" s="8">
        <f t="shared" si="6"/>
        <v>1903</v>
      </c>
      <c r="C70" s="1"/>
      <c r="D70" s="1"/>
      <c r="E70" s="1">
        <f>2240*0.0343174381593082</f>
        <v>76.871061476850358</v>
      </c>
      <c r="F70" s="1"/>
      <c r="G70" s="1"/>
      <c r="H70" s="1"/>
      <c r="I70" s="3"/>
      <c r="K70" s="1"/>
      <c r="L70" s="1"/>
      <c r="M70" s="1"/>
      <c r="N70" s="1"/>
      <c r="O70" s="1"/>
      <c r="P70" s="1"/>
      <c r="Q70" s="3"/>
      <c r="R70" s="1"/>
      <c r="S70" s="1"/>
      <c r="T70" s="1">
        <f>20*10</f>
        <v>200</v>
      </c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J70" s="1"/>
      <c r="AK70" s="1"/>
      <c r="AL70" s="1"/>
      <c r="AM70" s="1"/>
      <c r="AN70" s="1"/>
      <c r="AO70" s="1">
        <f>20*2.83413461538462</f>
        <v>56.682692307692399</v>
      </c>
      <c r="AP70" s="1"/>
      <c r="AQ70" s="1"/>
      <c r="AR70" s="1">
        <f>20*4</f>
        <v>80</v>
      </c>
      <c r="AS70" s="3"/>
      <c r="AT70" s="3"/>
      <c r="AU70" s="3"/>
      <c r="AV70" s="3"/>
      <c r="AW70" s="1"/>
      <c r="AX70" s="1"/>
      <c r="AY70" s="1"/>
      <c r="AZ70" s="1"/>
      <c r="BA70" s="1"/>
      <c r="BC70" s="1"/>
      <c r="BD70" s="1"/>
      <c r="BE70" s="1"/>
      <c r="BF70" s="1"/>
      <c r="BG70" s="3">
        <f>2240*0.0495371696787218</f>
        <v>110.96326008033684</v>
      </c>
      <c r="BH70" s="1">
        <f>2240*0.0677921745603424</f>
        <v>151.85447101516695</v>
      </c>
      <c r="BI70" s="1"/>
      <c r="BJ70" s="1">
        <f>20*5.79756736479606</f>
        <v>115.9513472959212</v>
      </c>
      <c r="BK70" s="1"/>
      <c r="BM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C70" s="1"/>
      <c r="CD70" s="1"/>
      <c r="CE70" s="1"/>
      <c r="CF70" s="1"/>
      <c r="CG70" s="1"/>
      <c r="CH70" s="1"/>
      <c r="CI70" s="1"/>
      <c r="CK70" s="1">
        <f>2240*0.0249888309754281</f>
        <v>55.974981384958944</v>
      </c>
      <c r="CL70" s="1">
        <f>2240*0.025</f>
        <v>56</v>
      </c>
      <c r="CM70" s="1"/>
      <c r="CN70" s="1"/>
      <c r="CO70" s="1"/>
      <c r="CP70" s="1"/>
      <c r="CR70" s="1"/>
      <c r="CS70" s="1"/>
      <c r="CT70" s="1">
        <f>20*5.5</f>
        <v>110</v>
      </c>
      <c r="CU70" s="1"/>
      <c r="CV70" s="1"/>
      <c r="CZ70" s="1">
        <v>79.929382850915331</v>
      </c>
      <c r="DA70" s="1">
        <v>46.744314456777978</v>
      </c>
      <c r="DB70" s="1">
        <v>61.298668233446229</v>
      </c>
    </row>
    <row r="71" spans="1:106" x14ac:dyDescent="0.25">
      <c r="A71" s="8">
        <f t="shared" si="6"/>
        <v>1904</v>
      </c>
      <c r="C71" s="1"/>
      <c r="D71" s="1"/>
      <c r="E71" s="1">
        <f>2240*0.0294117647058824</f>
        <v>65.882352941176578</v>
      </c>
      <c r="F71" s="1"/>
      <c r="G71" s="1"/>
      <c r="H71" s="1"/>
      <c r="I71" s="3"/>
      <c r="K71" s="1"/>
      <c r="L71" s="1"/>
      <c r="M71" s="1"/>
      <c r="N71" s="1"/>
      <c r="O71" s="1"/>
      <c r="P71" s="1"/>
      <c r="Q71" s="1"/>
      <c r="R71" s="3"/>
      <c r="S71" s="1"/>
      <c r="T71" s="1">
        <f>20*9.04761904761905</f>
        <v>180.95238095238099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J71" s="1"/>
      <c r="AK71" s="1"/>
      <c r="AL71" s="1"/>
      <c r="AM71" s="1"/>
      <c r="AN71" s="1"/>
      <c r="AO71" s="1">
        <f>20*3.60883280757098</f>
        <v>72.176656151419593</v>
      </c>
      <c r="AP71" s="1"/>
      <c r="AQ71" s="1"/>
      <c r="AR71" s="1">
        <f>20*4</f>
        <v>80</v>
      </c>
      <c r="AS71" s="1"/>
      <c r="AT71" s="3"/>
      <c r="AU71" s="3"/>
      <c r="AV71" s="3"/>
      <c r="AW71" s="1"/>
      <c r="AX71" s="1"/>
      <c r="AY71" s="1"/>
      <c r="AZ71" s="1"/>
      <c r="BA71" s="1"/>
      <c r="BC71" s="1"/>
      <c r="BD71" s="1"/>
      <c r="BE71" s="1"/>
      <c r="BF71" s="1"/>
      <c r="BG71" s="3">
        <f>2240*0.063227071247588</f>
        <v>141.62863959459713</v>
      </c>
      <c r="BH71" s="1">
        <f>2240*0.0561499523386911</f>
        <v>125.77589323866806</v>
      </c>
      <c r="BI71" s="1"/>
      <c r="BJ71" s="1">
        <f>20*4.60720323326541</f>
        <v>92.144064665308193</v>
      </c>
      <c r="BK71" s="1"/>
      <c r="BL71" s="1">
        <f>20*6.25539477024626</f>
        <v>125.10789540492519</v>
      </c>
      <c r="BM71" s="1"/>
      <c r="BN71" s="1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K71" s="1">
        <f>2240*0.0249910447761194</f>
        <v>55.979940298507451</v>
      </c>
      <c r="CL71" s="1">
        <f>2240*0.0290513833992095</f>
        <v>65.075098814229278</v>
      </c>
      <c r="CM71" s="1"/>
      <c r="CN71" s="1"/>
      <c r="CO71" s="1"/>
      <c r="CP71" s="1"/>
      <c r="CR71" s="1"/>
      <c r="CS71" s="1"/>
      <c r="CT71" s="1">
        <f>20*6.65</f>
        <v>133</v>
      </c>
      <c r="CU71" s="1"/>
      <c r="CV71" s="1"/>
      <c r="CZ71" s="1"/>
      <c r="DA71" s="1">
        <v>49.492147343359044</v>
      </c>
      <c r="DB71" s="1">
        <v>69.106327071812288</v>
      </c>
    </row>
    <row r="72" spans="1:106" x14ac:dyDescent="0.25">
      <c r="A72" s="8">
        <f t="shared" ref="A72:A103" si="9">A71+1</f>
        <v>1905</v>
      </c>
      <c r="C72" s="1"/>
      <c r="D72" s="1"/>
      <c r="E72" s="1">
        <f>2240*0.0294013850599528</f>
        <v>65.859102534294266</v>
      </c>
      <c r="F72" s="1"/>
      <c r="G72" s="1"/>
      <c r="H72" s="1"/>
      <c r="I72" s="3"/>
      <c r="J72">
        <f>2240*0.017</f>
        <v>38.080000000000005</v>
      </c>
      <c r="K72" s="1"/>
      <c r="L72" s="1"/>
      <c r="M72" s="1"/>
      <c r="N72" s="1"/>
      <c r="O72" s="1"/>
      <c r="P72" s="1"/>
      <c r="Q72" s="1"/>
      <c r="R72" s="3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J72" s="1"/>
      <c r="AK72" s="1"/>
      <c r="AL72" s="1"/>
      <c r="AM72" s="1"/>
      <c r="AN72" s="1"/>
      <c r="AO72" s="1">
        <f>20*3.59832635983264</f>
        <v>71.966527196652791</v>
      </c>
      <c r="AP72" s="1"/>
      <c r="AQ72" s="1"/>
      <c r="AR72" s="1">
        <f>20*4</f>
        <v>80</v>
      </c>
      <c r="AS72" s="1"/>
      <c r="AT72" s="3"/>
      <c r="AU72" s="3"/>
      <c r="AV72" s="3"/>
      <c r="AW72" s="1"/>
      <c r="AX72" s="1"/>
      <c r="AY72" s="1"/>
      <c r="AZ72" s="1"/>
      <c r="BA72" s="1"/>
      <c r="BB72" s="1"/>
      <c r="BD72" s="1">
        <f>2240*0.0895167021585174</f>
        <v>200.51741283507897</v>
      </c>
      <c r="BE72" s="1"/>
      <c r="BF72" s="1"/>
      <c r="BG72" s="1">
        <f>2240*0.0682633447140733</f>
        <v>152.90989215952419</v>
      </c>
      <c r="BH72" s="1">
        <f>2240*0.0630982613791756</f>
        <v>141.34010548935333</v>
      </c>
      <c r="BI72" s="1"/>
      <c r="BJ72" s="1">
        <f>20*4.37817872856926</f>
        <v>87.563574571385203</v>
      </c>
      <c r="BK72" s="1"/>
      <c r="BL72" s="1"/>
      <c r="BM72" s="1">
        <f>20*4.90180995475113</f>
        <v>98.036199095022596</v>
      </c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K72" s="1">
        <f>2240*0.0291154201292705</f>
        <v>65.218541089565917</v>
      </c>
      <c r="CL72" s="1">
        <f>2240*0.0288742345737164</f>
        <v>64.678285445124729</v>
      </c>
      <c r="CM72" s="1"/>
      <c r="CN72" s="1"/>
      <c r="CO72" s="1"/>
      <c r="CP72" s="1"/>
      <c r="CR72" s="1"/>
      <c r="CS72" s="1"/>
      <c r="CT72" s="1">
        <f>20*6.69333333333333</f>
        <v>133.86666666666659</v>
      </c>
      <c r="CU72" s="1"/>
      <c r="CV72" s="1"/>
      <c r="CZ72" s="1">
        <v>75.815303411709863</v>
      </c>
      <c r="DA72" s="1">
        <v>42.837897898052795</v>
      </c>
      <c r="DB72" s="1">
        <v>69.142342342398521</v>
      </c>
    </row>
    <row r="73" spans="1:106" x14ac:dyDescent="0.25">
      <c r="A73" s="8">
        <f t="shared" si="9"/>
        <v>1906</v>
      </c>
      <c r="C73" s="1"/>
      <c r="D73" s="1"/>
      <c r="E73" s="1">
        <f>2240*0.0348032726842759</f>
        <v>77.95933081277802</v>
      </c>
      <c r="F73" s="1"/>
      <c r="G73" s="1"/>
      <c r="H73" s="1"/>
      <c r="I73" s="3"/>
      <c r="K73" s="1"/>
      <c r="L73" s="1"/>
      <c r="M73" s="1"/>
      <c r="N73" s="1"/>
      <c r="O73" s="1"/>
      <c r="P73" s="1"/>
      <c r="Q73" s="3"/>
      <c r="R73" s="3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J73" s="1"/>
      <c r="AK73" s="1"/>
      <c r="AL73" s="1"/>
      <c r="AM73" s="1"/>
      <c r="AN73" s="1"/>
      <c r="AO73" s="1">
        <f>20*3.59947984395319</f>
        <v>71.989596879063797</v>
      </c>
      <c r="AP73" s="1"/>
      <c r="AQ73" s="1"/>
      <c r="AR73" s="1">
        <f>20*4.00057372346529</f>
        <v>80.011474469305796</v>
      </c>
      <c r="AS73" s="1"/>
      <c r="AT73" s="3"/>
      <c r="AU73" s="3"/>
      <c r="AV73" s="3"/>
      <c r="AW73" s="1"/>
      <c r="AX73" s="1"/>
      <c r="AY73" s="1"/>
      <c r="AZ73" s="1"/>
      <c r="BA73" s="1"/>
      <c r="BD73" s="1">
        <f>2240*0.102758072858937</f>
        <v>230.17808320401886</v>
      </c>
      <c r="BE73" s="1"/>
      <c r="BF73" s="1"/>
      <c r="BG73" s="1">
        <f>2240*0.0589484406126928</f>
        <v>132.04450697243186</v>
      </c>
      <c r="BH73" s="1">
        <f>2240*0.0660678035912171</f>
        <v>147.99188004432631</v>
      </c>
      <c r="BI73" s="1"/>
      <c r="BJ73" s="1"/>
      <c r="BK73" s="1"/>
      <c r="BL73" s="1"/>
      <c r="BM73" s="1">
        <f>20*4.90196078431373</f>
        <v>98.039215686274602</v>
      </c>
      <c r="BN73" s="1"/>
      <c r="BO73" s="1"/>
      <c r="BP73" s="1"/>
      <c r="BQ73" s="1"/>
      <c r="BR73" s="1"/>
      <c r="BS73" s="1"/>
      <c r="BT73" s="1"/>
      <c r="BU73" s="1"/>
      <c r="BV73" s="1">
        <f>2240*0.0717120832259425</f>
        <v>160.63506642611119</v>
      </c>
      <c r="BW73" s="1"/>
      <c r="BX73" s="1"/>
      <c r="BY73" s="3">
        <f>2240*0.0855354482126256</f>
        <v>191.59940399628135</v>
      </c>
      <c r="BZ73" s="1"/>
      <c r="CA73" s="1"/>
      <c r="CB73" s="1">
        <f>2240*0.0686320939590301</f>
        <v>153.73589046822741</v>
      </c>
      <c r="CC73" s="1"/>
      <c r="CD73" s="1"/>
      <c r="CE73" s="1"/>
      <c r="CF73" s="1"/>
      <c r="CG73" s="1"/>
      <c r="CH73" s="1"/>
      <c r="CI73" s="1"/>
      <c r="CK73" s="1">
        <f>2240*0.0266666666666667</f>
        <v>59.733333333333405</v>
      </c>
      <c r="CL73" s="1">
        <f>2240*0.0270823220064725</f>
        <v>60.664401294498397</v>
      </c>
      <c r="CM73" s="1"/>
      <c r="CN73" s="1"/>
      <c r="CO73" s="1"/>
      <c r="CP73" s="1"/>
      <c r="CQ73" s="3">
        <f>20*5.99352051835853</f>
        <v>119.87041036717059</v>
      </c>
      <c r="CR73" s="1"/>
      <c r="CS73" s="1"/>
      <c r="CT73" s="1">
        <f>20*7.73913043478261</f>
        <v>154.78260869565221</v>
      </c>
      <c r="CU73" s="1"/>
      <c r="CV73" s="1"/>
      <c r="CZ73" s="1">
        <v>72.12354366836594</v>
      </c>
      <c r="DA73" s="1">
        <v>43.792538160538605</v>
      </c>
      <c r="DB73" s="1">
        <v>76.32350532345383</v>
      </c>
    </row>
    <row r="74" spans="1:106" x14ac:dyDescent="0.25">
      <c r="A74" s="8">
        <f t="shared" si="9"/>
        <v>1907</v>
      </c>
      <c r="C74" s="1"/>
      <c r="D74" s="1"/>
      <c r="E74" s="1">
        <f>2240*0.0367645796927637</f>
        <v>82.352658511790679</v>
      </c>
      <c r="F74" s="1"/>
      <c r="G74" s="1"/>
      <c r="H74" s="3"/>
      <c r="I74" s="3"/>
      <c r="K74" s="1"/>
      <c r="L74" s="1"/>
      <c r="M74" s="1"/>
      <c r="N74" s="1"/>
      <c r="O74" s="1"/>
      <c r="P74" s="1"/>
      <c r="Q74" s="1"/>
      <c r="R74" s="1"/>
      <c r="S74" s="3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J74" s="1"/>
      <c r="AK74" s="1"/>
      <c r="AL74" s="1">
        <v>110.11904761904762</v>
      </c>
      <c r="AM74" s="1"/>
      <c r="AN74" s="1"/>
      <c r="AO74" s="1">
        <f>20*3.60130718954248</f>
        <v>72.026143790849602</v>
      </c>
      <c r="AP74" s="1"/>
      <c r="AQ74" s="1"/>
      <c r="AR74" s="1">
        <f>20*4.20106288751107</f>
        <v>84.021257750221409</v>
      </c>
      <c r="AS74" s="1"/>
      <c r="AT74" s="3"/>
      <c r="AU74" s="3"/>
      <c r="AV74" s="3"/>
      <c r="AW74" s="1"/>
      <c r="AX74" s="1"/>
      <c r="AY74" s="1"/>
      <c r="AZ74" s="1"/>
      <c r="BA74" s="1"/>
      <c r="BF74" s="1"/>
      <c r="BG74" s="1">
        <f>2240*0.0810275147335194</f>
        <v>181.50163300308347</v>
      </c>
      <c r="BH74" s="3">
        <f>2240*0.0833364489475455</f>
        <v>186.6736456425019</v>
      </c>
      <c r="BI74" s="1"/>
      <c r="BJ74" s="1">
        <f>20*5.84993469443872</f>
        <v>116.9986938887744</v>
      </c>
      <c r="BK74" s="1"/>
      <c r="BL74" s="1"/>
      <c r="BM74" s="1">
        <f>20*4.90158371040724</f>
        <v>98.031674208144807</v>
      </c>
      <c r="BN74" s="1"/>
      <c r="BO74" s="1"/>
      <c r="BP74" s="1"/>
      <c r="BQ74" s="1"/>
      <c r="BR74" s="1"/>
      <c r="BS74" s="1"/>
      <c r="BT74" s="1"/>
      <c r="BU74" s="1"/>
      <c r="BV74" s="1">
        <f>2240*0.0797642815740323</f>
        <v>178.67199072583236</v>
      </c>
      <c r="BW74" s="1"/>
      <c r="BX74" s="1"/>
      <c r="BY74" s="3"/>
      <c r="BZ74" s="1"/>
      <c r="CA74" s="1"/>
      <c r="CB74" s="3">
        <f>2240*0.0714702118583819</f>
        <v>160.09327456277546</v>
      </c>
      <c r="CC74" s="1"/>
      <c r="CD74" s="1"/>
      <c r="CE74" s="1"/>
      <c r="CF74" s="1"/>
      <c r="CG74" s="1"/>
      <c r="CH74" s="1"/>
      <c r="CI74" s="1"/>
      <c r="CK74" s="1">
        <f>2240*0.0333333333333333</f>
        <v>74.666666666666586</v>
      </c>
      <c r="CL74" s="1">
        <f>2240*0.0345328377166766</f>
        <v>77.353556485355583</v>
      </c>
      <c r="CM74" s="1"/>
      <c r="CN74" s="1"/>
      <c r="CO74" s="1"/>
      <c r="CP74" s="1"/>
      <c r="CQ74" s="1">
        <f>20*6.21995464852608</f>
        <v>124.39909297052161</v>
      </c>
      <c r="CR74" s="1"/>
      <c r="CS74" s="1"/>
      <c r="CT74" s="1">
        <f>20*7.23636363636364</f>
        <v>144.7272727272728</v>
      </c>
      <c r="CU74" s="1"/>
      <c r="CV74" s="1"/>
      <c r="CZ74" s="1">
        <v>89.853722695729118</v>
      </c>
      <c r="DA74" s="1">
        <v>59.743327195435022</v>
      </c>
      <c r="DB74" s="1">
        <v>86.044119099019284</v>
      </c>
    </row>
    <row r="75" spans="1:106" x14ac:dyDescent="0.25">
      <c r="A75" s="8">
        <f t="shared" si="9"/>
        <v>1908</v>
      </c>
      <c r="C75" s="1"/>
      <c r="D75" s="1"/>
      <c r="E75" s="1">
        <f>2240*0.0529281543038261</f>
        <v>118.55906564057047</v>
      </c>
      <c r="F75" s="1"/>
      <c r="G75" s="1"/>
      <c r="H75" s="3"/>
      <c r="I75" s="3"/>
      <c r="K75" s="1"/>
      <c r="L75" s="1"/>
      <c r="M75" s="1"/>
      <c r="N75" s="1"/>
      <c r="O75" s="1"/>
      <c r="P75" s="1"/>
      <c r="Q75" s="1"/>
      <c r="R75" s="3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J75" s="1"/>
      <c r="AK75" s="1"/>
      <c r="AL75" s="1"/>
      <c r="AN75" s="1"/>
      <c r="AO75" s="1">
        <f>20*3.35387205387205</f>
        <v>67.077441077440994</v>
      </c>
      <c r="AP75" s="1"/>
      <c r="AQ75" s="1"/>
      <c r="AR75" s="1">
        <f>20*3.67</f>
        <v>73.400000000000006</v>
      </c>
      <c r="AS75" s="1"/>
      <c r="AT75" s="3"/>
      <c r="AU75" s="3">
        <v>41.176470588235297</v>
      </c>
      <c r="AV75" s="3"/>
      <c r="AW75" s="1"/>
      <c r="AX75" s="1"/>
      <c r="AY75" s="1"/>
      <c r="AZ75" s="1"/>
      <c r="BA75" s="1"/>
      <c r="BC75" s="1"/>
      <c r="BD75" s="1"/>
      <c r="BF75" s="1"/>
      <c r="BG75" s="3">
        <f>2240*0.0780550906927311</f>
        <v>174.84340315171767</v>
      </c>
      <c r="BH75" s="1">
        <f>2240*0.0875363309967516</f>
        <v>196.08138143272356</v>
      </c>
      <c r="BI75" s="1"/>
      <c r="BJ75" s="1">
        <f>20*5.71188475390156</f>
        <v>114.23769507803121</v>
      </c>
      <c r="BK75" s="1"/>
      <c r="BL75" s="1"/>
      <c r="BM75" s="1">
        <f>20*1.35724116837437</f>
        <v>27.144823367487398</v>
      </c>
      <c r="BN75" s="1"/>
      <c r="BO75" s="1"/>
      <c r="BP75" s="1"/>
      <c r="BQ75" s="1"/>
      <c r="BR75" s="1"/>
      <c r="BS75" s="1"/>
      <c r="BT75" s="1"/>
      <c r="BU75" s="1"/>
      <c r="BV75" s="1">
        <f>2240*0.0713500832986927</f>
        <v>159.82418658907164</v>
      </c>
      <c r="BW75" s="1"/>
      <c r="BX75" s="1"/>
      <c r="BY75" s="3">
        <f>2240*0.073770828203234</f>
        <v>165.24665517524414</v>
      </c>
      <c r="BZ75" s="1"/>
      <c r="CA75" s="1"/>
      <c r="CB75" s="3">
        <f>2240*0.0633956885064714</f>
        <v>142.00634225449593</v>
      </c>
      <c r="CC75" s="1"/>
      <c r="CD75" s="1"/>
      <c r="CE75" s="1">
        <f>2240*0.0570367797125364</f>
        <v>127.76238655608154</v>
      </c>
      <c r="CF75" s="3">
        <f>2240*0.105516858469614</f>
        <v>236.35776297193536</v>
      </c>
      <c r="CG75" s="1"/>
      <c r="CH75" s="1"/>
      <c r="CI75" s="1"/>
      <c r="CK75" s="1">
        <f>2240*0.0333332135907798</f>
        <v>74.66639844334675</v>
      </c>
      <c r="CL75" s="1">
        <f>2240*0.0333333333333333</f>
        <v>74.666666666666586</v>
      </c>
      <c r="CM75" s="1"/>
      <c r="CN75" s="1"/>
      <c r="CO75" s="1"/>
      <c r="CP75" s="1"/>
      <c r="CQ75" s="1">
        <f>20*7.83557993730408</f>
        <v>156.71159874608159</v>
      </c>
      <c r="CR75" s="1"/>
      <c r="CS75" s="1"/>
      <c r="CT75" s="1">
        <f>20*6.63736263736264</f>
        <v>132.74725274725282</v>
      </c>
      <c r="CU75" s="1"/>
      <c r="CV75" s="1"/>
      <c r="CZ75" s="1">
        <v>86.813650908759882</v>
      </c>
      <c r="DA75" s="1">
        <v>63.193493582613854</v>
      </c>
      <c r="DB75" s="1">
        <v>86.002211493026536</v>
      </c>
    </row>
    <row r="76" spans="1:106" x14ac:dyDescent="0.25">
      <c r="A76" s="8">
        <f t="shared" si="9"/>
        <v>1909</v>
      </c>
      <c r="C76" s="1"/>
      <c r="D76" s="1"/>
      <c r="E76" s="1">
        <f>2240*0.0405900962208592</f>
        <v>90.921815534724601</v>
      </c>
      <c r="F76" s="1"/>
      <c r="G76" s="1">
        <f>2240*0.0397161618301207</f>
        <v>88.964202499470375</v>
      </c>
      <c r="H76" s="1"/>
      <c r="I76" s="3"/>
      <c r="K76" s="1"/>
      <c r="L76" s="1"/>
      <c r="M76" s="1"/>
      <c r="N76" s="1"/>
      <c r="O76" s="1"/>
      <c r="P76" s="1"/>
      <c r="Q76" s="1"/>
      <c r="R76" s="3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J76" s="1"/>
      <c r="AK76" s="1"/>
      <c r="AL76" s="1"/>
      <c r="AM76" s="1"/>
      <c r="AN76" s="1"/>
      <c r="AO76" s="1">
        <f>20*3.6631299734748</f>
        <v>73.262599469495996</v>
      </c>
      <c r="AP76" s="1"/>
      <c r="AQ76" s="1"/>
      <c r="AR76" s="1">
        <f>20*2.8</f>
        <v>56</v>
      </c>
      <c r="AS76" s="1"/>
      <c r="AT76" s="1"/>
      <c r="AV76" s="13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3">
        <f>2240*0.0909440762920273</f>
        <v>203.71473089414116</v>
      </c>
      <c r="BH76" s="1">
        <f>2240*0.0621222157820651</f>
        <v>139.15376335182583</v>
      </c>
      <c r="BI76" s="1"/>
      <c r="BJ76" s="1">
        <f>20*5.37323546019198</f>
        <v>107.46470920383959</v>
      </c>
      <c r="BK76" s="1"/>
      <c r="BL76" s="1"/>
      <c r="BM76" s="1">
        <v>118.77828054298641</v>
      </c>
      <c r="BO76" s="1"/>
      <c r="BP76" s="1"/>
      <c r="BQ76" s="1"/>
      <c r="BR76" s="1"/>
      <c r="BS76" s="1"/>
      <c r="BT76" s="1"/>
      <c r="BU76" s="1"/>
      <c r="BV76" s="1">
        <f>2240*0.0687562563678896</f>
        <v>154.0140142640727</v>
      </c>
      <c r="BW76" s="1"/>
      <c r="BX76" s="1"/>
      <c r="BY76" s="3">
        <f>2240*0.088006582452638</f>
        <v>197.13474469390911</v>
      </c>
      <c r="BZ76" s="1"/>
      <c r="CA76" s="1"/>
      <c r="CB76" s="3">
        <f>2240*0.065687183310307</f>
        <v>147.13929061508767</v>
      </c>
      <c r="CC76" s="1"/>
      <c r="CD76" s="1"/>
      <c r="CE76" s="1">
        <f>2240*0.0771296091852506</f>
        <v>172.77032457496134</v>
      </c>
      <c r="CF76" s="3">
        <f>2240*0.0870192803381792</f>
        <v>194.92318795752141</v>
      </c>
      <c r="CG76" s="1"/>
      <c r="CH76" s="1"/>
      <c r="CI76" s="1"/>
      <c r="CK76" s="1">
        <f>2240*0.0354165930636519</f>
        <v>79.333168462580261</v>
      </c>
      <c r="CL76" s="1">
        <f>2240*0.0353189859311882</f>
        <v>79.11452848586157</v>
      </c>
      <c r="CM76" s="1"/>
      <c r="CN76" s="1"/>
      <c r="CO76" s="1"/>
      <c r="CP76" s="1"/>
      <c r="CQ76" s="1">
        <f>20*6.15399802566634</f>
        <v>123.0799605133268</v>
      </c>
      <c r="CR76" s="1"/>
      <c r="CS76" s="1"/>
      <c r="CT76" s="1"/>
      <c r="CU76" s="1"/>
      <c r="CV76" s="1"/>
      <c r="CZ76" s="1">
        <v>72.402141784631652</v>
      </c>
      <c r="DA76" s="1">
        <v>54.149481034159201</v>
      </c>
      <c r="DB76" s="1">
        <v>87.864114114114116</v>
      </c>
    </row>
    <row r="77" spans="1:106" x14ac:dyDescent="0.25">
      <c r="A77" s="8">
        <f t="shared" si="9"/>
        <v>1910</v>
      </c>
      <c r="C77" s="1"/>
      <c r="D77" s="1"/>
      <c r="E77" s="1">
        <f>2240*0.0449388055645896</f>
        <v>100.66292446468071</v>
      </c>
      <c r="F77" s="1"/>
      <c r="G77" s="1">
        <f>2240*0.0364064816776107</f>
        <v>81.55051895784797</v>
      </c>
      <c r="H77" s="1"/>
      <c r="I77" s="3"/>
      <c r="K77" s="1"/>
      <c r="L77" s="1"/>
      <c r="M77" s="1"/>
      <c r="N77" s="1"/>
      <c r="O77" s="1"/>
      <c r="P77" s="1"/>
      <c r="Q77" s="1"/>
      <c r="R77" s="1"/>
      <c r="S77" s="3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>
        <v>71.540880503144649</v>
      </c>
      <c r="AJ77" s="1">
        <v>43.022820800598581</v>
      </c>
      <c r="AK77" s="1"/>
      <c r="AL77" s="1">
        <v>68.181818181818187</v>
      </c>
      <c r="AM77" s="1"/>
      <c r="AN77" s="1"/>
      <c r="AO77" s="1"/>
      <c r="AP77" s="1"/>
      <c r="AQ77" s="1"/>
      <c r="AR77" s="1"/>
      <c r="AS77" s="1"/>
      <c r="AT77" s="1"/>
      <c r="AU77" s="1">
        <v>63.247863247863251</v>
      </c>
      <c r="AV77" s="3"/>
      <c r="AW77" s="1"/>
      <c r="AX77" s="1"/>
      <c r="AY77" s="1"/>
      <c r="AZ77" s="1"/>
      <c r="BA77" s="1">
        <f>20*8.10619469026549</f>
        <v>162.12389380530979</v>
      </c>
      <c r="BB77" s="1"/>
      <c r="BC77" s="1"/>
      <c r="BD77" s="1"/>
      <c r="BE77" s="1"/>
      <c r="BF77" s="1"/>
      <c r="BG77" s="3">
        <f>2240*0.0747392937325584</f>
        <v>167.41601796093082</v>
      </c>
      <c r="BH77" s="1">
        <f>2240*0.08143742541479</f>
        <v>182.4198329291296</v>
      </c>
      <c r="BI77" s="1"/>
      <c r="BJ77" s="1">
        <f>20*5.28995057660626</f>
        <v>105.79901153212519</v>
      </c>
      <c r="BK77" s="1"/>
      <c r="BL77" s="1"/>
      <c r="BM77" s="1">
        <v>114.25339366515833</v>
      </c>
      <c r="BO77" s="3"/>
      <c r="BP77" s="1"/>
      <c r="BQ77" s="1"/>
      <c r="BR77" s="1"/>
      <c r="BS77" s="1"/>
      <c r="BT77" s="1"/>
      <c r="BU77" s="1"/>
      <c r="BV77" s="1">
        <f>2240*0.0625785879637093</f>
        <v>140.17603703870884</v>
      </c>
      <c r="BW77" s="1"/>
      <c r="BX77" s="1"/>
      <c r="BY77" s="3">
        <f>2240*0.074991090049333</f>
        <v>167.98004171050593</v>
      </c>
      <c r="BZ77" s="1"/>
      <c r="CA77" s="1"/>
      <c r="CB77" s="3">
        <f>2240*0.0640513456161067</f>
        <v>143.47501418007903</v>
      </c>
      <c r="CC77" s="1"/>
      <c r="CD77" s="1"/>
      <c r="CE77" s="1">
        <f>2240*0.0812738935582251</f>
        <v>182.05352157042424</v>
      </c>
      <c r="CF77" s="3">
        <f>2240*0.0875668571219949</f>
        <v>196.14975995326859</v>
      </c>
      <c r="CG77" s="1"/>
      <c r="CH77" s="1"/>
      <c r="CI77" s="3"/>
      <c r="CK77" s="1">
        <f>2240*0.0357142857142857</f>
        <v>79.999999999999972</v>
      </c>
      <c r="CL77" s="1">
        <f>2240*0.0333333333333333</f>
        <v>74.666666666666586</v>
      </c>
      <c r="CM77" s="1"/>
      <c r="CN77" s="1"/>
      <c r="CO77" s="1"/>
      <c r="CP77" s="1"/>
      <c r="CQ77" s="1">
        <f>20*5.35528169014084</f>
        <v>107.10563380281681</v>
      </c>
      <c r="CR77" s="1"/>
      <c r="CS77" s="1"/>
      <c r="CT77" s="1"/>
      <c r="CU77" s="1"/>
      <c r="CV77" s="1"/>
      <c r="CZ77" s="1">
        <v>71.346528835980777</v>
      </c>
      <c r="DA77" s="1">
        <v>54.944951368967615</v>
      </c>
      <c r="DB77" s="1">
        <v>85.06971251142815</v>
      </c>
    </row>
    <row r="78" spans="1:106" x14ac:dyDescent="0.25">
      <c r="A78" s="8">
        <f t="shared" si="9"/>
        <v>1911</v>
      </c>
      <c r="C78" s="1"/>
      <c r="D78" s="1"/>
      <c r="E78" s="1">
        <f>2240*0.0442474319959511</f>
        <v>99.114247670930467</v>
      </c>
      <c r="F78" s="1"/>
      <c r="G78" s="1"/>
      <c r="H78" s="3"/>
      <c r="I78" s="3"/>
      <c r="J78" s="1"/>
      <c r="K78" s="1"/>
      <c r="L78" s="1"/>
      <c r="M78" s="1"/>
      <c r="N78" s="1"/>
      <c r="O78" s="1"/>
      <c r="P78" s="1"/>
      <c r="Q78" s="1"/>
      <c r="R78" s="3"/>
      <c r="S78" s="3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>
        <v>80.840743734842363</v>
      </c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>
        <f>20*11.1632759520083</f>
        <v>223.265519040166</v>
      </c>
      <c r="BB78" s="1"/>
      <c r="BC78" s="1"/>
      <c r="BD78" s="1"/>
      <c r="BE78" s="1"/>
      <c r="BF78" s="3"/>
      <c r="BG78" s="1">
        <f>2240*0.0788748607395124</f>
        <v>176.67968805650779</v>
      </c>
      <c r="BH78" s="1">
        <f>2240*0.0893521965748325</f>
        <v>200.14892032762478</v>
      </c>
      <c r="BI78" s="1"/>
      <c r="BJ78" s="1">
        <f>20*5.54418316831683</f>
        <v>110.88366336633661</v>
      </c>
      <c r="BK78" s="1"/>
      <c r="BL78" s="1"/>
      <c r="BM78" s="1">
        <v>106.33484162895924</v>
      </c>
      <c r="BO78" s="3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D78" s="1"/>
      <c r="CE78" s="1"/>
      <c r="CF78" s="1"/>
      <c r="CG78" s="1"/>
      <c r="CH78" s="1">
        <f>2240*0.2005</f>
        <v>449.12</v>
      </c>
      <c r="CI78" s="3"/>
      <c r="CK78" s="1">
        <f>2240*0.0416605402968104</f>
        <v>93.319610264855299</v>
      </c>
      <c r="CL78" s="1">
        <f>2240*0.0280474290780142</f>
        <v>62.826241134751811</v>
      </c>
      <c r="CM78" s="1"/>
      <c r="CN78" s="1">
        <f>20*2.44444444444444</f>
        <v>48.8888888888888</v>
      </c>
      <c r="CO78" s="1"/>
      <c r="CP78" s="1"/>
      <c r="CQ78" s="1">
        <f>20*4.87783018867925</f>
        <v>97.55660377358501</v>
      </c>
      <c r="CR78" s="1"/>
      <c r="CS78" s="1"/>
      <c r="CT78" s="1"/>
      <c r="CU78" s="1"/>
      <c r="CV78" s="1"/>
      <c r="CZ78" s="1">
        <v>66.99572159979175</v>
      </c>
      <c r="DA78" s="1">
        <v>61.430755664451027</v>
      </c>
      <c r="DB78" s="1">
        <v>82.744590314332456</v>
      </c>
    </row>
    <row r="79" spans="1:106" x14ac:dyDescent="0.25">
      <c r="A79" s="8">
        <f t="shared" si="9"/>
        <v>1912</v>
      </c>
      <c r="C79" s="1"/>
      <c r="D79" s="1"/>
      <c r="E79" s="1">
        <f>2240*0.0489962537665934</f>
        <v>109.75160843716922</v>
      </c>
      <c r="F79" s="1">
        <f>2240*0.0490196078431373</f>
        <v>109.80392156862756</v>
      </c>
      <c r="G79" s="1"/>
      <c r="H79" s="3"/>
      <c r="I79" s="3"/>
      <c r="J79" s="1"/>
      <c r="K79" s="1"/>
      <c r="L79" s="1"/>
      <c r="M79" s="1"/>
      <c r="N79" s="1"/>
      <c r="O79" s="1"/>
      <c r="P79" s="1"/>
      <c r="Q79" s="1"/>
      <c r="R79" s="3"/>
      <c r="S79" s="3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>
        <f>20*11.3760964912281</f>
        <v>227.52192982456199</v>
      </c>
      <c r="BB79" s="1"/>
      <c r="BC79" s="1"/>
      <c r="BD79" s="1">
        <f>2240*0.140732600732601</f>
        <v>315.24102564102623</v>
      </c>
      <c r="BE79" s="3"/>
      <c r="BF79" s="15"/>
      <c r="BG79" s="1">
        <f>2240*0.0814466509576915</f>
        <v>182.44049814522896</v>
      </c>
      <c r="BH79" s="1">
        <f>2240*0.0831481965499216</f>
        <v>186.2519602718244</v>
      </c>
      <c r="BI79" s="1"/>
      <c r="BJ79" s="1">
        <f>20*6.75155790711346</f>
        <v>135.03115814226919</v>
      </c>
      <c r="BK79" s="1"/>
      <c r="BL79" s="1"/>
      <c r="BM79" s="1">
        <v>96.15384615384616</v>
      </c>
      <c r="BO79" s="3"/>
      <c r="BP79" s="1">
        <f>2240*0.210052513128282</f>
        <v>470.51762940735165</v>
      </c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>
        <f>2240*0.146666666666667</f>
        <v>328.5333333333341</v>
      </c>
      <c r="CI79" s="1"/>
      <c r="CK79" s="1">
        <f>2240*0.0389057151056721</f>
        <v>87.148801836705516</v>
      </c>
      <c r="CL79" s="1">
        <f>2240*0.0259987295313382</f>
        <v>58.237154150197568</v>
      </c>
      <c r="CM79" s="1"/>
      <c r="CN79" s="1"/>
      <c r="CO79" s="1"/>
      <c r="CP79" s="1"/>
      <c r="CQ79" s="1">
        <f>20*8.3015625</f>
        <v>166.03125</v>
      </c>
      <c r="CR79" s="1"/>
      <c r="CS79" s="1"/>
      <c r="CT79" s="1"/>
      <c r="CU79" s="1"/>
      <c r="CV79" s="1"/>
      <c r="CZ79" s="1">
        <v>66.196010294297366</v>
      </c>
      <c r="DA79" s="1">
        <v>61.070698971971645</v>
      </c>
      <c r="DB79" s="1">
        <v>79.035293356789865</v>
      </c>
    </row>
    <row r="80" spans="1:106" x14ac:dyDescent="0.25">
      <c r="A80" s="8">
        <f t="shared" si="9"/>
        <v>1913</v>
      </c>
      <c r="C80" s="1"/>
      <c r="D80" s="1"/>
      <c r="E80" s="1"/>
      <c r="F80" s="1"/>
      <c r="G80" s="1"/>
      <c r="H80" s="1"/>
      <c r="I80" s="3"/>
      <c r="J80" s="1"/>
      <c r="K80" s="1"/>
      <c r="L80" s="1"/>
      <c r="M80" s="1"/>
      <c r="N80" s="1"/>
      <c r="O80" s="1"/>
      <c r="P80" s="1"/>
      <c r="Q80" s="1"/>
      <c r="R80" s="3"/>
      <c r="S80" s="3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K80" s="1">
        <f>2240*0.039411231884058</f>
        <v>88.28115942028991</v>
      </c>
      <c r="CL80" s="1">
        <f>2240*0.0382445141065831</f>
        <v>85.667711598746138</v>
      </c>
      <c r="CM80" s="1"/>
      <c r="CN80" s="1"/>
      <c r="CO80" s="1"/>
      <c r="CP80" s="1"/>
      <c r="CQ80" s="1"/>
      <c r="CR80" s="1"/>
      <c r="CS80" s="1"/>
      <c r="CT80" s="1"/>
      <c r="CU80" s="1"/>
      <c r="CV80" s="1"/>
      <c r="CZ80" s="1">
        <v>69.206844918839892</v>
      </c>
      <c r="DA80" s="1">
        <v>57.562550512179769</v>
      </c>
      <c r="DB80" s="1">
        <v>79.539837913795836</v>
      </c>
    </row>
    <row r="81" spans="1:106" x14ac:dyDescent="0.25">
      <c r="A81" s="8">
        <f t="shared" si="9"/>
        <v>1914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Z81" s="1">
        <v>71.533550744133294</v>
      </c>
      <c r="DA81" s="1">
        <v>39.068750000000001</v>
      </c>
      <c r="DB81" s="1">
        <v>73.1111111111111</v>
      </c>
    </row>
    <row r="82" spans="1:106" x14ac:dyDescent="0.25">
      <c r="A82" s="8">
        <f t="shared" si="9"/>
        <v>1915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Z82" s="1">
        <v>72.372320282501235</v>
      </c>
      <c r="DA82" s="1">
        <v>53.174395938284114</v>
      </c>
      <c r="DB82" s="1">
        <v>85.069444444444443</v>
      </c>
    </row>
    <row r="83" spans="1:106" x14ac:dyDescent="0.25">
      <c r="A83" s="8">
        <f t="shared" si="9"/>
        <v>1916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Z83" s="1">
        <v>81.389686731012134</v>
      </c>
      <c r="DA83" s="1">
        <v>51.880273610147562</v>
      </c>
      <c r="DB83" s="1">
        <v>84.598953703600017</v>
      </c>
    </row>
    <row r="84" spans="1:106" x14ac:dyDescent="0.25">
      <c r="A84" s="8">
        <f t="shared" si="9"/>
        <v>1917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Z84" s="1">
        <v>87.762654972754646</v>
      </c>
      <c r="DA84" s="1">
        <v>48.303365714329281</v>
      </c>
      <c r="DB84" s="1">
        <v>78.182287036933346</v>
      </c>
    </row>
    <row r="85" spans="1:106" x14ac:dyDescent="0.25">
      <c r="A85" s="8">
        <f t="shared" si="9"/>
        <v>1918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Z85" s="1">
        <v>93.976961550338999</v>
      </c>
      <c r="DA85" s="1">
        <v>41.923257732956387</v>
      </c>
      <c r="DB85" s="1">
        <v>91.387722209777777</v>
      </c>
    </row>
    <row r="86" spans="1:106" x14ac:dyDescent="0.25">
      <c r="A86" s="8">
        <f t="shared" si="9"/>
        <v>1919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Z86" s="1">
        <v>119.12064427446316</v>
      </c>
      <c r="DA86" s="1">
        <v>42.17954324631922</v>
      </c>
      <c r="DB86" s="1">
        <v>95.8296449976948</v>
      </c>
    </row>
    <row r="87" spans="1:106" x14ac:dyDescent="0.25">
      <c r="A87" s="8">
        <f t="shared" si="9"/>
        <v>1920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Z87" s="1">
        <v>163.22423742182917</v>
      </c>
      <c r="DA87" s="1">
        <v>50.144582238052784</v>
      </c>
      <c r="DB87" s="1">
        <v>56.054934297225053</v>
      </c>
    </row>
    <row r="88" spans="1:106" x14ac:dyDescent="0.25">
      <c r="A88" s="8">
        <f t="shared" si="9"/>
        <v>1921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DA88" s="1">
        <v>18.287500000000001</v>
      </c>
      <c r="DB88" s="1">
        <v>69.61111111080001</v>
      </c>
    </row>
    <row r="89" spans="1:106" x14ac:dyDescent="0.25">
      <c r="A89" s="8">
        <f t="shared" si="9"/>
        <v>1922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DA89" s="1">
        <v>54.250000000000007</v>
      </c>
    </row>
    <row r="90" spans="1:106" x14ac:dyDescent="0.25">
      <c r="A90" s="8">
        <f t="shared" si="9"/>
        <v>1923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DA90" s="1">
        <v>79.40625</v>
      </c>
    </row>
    <row r="91" spans="1:106" x14ac:dyDescent="0.25">
      <c r="A91" s="8">
        <f t="shared" si="9"/>
        <v>1924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DA91" s="1">
        <v>76.5625</v>
      </c>
    </row>
    <row r="92" spans="1:106" x14ac:dyDescent="0.25">
      <c r="A92" s="8">
        <f t="shared" si="9"/>
        <v>1925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DA92" s="1">
        <v>73.5</v>
      </c>
    </row>
    <row r="93" spans="1:106" x14ac:dyDescent="0.25">
      <c r="A93" s="8">
        <f t="shared" si="9"/>
        <v>1926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DA93" s="1">
        <v>71.96875</v>
      </c>
    </row>
    <row r="94" spans="1:106" x14ac:dyDescent="0.25">
      <c r="A94" s="8">
        <f t="shared" si="9"/>
        <v>1927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DA94" s="1">
        <v>62.125</v>
      </c>
    </row>
    <row r="95" spans="1:106" x14ac:dyDescent="0.25">
      <c r="A95" s="8">
        <f t="shared" si="9"/>
        <v>1928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DA95" s="1">
        <v>63.437500000000007</v>
      </c>
    </row>
    <row r="96" spans="1:106" x14ac:dyDescent="0.25">
      <c r="A96" s="8">
        <f t="shared" si="9"/>
        <v>1929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DA96" s="1">
        <v>55.5625</v>
      </c>
    </row>
    <row r="97" spans="1:105" x14ac:dyDescent="0.25">
      <c r="A97" s="8">
        <f t="shared" si="9"/>
        <v>1930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DA97" s="1">
        <v>38.654411764705877</v>
      </c>
    </row>
    <row r="98" spans="1:105" x14ac:dyDescent="0.25">
      <c r="A98" s="8">
        <f t="shared" si="9"/>
        <v>1931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DA98" s="1">
        <v>29.286764705882351</v>
      </c>
    </row>
    <row r="99" spans="1:105" x14ac:dyDescent="0.25">
      <c r="A99" s="8">
        <f t="shared" si="9"/>
        <v>1932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</row>
    <row r="100" spans="1:105" x14ac:dyDescent="0.25">
      <c r="A100" s="8">
        <f t="shared" si="9"/>
        <v>1933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</row>
    <row r="101" spans="1:105" x14ac:dyDescent="0.25">
      <c r="A101" s="8">
        <f t="shared" si="9"/>
        <v>1934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</row>
    <row r="102" spans="1:105" x14ac:dyDescent="0.25">
      <c r="A102" s="8">
        <f t="shared" si="9"/>
        <v>1935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</row>
    <row r="103" spans="1:105" hidden="1" x14ac:dyDescent="0.25">
      <c r="A103" s="8">
        <f t="shared" si="9"/>
        <v>1936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</row>
    <row r="104" spans="1:105" hidden="1" x14ac:dyDescent="0.25">
      <c r="A104" s="8">
        <f t="shared" ref="A104:A135" si="10">A103+1</f>
        <v>1937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</row>
    <row r="105" spans="1:105" hidden="1" x14ac:dyDescent="0.25">
      <c r="A105" s="8">
        <f t="shared" si="10"/>
        <v>1938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</row>
    <row r="106" spans="1:105" hidden="1" x14ac:dyDescent="0.25">
      <c r="A106" s="8">
        <f t="shared" si="10"/>
        <v>1939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</row>
    <row r="107" spans="1:105" hidden="1" x14ac:dyDescent="0.25">
      <c r="A107" s="8">
        <f t="shared" si="10"/>
        <v>1940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</row>
    <row r="108" spans="1:105" hidden="1" x14ac:dyDescent="0.25">
      <c r="A108" s="8">
        <f t="shared" si="10"/>
        <v>1941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</row>
    <row r="109" spans="1:105" hidden="1" x14ac:dyDescent="0.25">
      <c r="A109" s="8">
        <f t="shared" si="10"/>
        <v>1942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</row>
    <row r="110" spans="1:105" hidden="1" x14ac:dyDescent="0.25">
      <c r="A110" s="8">
        <f t="shared" si="10"/>
        <v>1943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</row>
    <row r="111" spans="1:105" hidden="1" x14ac:dyDescent="0.25">
      <c r="A111" s="8">
        <f t="shared" si="10"/>
        <v>1944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</row>
    <row r="112" spans="1:105" hidden="1" x14ac:dyDescent="0.25">
      <c r="A112" s="8">
        <f t="shared" si="10"/>
        <v>1945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</row>
    <row r="113" spans="1:100" hidden="1" x14ac:dyDescent="0.25">
      <c r="A113" s="8">
        <f t="shared" si="10"/>
        <v>1946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</row>
    <row r="114" spans="1:100" hidden="1" x14ac:dyDescent="0.25">
      <c r="A114" s="8">
        <f t="shared" si="10"/>
        <v>1947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</row>
    <row r="115" spans="1:100" hidden="1" x14ac:dyDescent="0.25">
      <c r="A115" s="8">
        <f t="shared" si="10"/>
        <v>1948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</row>
    <row r="116" spans="1:100" hidden="1" x14ac:dyDescent="0.25">
      <c r="A116" s="8">
        <f t="shared" si="10"/>
        <v>1949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</row>
    <row r="117" spans="1:100" hidden="1" x14ac:dyDescent="0.25">
      <c r="A117" s="8">
        <f t="shared" si="10"/>
        <v>1950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</row>
    <row r="118" spans="1:100" hidden="1" x14ac:dyDescent="0.25">
      <c r="A118" s="8">
        <f t="shared" si="10"/>
        <v>1951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</row>
    <row r="119" spans="1:100" hidden="1" x14ac:dyDescent="0.25">
      <c r="A119" s="8">
        <f t="shared" si="10"/>
        <v>1952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</row>
    <row r="120" spans="1:100" hidden="1" x14ac:dyDescent="0.25">
      <c r="A120" s="8">
        <f t="shared" si="10"/>
        <v>1953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</row>
    <row r="121" spans="1:100" hidden="1" x14ac:dyDescent="0.25">
      <c r="A121" s="8">
        <f t="shared" si="10"/>
        <v>1954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</row>
    <row r="122" spans="1:100" hidden="1" x14ac:dyDescent="0.25">
      <c r="A122" s="8">
        <f t="shared" si="10"/>
        <v>1955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</row>
    <row r="123" spans="1:100" hidden="1" x14ac:dyDescent="0.25">
      <c r="A123" s="8">
        <f t="shared" si="10"/>
        <v>1956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</row>
    <row r="124" spans="1:100" hidden="1" x14ac:dyDescent="0.25">
      <c r="A124" s="8">
        <f t="shared" si="10"/>
        <v>1957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</row>
    <row r="125" spans="1:100" hidden="1" x14ac:dyDescent="0.25">
      <c r="A125" s="8">
        <f t="shared" si="10"/>
        <v>1958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</row>
    <row r="126" spans="1:100" hidden="1" x14ac:dyDescent="0.25">
      <c r="A126" s="8">
        <f t="shared" si="10"/>
        <v>1959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</row>
    <row r="127" spans="1:100" hidden="1" x14ac:dyDescent="0.25">
      <c r="A127" s="8">
        <f t="shared" si="10"/>
        <v>1960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</row>
    <row r="128" spans="1:100" hidden="1" x14ac:dyDescent="0.25">
      <c r="A128" s="8">
        <f t="shared" si="10"/>
        <v>1961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</row>
    <row r="129" spans="1:100" hidden="1" x14ac:dyDescent="0.25">
      <c r="A129" s="8">
        <f t="shared" si="10"/>
        <v>1962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</row>
    <row r="130" spans="1:100" hidden="1" x14ac:dyDescent="0.25">
      <c r="A130" s="8">
        <f t="shared" si="10"/>
        <v>1963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</row>
    <row r="131" spans="1:100" hidden="1" x14ac:dyDescent="0.25">
      <c r="A131" s="8">
        <f t="shared" si="10"/>
        <v>1964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</row>
    <row r="132" spans="1:100" hidden="1" x14ac:dyDescent="0.25">
      <c r="A132" s="8">
        <f t="shared" si="10"/>
        <v>1965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</row>
    <row r="133" spans="1:100" hidden="1" x14ac:dyDescent="0.25">
      <c r="A133" s="8">
        <f t="shared" si="10"/>
        <v>1966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</row>
    <row r="134" spans="1:100" hidden="1" x14ac:dyDescent="0.25">
      <c r="A134" s="8">
        <f t="shared" si="10"/>
        <v>1967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</row>
    <row r="135" spans="1:100" hidden="1" x14ac:dyDescent="0.25">
      <c r="A135" s="8">
        <f t="shared" si="10"/>
        <v>1968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</row>
    <row r="136" spans="1:100" hidden="1" x14ac:dyDescent="0.25">
      <c r="A136" s="8">
        <f t="shared" ref="A136:A145" si="11">A135+1</f>
        <v>1969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</row>
    <row r="137" spans="1:100" hidden="1" x14ac:dyDescent="0.25">
      <c r="A137" s="8">
        <f t="shared" si="11"/>
        <v>1970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</row>
    <row r="138" spans="1:100" hidden="1" x14ac:dyDescent="0.25">
      <c r="A138" s="8">
        <f t="shared" si="11"/>
        <v>1971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</row>
    <row r="139" spans="1:100" hidden="1" x14ac:dyDescent="0.25">
      <c r="A139" s="8">
        <f t="shared" si="11"/>
        <v>1972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</row>
    <row r="140" spans="1:100" hidden="1" x14ac:dyDescent="0.25">
      <c r="A140" s="8">
        <f t="shared" si="11"/>
        <v>1973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</row>
    <row r="141" spans="1:100" hidden="1" x14ac:dyDescent="0.25">
      <c r="A141" s="8">
        <f t="shared" si="11"/>
        <v>1974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</row>
    <row r="142" spans="1:100" hidden="1" x14ac:dyDescent="0.25">
      <c r="A142" s="8">
        <f t="shared" si="11"/>
        <v>1975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</row>
    <row r="143" spans="1:100" hidden="1" x14ac:dyDescent="0.25">
      <c r="A143" s="8">
        <f t="shared" si="11"/>
        <v>1976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</row>
    <row r="144" spans="1:100" hidden="1" x14ac:dyDescent="0.25">
      <c r="A144" s="8">
        <f t="shared" si="11"/>
        <v>1977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</row>
    <row r="145" spans="1:100" hidden="1" x14ac:dyDescent="0.25">
      <c r="A145" s="8">
        <f t="shared" si="11"/>
        <v>1978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</row>
    <row r="146" spans="1:100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</row>
    <row r="147" spans="1:100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</row>
    <row r="148" spans="1:100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</row>
    <row r="149" spans="1:100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</row>
    <row r="150" spans="1:100" ht="12.6" customHeight="1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</row>
    <row r="151" spans="1:100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</row>
    <row r="152" spans="1:100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</row>
    <row r="153" spans="1:100" x14ac:dyDescent="0.25">
      <c r="C153" s="1"/>
      <c r="D153" s="1"/>
      <c r="E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</row>
    <row r="154" spans="1:100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</row>
    <row r="155" spans="1:100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</row>
    <row r="156" spans="1:100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</row>
    <row r="157" spans="1:100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</row>
    <row r="158" spans="1:100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</row>
    <row r="159" spans="1:100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</row>
    <row r="160" spans="1:100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</row>
    <row r="161" spans="3:100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</row>
    <row r="162" spans="3:100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</row>
    <row r="163" spans="3:100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</row>
    <row r="164" spans="3:100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</row>
    <row r="165" spans="3:100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</row>
    <row r="166" spans="3:100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</row>
    <row r="167" spans="3:100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</row>
    <row r="168" spans="3:100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</row>
    <row r="169" spans="3:100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</row>
    <row r="170" spans="3:100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</row>
    <row r="171" spans="3:100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</row>
    <row r="172" spans="3:100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</row>
    <row r="173" spans="3:100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</row>
    <row r="174" spans="3:100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</row>
    <row r="175" spans="3:100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</row>
    <row r="176" spans="3:100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</row>
    <row r="177" spans="3:100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</row>
    <row r="178" spans="3:100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</row>
    <row r="179" spans="3:100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</row>
    <row r="180" spans="3:100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</row>
    <row r="181" spans="3:100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</row>
    <row r="182" spans="3:100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</row>
    <row r="183" spans="3:100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</row>
    <row r="184" spans="3:100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</row>
    <row r="185" spans="3:100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</row>
    <row r="186" spans="3:100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</row>
    <row r="187" spans="3:100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</row>
    <row r="188" spans="3:100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</row>
    <row r="189" spans="3:100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</row>
    <row r="190" spans="3:100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</row>
    <row r="191" spans="3:100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</row>
    <row r="192" spans="3:100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</row>
    <row r="193" spans="3:100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</row>
    <row r="194" spans="3:100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</row>
    <row r="195" spans="3:100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</row>
    <row r="196" spans="3:100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</row>
    <row r="197" spans="3:100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</row>
    <row r="198" spans="3:100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</row>
    <row r="199" spans="3:100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</row>
    <row r="200" spans="3:100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</row>
    <row r="201" spans="3:100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</row>
    <row r="202" spans="3:100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</row>
    <row r="203" spans="3:100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</row>
    <row r="204" spans="3:100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</row>
    <row r="205" spans="3:100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</row>
    <row r="206" spans="3:100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</row>
    <row r="207" spans="3:100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</row>
    <row r="208" spans="3:100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</row>
    <row r="209" spans="3:100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</row>
    <row r="210" spans="3:100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</row>
    <row r="211" spans="3:100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</row>
    <row r="212" spans="3:100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</row>
    <row r="213" spans="3:100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</row>
    <row r="214" spans="3:100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</row>
    <row r="215" spans="3:100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</row>
    <row r="216" spans="3:100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</row>
    <row r="217" spans="3:100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</row>
    <row r="218" spans="3:100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</row>
    <row r="219" spans="3:100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</row>
    <row r="220" spans="3:100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</row>
    <row r="221" spans="3:100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</row>
    <row r="222" spans="3:100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</row>
    <row r="223" spans="3:100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</row>
    <row r="224" spans="3:100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</row>
    <row r="225" spans="3:100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</row>
    <row r="226" spans="3:100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</row>
    <row r="227" spans="3:100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</row>
    <row r="228" spans="3:100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</row>
    <row r="229" spans="3:100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</row>
    <row r="230" spans="3:100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</row>
    <row r="231" spans="3:100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</row>
    <row r="232" spans="3:100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</row>
    <row r="233" spans="3:100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</row>
    <row r="234" spans="3:100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</row>
    <row r="235" spans="3:100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</row>
    <row r="236" spans="3:100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</row>
    <row r="237" spans="3:100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</row>
    <row r="238" spans="3:100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</row>
    <row r="239" spans="3:100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</row>
    <row r="240" spans="3:100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</row>
    <row r="241" spans="3:100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</row>
    <row r="242" spans="3:100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</row>
    <row r="243" spans="3:100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</row>
    <row r="244" spans="3:100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</row>
    <row r="245" spans="3:100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</row>
    <row r="246" spans="3:100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</row>
    <row r="247" spans="3:100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</row>
    <row r="248" spans="3:100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</row>
    <row r="249" spans="3:100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</row>
    <row r="250" spans="3:100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</row>
    <row r="251" spans="3:100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</row>
    <row r="252" spans="3:100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</row>
    <row r="253" spans="3:100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</row>
    <row r="254" spans="3:100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</row>
    <row r="255" spans="3:100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</row>
  </sheetData>
  <sortState ref="AT31:AU40">
    <sortCondition ref="AT31:AT40"/>
  </sortState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topLeftCell="A898" zoomScale="40" zoomScaleNormal="40" zoomScaleSheetLayoutView="30" workbookViewId="0">
      <selection activeCell="AL962" sqref="AL962"/>
    </sheetView>
  </sheetViews>
  <sheetFormatPr defaultRowHeight="13.2" x14ac:dyDescent="0.25"/>
  <sheetData/>
  <pageMargins left="0.7" right="0.7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showZeros="0" zoomScale="50" zoomScaleNormal="50" workbookViewId="0">
      <selection activeCell="X72" sqref="X72"/>
    </sheetView>
  </sheetViews>
  <sheetFormatPr defaultRowHeight="13.2" x14ac:dyDescent="0.25"/>
  <sheetData/>
  <pageMargins left="0.7" right="0.7" top="0.75" bottom="0.75" header="0.3" footer="0.3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255"/>
  <sheetViews>
    <sheetView zoomScale="60" zoomScaleNormal="60" workbookViewId="0">
      <pane xSplit="2" ySplit="5" topLeftCell="W52" activePane="bottomRight" state="frozen"/>
      <selection activeCell="CE20" sqref="CE20"/>
      <selection pane="topRight" activeCell="CE20" sqref="CE20"/>
      <selection pane="bottomLeft" activeCell="CE20" sqref="CE20"/>
      <selection pane="bottomRight" activeCell="AE47" sqref="AE47"/>
    </sheetView>
  </sheetViews>
  <sheetFormatPr defaultRowHeight="13.2" x14ac:dyDescent="0.25"/>
  <cols>
    <col min="2" max="2" width="12.33203125" bestFit="1" customWidth="1"/>
    <col min="3" max="7" width="12" customWidth="1"/>
    <col min="8" max="8" width="11.33203125" customWidth="1"/>
    <col min="9" max="12" width="12" customWidth="1"/>
    <col min="13" max="13" width="13.44140625" customWidth="1"/>
    <col min="14" max="33" width="12" customWidth="1"/>
    <col min="34" max="34" width="12.88671875" customWidth="1"/>
    <col min="35" max="36" width="12" customWidth="1"/>
    <col min="37" max="37" width="13.5546875" customWidth="1"/>
    <col min="38" max="40" width="12.44140625" customWidth="1"/>
  </cols>
  <sheetData>
    <row r="1" spans="1:40" s="13" customFormat="1" x14ac:dyDescent="0.25"/>
    <row r="2" spans="1:40" s="2" customFormat="1" ht="39" customHeight="1" x14ac:dyDescent="0.25">
      <c r="B2" s="5" t="s">
        <v>29</v>
      </c>
      <c r="C2" s="7" t="s">
        <v>0</v>
      </c>
      <c r="D2" s="7" t="s">
        <v>0</v>
      </c>
      <c r="E2" s="7" t="s">
        <v>0</v>
      </c>
      <c r="F2" s="7" t="s">
        <v>24</v>
      </c>
      <c r="G2" s="7" t="s">
        <v>24</v>
      </c>
      <c r="H2" s="7" t="s">
        <v>26</v>
      </c>
      <c r="I2" s="7" t="s">
        <v>2</v>
      </c>
      <c r="J2" s="7" t="s">
        <v>4</v>
      </c>
      <c r="K2" s="7" t="s">
        <v>49</v>
      </c>
      <c r="L2" s="7" t="s">
        <v>11</v>
      </c>
      <c r="M2" s="7" t="s">
        <v>28</v>
      </c>
      <c r="N2" s="7" t="s">
        <v>37</v>
      </c>
      <c r="O2" s="7" t="s">
        <v>3</v>
      </c>
      <c r="P2" s="7" t="s">
        <v>51</v>
      </c>
      <c r="Q2" s="7" t="s">
        <v>20</v>
      </c>
      <c r="R2" s="7" t="s">
        <v>15</v>
      </c>
      <c r="S2" s="7" t="s">
        <v>15</v>
      </c>
      <c r="T2" s="7" t="s">
        <v>16</v>
      </c>
      <c r="U2" s="7" t="s">
        <v>16</v>
      </c>
      <c r="V2" s="7" t="s">
        <v>17</v>
      </c>
      <c r="W2" s="7" t="s">
        <v>6</v>
      </c>
      <c r="X2" s="7" t="s">
        <v>52</v>
      </c>
      <c r="Y2" s="7" t="s">
        <v>19</v>
      </c>
      <c r="Z2" s="7" t="s">
        <v>21</v>
      </c>
      <c r="AA2" s="7" t="s">
        <v>22</v>
      </c>
      <c r="AB2" s="7" t="s">
        <v>23</v>
      </c>
      <c r="AC2" s="7" t="s">
        <v>23</v>
      </c>
      <c r="AD2" s="7" t="s">
        <v>18</v>
      </c>
      <c r="AE2" s="7" t="s">
        <v>5</v>
      </c>
      <c r="AF2" s="7" t="s">
        <v>5</v>
      </c>
      <c r="AG2" s="7" t="s">
        <v>27</v>
      </c>
      <c r="AH2" s="7" t="s">
        <v>13</v>
      </c>
      <c r="AI2" s="7" t="s">
        <v>14</v>
      </c>
      <c r="AJ2" s="7" t="s">
        <v>14</v>
      </c>
      <c r="AK2" s="7" t="s">
        <v>36</v>
      </c>
      <c r="AL2" s="7" t="s">
        <v>54</v>
      </c>
      <c r="AM2" s="7" t="s">
        <v>54</v>
      </c>
      <c r="AN2" s="7" t="s">
        <v>54</v>
      </c>
    </row>
    <row r="3" spans="1:40" x14ac:dyDescent="0.25">
      <c r="B3" s="5" t="s">
        <v>31</v>
      </c>
      <c r="C3" s="7" t="s">
        <v>50</v>
      </c>
      <c r="D3" s="7" t="s">
        <v>50</v>
      </c>
      <c r="E3" s="7" t="s">
        <v>50</v>
      </c>
      <c r="F3" s="7" t="s">
        <v>50</v>
      </c>
      <c r="G3" s="7" t="s">
        <v>50</v>
      </c>
      <c r="H3" s="7" t="s">
        <v>50</v>
      </c>
      <c r="I3" s="7" t="s">
        <v>50</v>
      </c>
      <c r="J3" s="7" t="s">
        <v>50</v>
      </c>
      <c r="K3" s="7" t="s">
        <v>50</v>
      </c>
      <c r="L3" s="7" t="s">
        <v>50</v>
      </c>
      <c r="M3" s="7" t="s">
        <v>50</v>
      </c>
      <c r="N3" s="7" t="s">
        <v>50</v>
      </c>
      <c r="O3" s="7" t="s">
        <v>50</v>
      </c>
      <c r="P3" s="7" t="s">
        <v>50</v>
      </c>
      <c r="Q3" s="7" t="s">
        <v>50</v>
      </c>
      <c r="R3" s="7" t="s">
        <v>50</v>
      </c>
      <c r="S3" s="7" t="s">
        <v>50</v>
      </c>
      <c r="T3" s="7" t="s">
        <v>50</v>
      </c>
      <c r="U3" s="7" t="s">
        <v>50</v>
      </c>
      <c r="V3" s="7" t="s">
        <v>50</v>
      </c>
      <c r="W3" s="7" t="s">
        <v>50</v>
      </c>
      <c r="X3" s="7" t="s">
        <v>50</v>
      </c>
      <c r="Y3" s="7" t="s">
        <v>50</v>
      </c>
      <c r="Z3" s="7" t="s">
        <v>50</v>
      </c>
      <c r="AA3" s="7" t="s">
        <v>50</v>
      </c>
      <c r="AB3" s="7" t="s">
        <v>50</v>
      </c>
      <c r="AC3" s="7" t="s">
        <v>50</v>
      </c>
      <c r="AD3" s="7" t="s">
        <v>50</v>
      </c>
      <c r="AE3" s="7" t="s">
        <v>50</v>
      </c>
      <c r="AF3" s="7" t="s">
        <v>50</v>
      </c>
      <c r="AG3" s="7" t="s">
        <v>50</v>
      </c>
      <c r="AH3" s="7" t="s">
        <v>50</v>
      </c>
      <c r="AI3" s="7" t="s">
        <v>50</v>
      </c>
      <c r="AJ3" s="7" t="s">
        <v>50</v>
      </c>
      <c r="AK3" s="7" t="s">
        <v>50</v>
      </c>
      <c r="AL3" s="7" t="s">
        <v>50</v>
      </c>
      <c r="AM3" s="7" t="s">
        <v>50</v>
      </c>
      <c r="AN3" s="7" t="s">
        <v>50</v>
      </c>
    </row>
    <row r="4" spans="1:40" s="2" customFormat="1" ht="27" customHeight="1" x14ac:dyDescent="0.25">
      <c r="B4" s="5" t="s">
        <v>30</v>
      </c>
      <c r="C4" s="5" t="s">
        <v>8</v>
      </c>
      <c r="D4" s="7" t="s">
        <v>7</v>
      </c>
      <c r="E4" s="5" t="s">
        <v>10</v>
      </c>
      <c r="F4" s="5" t="s">
        <v>8</v>
      </c>
      <c r="G4" s="5" t="s">
        <v>10</v>
      </c>
      <c r="H4" s="5" t="s">
        <v>10</v>
      </c>
      <c r="I4" s="5" t="s">
        <v>8</v>
      </c>
      <c r="J4" s="5" t="s">
        <v>8</v>
      </c>
      <c r="K4" s="5" t="s">
        <v>8</v>
      </c>
      <c r="L4" s="5" t="s">
        <v>7</v>
      </c>
      <c r="M4" s="5" t="s">
        <v>8</v>
      </c>
      <c r="N4" s="5" t="s">
        <v>8</v>
      </c>
      <c r="O4" s="5"/>
      <c r="P4" s="5" t="s">
        <v>8</v>
      </c>
      <c r="Q4" s="5" t="s">
        <v>10</v>
      </c>
      <c r="R4" s="5" t="s">
        <v>8</v>
      </c>
      <c r="S4" s="5" t="s">
        <v>7</v>
      </c>
      <c r="T4" s="5" t="s">
        <v>8</v>
      </c>
      <c r="U4" s="5" t="s">
        <v>10</v>
      </c>
      <c r="V4" s="5" t="s">
        <v>8</v>
      </c>
      <c r="W4" s="5" t="s">
        <v>8</v>
      </c>
      <c r="X4" s="5" t="s">
        <v>8</v>
      </c>
      <c r="Y4" s="5" t="s">
        <v>10</v>
      </c>
      <c r="Z4" s="5" t="s">
        <v>8</v>
      </c>
      <c r="AA4" s="5" t="s">
        <v>8</v>
      </c>
      <c r="AB4" s="5" t="s">
        <v>8</v>
      </c>
      <c r="AC4" s="5" t="s">
        <v>7</v>
      </c>
      <c r="AD4" s="5" t="s">
        <v>8</v>
      </c>
      <c r="AE4" s="5" t="s">
        <v>8</v>
      </c>
      <c r="AF4" s="5" t="s">
        <v>7</v>
      </c>
      <c r="AG4" s="5" t="s">
        <v>8</v>
      </c>
      <c r="AH4" s="5" t="s">
        <v>8</v>
      </c>
      <c r="AI4" s="5" t="s">
        <v>8</v>
      </c>
      <c r="AJ4" s="5" t="s">
        <v>7</v>
      </c>
      <c r="AK4" s="5" t="s">
        <v>8</v>
      </c>
      <c r="AL4" s="5" t="s">
        <v>8</v>
      </c>
      <c r="AM4" s="5" t="s">
        <v>7</v>
      </c>
      <c r="AN4" s="5" t="s">
        <v>55</v>
      </c>
    </row>
    <row r="5" spans="1:40" s="9" customFormat="1" x14ac:dyDescent="0.25">
      <c r="A5" s="4" t="s">
        <v>33</v>
      </c>
      <c r="B5" s="4" t="s">
        <v>32</v>
      </c>
      <c r="C5" s="6" t="s">
        <v>47</v>
      </c>
      <c r="D5" s="6" t="s">
        <v>47</v>
      </c>
      <c r="E5" s="6" t="s">
        <v>47</v>
      </c>
      <c r="F5" s="6" t="s">
        <v>47</v>
      </c>
      <c r="G5" s="6" t="s">
        <v>47</v>
      </c>
      <c r="H5" s="6" t="s">
        <v>47</v>
      </c>
      <c r="I5" s="6" t="s">
        <v>47</v>
      </c>
      <c r="J5" s="6" t="s">
        <v>47</v>
      </c>
      <c r="K5" s="6" t="s">
        <v>47</v>
      </c>
      <c r="L5" s="6" t="s">
        <v>47</v>
      </c>
      <c r="M5" s="6" t="s">
        <v>47</v>
      </c>
      <c r="N5" s="6" t="s">
        <v>47</v>
      </c>
      <c r="O5" s="6" t="s">
        <v>47</v>
      </c>
      <c r="P5" s="6" t="s">
        <v>47</v>
      </c>
      <c r="Q5" s="6" t="s">
        <v>47</v>
      </c>
      <c r="R5" s="6" t="s">
        <v>47</v>
      </c>
      <c r="S5" s="6" t="s">
        <v>47</v>
      </c>
      <c r="T5" s="6" t="s">
        <v>47</v>
      </c>
      <c r="U5" s="6" t="s">
        <v>47</v>
      </c>
      <c r="V5" s="6" t="s">
        <v>47</v>
      </c>
      <c r="W5" s="6" t="s">
        <v>47</v>
      </c>
      <c r="X5" s="6" t="s">
        <v>47</v>
      </c>
      <c r="Y5" s="6" t="s">
        <v>47</v>
      </c>
      <c r="Z5" s="6" t="s">
        <v>47</v>
      </c>
      <c r="AA5" s="6" t="s">
        <v>47</v>
      </c>
      <c r="AB5" s="6" t="s">
        <v>47</v>
      </c>
      <c r="AC5" s="6" t="s">
        <v>47</v>
      </c>
      <c r="AD5" s="6" t="s">
        <v>47</v>
      </c>
      <c r="AE5" s="6" t="s">
        <v>47</v>
      </c>
      <c r="AF5" s="6" t="s">
        <v>47</v>
      </c>
      <c r="AG5" s="6" t="s">
        <v>47</v>
      </c>
      <c r="AH5" s="6" t="s">
        <v>47</v>
      </c>
      <c r="AI5" s="6" t="s">
        <v>47</v>
      </c>
      <c r="AJ5" s="6" t="s">
        <v>47</v>
      </c>
      <c r="AK5" s="6" t="s">
        <v>47</v>
      </c>
      <c r="AL5" s="6" t="s">
        <v>47</v>
      </c>
      <c r="AM5" s="6" t="s">
        <v>47</v>
      </c>
      <c r="AN5" s="6" t="s">
        <v>47</v>
      </c>
    </row>
    <row r="6" spans="1:40" s="2" customFormat="1" ht="54.6" hidden="1" customHeight="1" x14ac:dyDescent="0.25">
      <c r="A6" s="4" t="s">
        <v>33</v>
      </c>
      <c r="B6" s="5" t="s">
        <v>29</v>
      </c>
      <c r="C6" s="7" t="str">
        <f t="shared" ref="C6:V6" si="0">CONCATENATE(C2,", ",C4,", ","in ",C5)</f>
        <v>Baghdad, Imports, in pound/ton</v>
      </c>
      <c r="D6" s="7" t="str">
        <f t="shared" si="0"/>
        <v>Baghdad, Exports, in pound/ton</v>
      </c>
      <c r="E6" s="7" t="str">
        <f t="shared" si="0"/>
        <v>Baghdad, Bazaar (Local), in pound/ton</v>
      </c>
      <c r="F6" s="7" t="str">
        <f t="shared" si="0"/>
        <v>Basrah, Imports, in pound/ton</v>
      </c>
      <c r="G6" s="7" t="str">
        <f t="shared" si="0"/>
        <v>Basrah, Bazaar (Local), in pound/ton</v>
      </c>
      <c r="H6" s="7" t="str">
        <f t="shared" si="0"/>
        <v>Palestine, Bazaar (Local), in pound/ton</v>
      </c>
      <c r="I6" s="7" t="str">
        <f t="shared" si="0"/>
        <v>Damascus, Imports, in pound/ton</v>
      </c>
      <c r="J6" s="7" t="str">
        <f t="shared" si="0"/>
        <v>Beirut, Imports, in pound/ton</v>
      </c>
      <c r="K6" s="7" t="str">
        <f t="shared" si="0"/>
        <v>Turkey &amp; Constantinople, Imports, in pound/ton</v>
      </c>
      <c r="L6" s="7" t="str">
        <f t="shared" si="0"/>
        <v>Turkey, Exports, in pound/ton</v>
      </c>
      <c r="M6" s="7" t="str">
        <f t="shared" si="0"/>
        <v>Trebizond (Anatolia), Imports, in pound/ton</v>
      </c>
      <c r="N6" s="7" t="str">
        <f t="shared" si="0"/>
        <v>Trebizond (Persia), Imports, in pound/ton</v>
      </c>
      <c r="O6" s="7" t="str">
        <f t="shared" si="0"/>
        <v>Izmir, , in pound/ton</v>
      </c>
      <c r="P6" s="7" t="str">
        <f t="shared" si="0"/>
        <v>Ispahan &amp; Yezd, Imports, in pound/ton</v>
      </c>
      <c r="Q6" s="7" t="str">
        <f t="shared" si="0"/>
        <v>Ispahan, Bazaar (Local), in pound/ton</v>
      </c>
      <c r="R6" s="7" t="str">
        <f t="shared" si="0"/>
        <v>Khorasan, Imports, in pound/ton</v>
      </c>
      <c r="S6" s="7" t="str">
        <f t="shared" si="0"/>
        <v>Khorasan, Exports, in pound/ton</v>
      </c>
      <c r="T6" s="7" t="str">
        <f t="shared" si="0"/>
        <v>Kermanshah, Imports, in pound/ton</v>
      </c>
      <c r="U6" s="7" t="str">
        <f t="shared" si="0"/>
        <v>Kermanshah, Bazaar (Local), in pound/ton</v>
      </c>
      <c r="V6" s="7" t="str">
        <f t="shared" si="0"/>
        <v>Kerman, Imports, in pound/ton</v>
      </c>
      <c r="W6" s="7" t="str">
        <f t="shared" ref="W6:AN6" si="1">CONCATENATE(W2,", ",W4,", ","in ",W5)</f>
        <v>Bam, Imports, in pound/ton</v>
      </c>
      <c r="X6" s="7" t="str">
        <f t="shared" si="1"/>
        <v>Resht &amp; Mazandaran, Imports, in pound/ton</v>
      </c>
      <c r="Y6" s="7" t="str">
        <f t="shared" si="1"/>
        <v>Resht, Bazaar (Local), in pound/ton</v>
      </c>
      <c r="Z6" s="7" t="str">
        <f t="shared" si="1"/>
        <v>Ghilan &amp; Tunekabun, Imports, in pound/ton</v>
      </c>
      <c r="AA6" s="7" t="str">
        <f t="shared" si="1"/>
        <v>Bender Gez &amp; Astarabad, Imports, in pound/ton</v>
      </c>
      <c r="AB6" s="7" t="str">
        <f t="shared" si="1"/>
        <v>Astara, Imports, in pound/ton</v>
      </c>
      <c r="AC6" s="7" t="str">
        <f t="shared" si="1"/>
        <v>Astara, Exports, in pound/ton</v>
      </c>
      <c r="AD6" s="7" t="str">
        <f t="shared" si="1"/>
        <v>Sultanabad, Imports, in pound/ton</v>
      </c>
      <c r="AE6" s="7" t="str">
        <f t="shared" si="1"/>
        <v>Bahrain, Imports, in pound/ton</v>
      </c>
      <c r="AF6" s="7" t="str">
        <f t="shared" si="1"/>
        <v>Bahrain, Exports, in pound/ton</v>
      </c>
      <c r="AG6" s="7" t="str">
        <f t="shared" si="1"/>
        <v>Muscat, Imports, in pound/ton</v>
      </c>
      <c r="AH6" s="7" t="str">
        <f t="shared" si="1"/>
        <v>Mohammerah, Imports, in pound/ton</v>
      </c>
      <c r="AI6" s="7" t="str">
        <f t="shared" si="1"/>
        <v>Lingah, Imports, in pound/ton</v>
      </c>
      <c r="AJ6" s="7" t="str">
        <f t="shared" si="1"/>
        <v>Lingah, Exports, in pound/ton</v>
      </c>
      <c r="AK6" s="7" t="str">
        <f t="shared" si="1"/>
        <v>Shiraz, Imports, in pound/ton</v>
      </c>
      <c r="AL6" s="7" t="str">
        <f t="shared" si="1"/>
        <v>India, Imports, in pound/ton</v>
      </c>
      <c r="AM6" s="7" t="str">
        <f t="shared" si="1"/>
        <v>India, Exports, in pound/ton</v>
      </c>
      <c r="AN6" s="7" t="str">
        <f t="shared" si="1"/>
        <v>India, Wholesale, in pound/ton</v>
      </c>
    </row>
    <row r="7" spans="1:40" hidden="1" x14ac:dyDescent="0.25">
      <c r="A7" s="8">
        <v>1840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40" hidden="1" x14ac:dyDescent="0.25">
      <c r="A8" s="8">
        <f t="shared" ref="A8:A71" si="2">A7+1</f>
        <v>1841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40" hidden="1" x14ac:dyDescent="0.25">
      <c r="A9" s="8">
        <f t="shared" si="2"/>
        <v>1842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40" hidden="1" x14ac:dyDescent="0.25">
      <c r="A10" s="8">
        <f t="shared" si="2"/>
        <v>1843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40" hidden="1" x14ac:dyDescent="0.25">
      <c r="A11" s="8">
        <f t="shared" si="2"/>
        <v>1844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40" hidden="1" x14ac:dyDescent="0.25">
      <c r="A12" s="8">
        <f t="shared" si="2"/>
        <v>1845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40" hidden="1" x14ac:dyDescent="0.25">
      <c r="A13" s="8">
        <f t="shared" si="2"/>
        <v>1846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40" hidden="1" x14ac:dyDescent="0.25">
      <c r="A14" s="8">
        <f t="shared" si="2"/>
        <v>1847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40" hidden="1" x14ac:dyDescent="0.25">
      <c r="A15" s="8">
        <f t="shared" si="2"/>
        <v>1848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40" hidden="1" x14ac:dyDescent="0.25">
      <c r="A16" s="8">
        <f t="shared" si="2"/>
        <v>1849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idden="1" x14ac:dyDescent="0.25">
      <c r="A17" s="8">
        <f t="shared" si="2"/>
        <v>1850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idden="1" x14ac:dyDescent="0.25">
      <c r="A18" s="8">
        <f t="shared" si="2"/>
        <v>1851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idden="1" x14ac:dyDescent="0.25">
      <c r="A19" s="8">
        <f t="shared" si="2"/>
        <v>1852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idden="1" x14ac:dyDescent="0.25">
      <c r="A20" s="8">
        <f t="shared" si="2"/>
        <v>1853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idden="1" x14ac:dyDescent="0.25">
      <c r="A21" s="8">
        <f t="shared" si="2"/>
        <v>1854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idden="1" x14ac:dyDescent="0.25">
      <c r="A22" s="8">
        <f t="shared" si="2"/>
        <v>1855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idden="1" x14ac:dyDescent="0.25">
      <c r="A23" s="8">
        <f t="shared" si="2"/>
        <v>1856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idden="1" x14ac:dyDescent="0.25">
      <c r="A24" s="8">
        <f t="shared" si="2"/>
        <v>1857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idden="1" x14ac:dyDescent="0.25">
      <c r="A25" s="8">
        <f t="shared" si="2"/>
        <v>1858</v>
      </c>
      <c r="C25" s="1"/>
      <c r="D25" s="1"/>
      <c r="E25" s="1"/>
      <c r="F25" s="1"/>
      <c r="G25" s="1"/>
      <c r="H25" s="1">
        <f>2240*0.161997467655586</f>
        <v>362.87432754851267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idden="1" x14ac:dyDescent="0.25">
      <c r="A26" s="8">
        <f t="shared" si="2"/>
        <v>1859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25">
      <c r="A27" s="8">
        <f t="shared" si="2"/>
        <v>1860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5">
      <c r="A28" s="8">
        <f t="shared" si="2"/>
        <v>1861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25">
      <c r="A29" s="8">
        <f t="shared" si="2"/>
        <v>1862</v>
      </c>
      <c r="C29" s="1"/>
      <c r="D29" s="1"/>
      <c r="E29" s="1"/>
      <c r="F29" s="1"/>
      <c r="G29" s="1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25">
      <c r="A30" s="8">
        <f t="shared" si="2"/>
        <v>1863</v>
      </c>
      <c r="C30" s="1"/>
      <c r="D30" s="1"/>
      <c r="E30" s="1"/>
      <c r="F30" s="1"/>
      <c r="G30" s="1"/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x14ac:dyDescent="0.25">
      <c r="A31" s="8">
        <f t="shared" si="2"/>
        <v>1864</v>
      </c>
      <c r="C31" s="1">
        <f>2240*0.259737502626961</f>
        <v>581.81200588439265</v>
      </c>
      <c r="D31" s="1"/>
      <c r="E31" s="1"/>
      <c r="F31" s="1"/>
      <c r="G31" s="1"/>
      <c r="H31" s="3"/>
      <c r="I31" s="1"/>
      <c r="J31" s="1"/>
      <c r="K31" s="1"/>
      <c r="L31" s="1"/>
      <c r="M31" s="1"/>
      <c r="N31" s="1"/>
      <c r="O31" s="1">
        <f>2240*0.15</f>
        <v>336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x14ac:dyDescent="0.25">
      <c r="A32" s="8">
        <f t="shared" si="2"/>
        <v>1865</v>
      </c>
      <c r="C32" s="1"/>
      <c r="D32" s="1"/>
      <c r="E32" s="1"/>
      <c r="F32" s="1"/>
      <c r="G32" s="1"/>
      <c r="H32" s="3"/>
      <c r="I32" s="1"/>
      <c r="J32" s="1"/>
      <c r="K32" s="1"/>
      <c r="L32" s="1"/>
      <c r="M32" s="1"/>
      <c r="N32" s="1"/>
      <c r="O32" s="1">
        <f>2240*0.2</f>
        <v>448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40" x14ac:dyDescent="0.25">
      <c r="A33" s="8">
        <f t="shared" si="2"/>
        <v>1866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>
        <f>2240*0.2</f>
        <v>448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40" x14ac:dyDescent="0.25">
      <c r="A34" s="8">
        <f t="shared" si="2"/>
        <v>1867</v>
      </c>
      <c r="C34" s="1">
        <f>2240*0.273974773646375</f>
        <v>613.70349296788004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40" x14ac:dyDescent="0.25">
      <c r="A35" s="8">
        <f t="shared" si="2"/>
        <v>1868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>
        <f>2240*0.175</f>
        <v>392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L35" s="1">
        <v>224.60280825062134</v>
      </c>
      <c r="AM35" s="1">
        <v>209.25228405711681</v>
      </c>
    </row>
    <row r="36" spans="1:40" x14ac:dyDescent="0.25">
      <c r="A36" s="8">
        <f t="shared" si="2"/>
        <v>1869</v>
      </c>
      <c r="C36" s="1">
        <f>2240*0.240477630741787</f>
        <v>538.66989286160288</v>
      </c>
      <c r="D36" s="1"/>
      <c r="E36" s="1"/>
      <c r="F36" s="1"/>
      <c r="G36" s="1"/>
      <c r="H36" s="1"/>
      <c r="I36" s="1"/>
      <c r="J36" s="1"/>
      <c r="K36" s="1"/>
      <c r="L36" s="1"/>
      <c r="M36" s="1">
        <f t="shared" ref="M36:N41" si="3">20*10</f>
        <v>200</v>
      </c>
      <c r="N36" s="1">
        <f t="shared" si="3"/>
        <v>200</v>
      </c>
      <c r="O36" s="1">
        <f>2240*0.175</f>
        <v>392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L36" s="1">
        <v>222.98612062567088</v>
      </c>
      <c r="AM36" s="1">
        <v>191.94902394232582</v>
      </c>
    </row>
    <row r="37" spans="1:40" x14ac:dyDescent="0.25">
      <c r="A37" s="8">
        <f t="shared" si="2"/>
        <v>1870</v>
      </c>
      <c r="C37" s="1">
        <f>2240*0.273943670519427</f>
        <v>613.63382196351643</v>
      </c>
      <c r="D37" s="1"/>
      <c r="E37" s="1"/>
      <c r="F37" s="1"/>
      <c r="G37" s="1"/>
      <c r="H37" s="1"/>
      <c r="I37" s="1"/>
      <c r="J37" s="1"/>
      <c r="K37" s="1"/>
      <c r="L37" s="1"/>
      <c r="M37" s="1">
        <f t="shared" si="3"/>
        <v>200</v>
      </c>
      <c r="N37" s="1">
        <f t="shared" si="3"/>
        <v>200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L37" s="1">
        <v>223.55067551977237</v>
      </c>
      <c r="AM37" s="1">
        <v>189.77179120437458</v>
      </c>
    </row>
    <row r="38" spans="1:40" x14ac:dyDescent="0.25">
      <c r="A38" s="8">
        <f t="shared" si="2"/>
        <v>1871</v>
      </c>
      <c r="D38" s="1"/>
      <c r="E38" s="1"/>
      <c r="F38" s="1"/>
      <c r="H38" s="1"/>
      <c r="I38" s="1"/>
      <c r="J38" s="1"/>
      <c r="K38" s="1"/>
      <c r="L38" s="1"/>
      <c r="M38" s="1">
        <f t="shared" si="3"/>
        <v>200</v>
      </c>
      <c r="N38" s="1">
        <f t="shared" si="3"/>
        <v>200</v>
      </c>
      <c r="O38" s="1">
        <f>2240*0.2</f>
        <v>448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L38" s="1">
        <v>223.99960720773802</v>
      </c>
      <c r="AM38" s="1">
        <v>162.01798754385783</v>
      </c>
    </row>
    <row r="39" spans="1:40" x14ac:dyDescent="0.25">
      <c r="A39" s="8">
        <f t="shared" si="2"/>
        <v>1872</v>
      </c>
      <c r="D39" s="1"/>
      <c r="E39" s="1"/>
      <c r="F39" s="1"/>
      <c r="G39" s="1"/>
      <c r="H39" s="1"/>
      <c r="I39" s="1"/>
      <c r="J39" s="1"/>
      <c r="K39" s="1"/>
      <c r="L39" s="1"/>
      <c r="M39" s="1">
        <f t="shared" si="3"/>
        <v>200</v>
      </c>
      <c r="N39" s="1">
        <f t="shared" si="3"/>
        <v>200</v>
      </c>
      <c r="O39" s="1">
        <f>2240*0.191666666666667</f>
        <v>429.33333333333411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L39" s="1">
        <v>224.00011061023767</v>
      </c>
      <c r="AM39" s="1">
        <v>151.78305149263724</v>
      </c>
    </row>
    <row r="40" spans="1:40" x14ac:dyDescent="0.25">
      <c r="A40" s="8">
        <f t="shared" si="2"/>
        <v>1873</v>
      </c>
      <c r="D40" s="1"/>
      <c r="E40" s="1"/>
      <c r="F40" s="3"/>
      <c r="G40" s="1"/>
      <c r="H40" s="1"/>
      <c r="I40" s="1"/>
      <c r="J40" s="1"/>
      <c r="K40" s="1"/>
      <c r="L40" s="1"/>
      <c r="M40" s="1">
        <f t="shared" si="3"/>
        <v>200</v>
      </c>
      <c r="N40" s="1">
        <f t="shared" si="3"/>
        <v>200</v>
      </c>
      <c r="P40" s="1"/>
      <c r="Q40" s="1"/>
      <c r="R40" s="1"/>
      <c r="S40" s="1"/>
      <c r="T40" s="1"/>
      <c r="U40" s="1"/>
      <c r="V40" s="1"/>
      <c r="W40" s="1"/>
      <c r="X40" s="1">
        <f>2240*0.142857142857143</f>
        <v>320.00000000000028</v>
      </c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L40" s="1">
        <v>223.99990915583464</v>
      </c>
      <c r="AM40" s="1">
        <v>155.91770397913982</v>
      </c>
      <c r="AN40" s="1">
        <v>196.0291666666667</v>
      </c>
    </row>
    <row r="41" spans="1:40" x14ac:dyDescent="0.25">
      <c r="A41" s="8">
        <f t="shared" si="2"/>
        <v>1874</v>
      </c>
      <c r="C41" s="1">
        <f>2240*0.147180529353614</f>
        <v>329.68438575209535</v>
      </c>
      <c r="D41" s="1"/>
      <c r="E41" s="1"/>
      <c r="F41" s="1"/>
      <c r="G41" s="1"/>
      <c r="H41" s="1"/>
      <c r="I41" s="1"/>
      <c r="J41" s="1"/>
      <c r="K41" s="1"/>
      <c r="L41" s="1"/>
      <c r="M41" s="1">
        <f t="shared" si="3"/>
        <v>200</v>
      </c>
      <c r="N41" s="1">
        <f t="shared" si="3"/>
        <v>200</v>
      </c>
      <c r="O41" s="1">
        <f>2240*0.2</f>
        <v>448</v>
      </c>
      <c r="P41" s="1"/>
      <c r="Q41" s="1"/>
      <c r="R41" s="1"/>
      <c r="S41" s="1"/>
      <c r="T41" s="1"/>
      <c r="U41" s="1"/>
      <c r="V41" s="1"/>
      <c r="W41" s="1"/>
      <c r="X41" s="1">
        <f>2240*0.137931034482759</f>
        <v>308.96551724138016</v>
      </c>
      <c r="Y41" s="1">
        <f>2240*0.112941176470588</f>
        <v>252.98823529411712</v>
      </c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L41" s="1">
        <v>224.0023275005455</v>
      </c>
      <c r="AM41" s="1">
        <v>186.16218002311228</v>
      </c>
      <c r="AN41" s="1"/>
    </row>
    <row r="42" spans="1:40" x14ac:dyDescent="0.25">
      <c r="A42" s="8">
        <f t="shared" si="2"/>
        <v>1875</v>
      </c>
      <c r="C42" s="1">
        <f>2240*0.115366694608428</f>
        <v>258.42139592287873</v>
      </c>
      <c r="D42" s="1"/>
      <c r="E42" s="1"/>
      <c r="F42" s="1"/>
      <c r="G42" s="1"/>
      <c r="H42" s="1"/>
      <c r="I42" s="1"/>
      <c r="J42" s="1"/>
      <c r="K42" s="1"/>
      <c r="L42" s="1"/>
      <c r="M42" s="1">
        <f>20*8</f>
        <v>160</v>
      </c>
      <c r="N42" s="1">
        <f>20*10</f>
        <v>200</v>
      </c>
      <c r="O42" s="1">
        <f>2240*0.15</f>
        <v>336</v>
      </c>
      <c r="P42" s="1"/>
      <c r="Q42" s="1"/>
      <c r="R42" s="1"/>
      <c r="S42" s="1"/>
      <c r="T42" s="1"/>
      <c r="U42" s="1"/>
      <c r="V42" s="1"/>
      <c r="W42" s="1"/>
      <c r="X42" s="1">
        <f>2240*0.153888888888889</f>
        <v>344.71111111111134</v>
      </c>
      <c r="Y42" s="1"/>
      <c r="Z42" s="1"/>
      <c r="AA42" s="1"/>
      <c r="AB42" s="1"/>
      <c r="AC42" s="1"/>
      <c r="AD42" s="1"/>
      <c r="AE42" s="1"/>
      <c r="AF42" s="1"/>
      <c r="AG42" s="1">
        <f>20*2.1795530043946</f>
        <v>43.591060087892004</v>
      </c>
      <c r="AH42" s="1"/>
      <c r="AI42" s="1"/>
      <c r="AJ42" s="1"/>
      <c r="AL42" s="1">
        <v>223.78211845604551</v>
      </c>
      <c r="AM42" s="1">
        <v>183.29794202658434</v>
      </c>
      <c r="AN42" s="1"/>
    </row>
    <row r="43" spans="1:40" x14ac:dyDescent="0.25">
      <c r="A43" s="8">
        <f t="shared" si="2"/>
        <v>1876</v>
      </c>
      <c r="C43" s="1"/>
      <c r="D43" s="1"/>
      <c r="E43" s="1"/>
      <c r="F43" s="1"/>
      <c r="G43" s="1"/>
      <c r="H43" s="1"/>
      <c r="I43" s="1"/>
      <c r="J43" s="1"/>
      <c r="K43" s="1"/>
      <c r="L43" s="1"/>
      <c r="O43" s="1">
        <f>2240*0.15</f>
        <v>336</v>
      </c>
      <c r="P43" s="1"/>
      <c r="Q43" s="1"/>
      <c r="R43" s="1"/>
      <c r="S43" s="1"/>
      <c r="T43" s="1"/>
      <c r="U43" s="1"/>
      <c r="V43" s="1"/>
      <c r="W43" s="1"/>
      <c r="X43" s="1"/>
      <c r="Z43" s="1"/>
      <c r="AA43" s="1"/>
      <c r="AB43" s="1"/>
      <c r="AC43" s="1"/>
      <c r="AD43" s="1"/>
      <c r="AE43" s="1"/>
      <c r="AF43" s="1"/>
      <c r="AG43" s="1">
        <f>20*2.0214755337462</f>
        <v>40.429510674923996</v>
      </c>
      <c r="AH43" s="1"/>
      <c r="AI43" s="1"/>
      <c r="AJ43" s="1"/>
      <c r="AL43" s="1">
        <v>200.11079660681784</v>
      </c>
      <c r="AM43" s="1">
        <v>151.14687287327141</v>
      </c>
      <c r="AN43" s="1"/>
    </row>
    <row r="44" spans="1:40" x14ac:dyDescent="0.25">
      <c r="A44" s="8">
        <f t="shared" si="2"/>
        <v>1877</v>
      </c>
      <c r="C44" s="1">
        <f>2240*0.11734197982667</f>
        <v>262.84603481174076</v>
      </c>
      <c r="D44" s="1"/>
      <c r="F44" s="1"/>
      <c r="G44" s="1"/>
      <c r="H44" s="1"/>
      <c r="I44" s="1"/>
      <c r="J44" s="1"/>
      <c r="K44" s="1"/>
      <c r="L44" s="1"/>
      <c r="M44" s="1">
        <f>20*10</f>
        <v>200</v>
      </c>
      <c r="N44" s="1">
        <f>20*10</f>
        <v>200</v>
      </c>
      <c r="O44" s="3"/>
      <c r="P44" s="1"/>
      <c r="Q44" s="1"/>
      <c r="R44" s="1"/>
      <c r="S44" s="1"/>
      <c r="T44" s="1"/>
      <c r="U44" s="1"/>
      <c r="V44" s="1"/>
      <c r="W44" s="1"/>
      <c r="X44" s="1"/>
      <c r="Z44" s="1"/>
      <c r="AA44" s="1"/>
      <c r="AB44" s="1"/>
      <c r="AC44" s="1"/>
      <c r="AD44" s="1"/>
      <c r="AE44" s="1"/>
      <c r="AF44" s="1"/>
      <c r="AG44" s="1">
        <f>20*2.1005142690704</f>
        <v>42.010285381408004</v>
      </c>
      <c r="AH44" s="1"/>
      <c r="AI44" s="1"/>
      <c r="AJ44" s="1"/>
      <c r="AL44" s="1">
        <v>178.79929356805104</v>
      </c>
      <c r="AM44" s="1">
        <v>162.0054090893166</v>
      </c>
      <c r="AN44" s="1"/>
    </row>
    <row r="45" spans="1:40" x14ac:dyDescent="0.25">
      <c r="A45" s="8">
        <f t="shared" si="2"/>
        <v>1878</v>
      </c>
      <c r="C45" s="1">
        <f>2240*0.120902860548272</f>
        <v>270.82240762812927</v>
      </c>
      <c r="D45" s="1">
        <f>2240*0.120896289850487</f>
        <v>270.80768926509091</v>
      </c>
      <c r="F45" s="1"/>
      <c r="G45" s="1"/>
      <c r="H45" s="1"/>
      <c r="I45" s="1"/>
      <c r="J45" s="1"/>
      <c r="K45" s="1"/>
      <c r="L45" s="1"/>
      <c r="M45" s="1">
        <f t="shared" ref="M45:N49" si="4">20*8</f>
        <v>160</v>
      </c>
      <c r="N45" s="1">
        <f t="shared" si="4"/>
        <v>160</v>
      </c>
      <c r="O45" s="3"/>
      <c r="P45" s="1"/>
      <c r="Q45" s="1"/>
      <c r="R45" s="1"/>
      <c r="S45" s="1"/>
      <c r="T45" s="1"/>
      <c r="U45" s="1"/>
      <c r="V45" s="1"/>
      <c r="W45" s="1"/>
      <c r="Z45" s="1"/>
      <c r="AA45" s="1">
        <f>2240*0.163206797692653</f>
        <v>365.58322683154273</v>
      </c>
      <c r="AB45" s="1"/>
      <c r="AC45" s="1"/>
      <c r="AD45" s="1"/>
      <c r="AE45" s="1"/>
      <c r="AF45" s="1"/>
      <c r="AG45" s="1">
        <f>20*2.01429019417127</f>
        <v>40.285803883425402</v>
      </c>
      <c r="AH45" s="1"/>
      <c r="AI45" s="1"/>
      <c r="AJ45" s="1"/>
      <c r="AL45" s="1">
        <v>183.7979228017854</v>
      </c>
      <c r="AM45" s="1">
        <v>123.78935063353461</v>
      </c>
      <c r="AN45" s="1"/>
    </row>
    <row r="46" spans="1:40" x14ac:dyDescent="0.25">
      <c r="A46" s="8">
        <f t="shared" si="2"/>
        <v>1879</v>
      </c>
      <c r="C46" s="1"/>
      <c r="D46" s="1"/>
      <c r="E46" s="1"/>
      <c r="F46" s="1"/>
      <c r="H46" s="1"/>
      <c r="I46" s="1"/>
      <c r="J46" s="1"/>
      <c r="K46" s="1"/>
      <c r="L46" s="1"/>
      <c r="M46" s="1">
        <f t="shared" si="4"/>
        <v>160</v>
      </c>
      <c r="N46" s="1">
        <f t="shared" si="4"/>
        <v>160</v>
      </c>
      <c r="O46" s="3"/>
      <c r="P46" s="1"/>
      <c r="Q46" s="1"/>
      <c r="R46" s="1"/>
      <c r="S46" s="1"/>
      <c r="T46" s="1"/>
      <c r="U46" s="1"/>
      <c r="V46" s="1"/>
      <c r="W46" s="1"/>
      <c r="Z46" s="1"/>
      <c r="AA46" s="1"/>
      <c r="AB46" s="1"/>
      <c r="AC46" s="1"/>
      <c r="AD46" s="1"/>
      <c r="AE46" s="1"/>
      <c r="AF46" s="1"/>
      <c r="AG46" s="1">
        <f>20*1.96399281714678</f>
        <v>39.279856342935602</v>
      </c>
      <c r="AH46" s="1"/>
      <c r="AI46" s="1"/>
      <c r="AJ46" s="1"/>
      <c r="AL46" s="1">
        <v>160.43082950813374</v>
      </c>
      <c r="AM46" s="1">
        <v>108.41871410423558</v>
      </c>
      <c r="AN46" s="1"/>
    </row>
    <row r="47" spans="1:40" x14ac:dyDescent="0.25">
      <c r="A47" s="8">
        <f t="shared" si="2"/>
        <v>1880</v>
      </c>
      <c r="D47" s="1"/>
      <c r="E47" s="1"/>
      <c r="F47" s="1"/>
      <c r="H47" s="1"/>
      <c r="I47" s="1"/>
      <c r="J47" s="1"/>
      <c r="K47" s="1"/>
      <c r="L47" s="1"/>
      <c r="M47" s="1">
        <f t="shared" si="4"/>
        <v>160</v>
      </c>
      <c r="N47" s="1">
        <f t="shared" si="4"/>
        <v>160</v>
      </c>
      <c r="O47" s="3"/>
      <c r="P47" s="1"/>
      <c r="Q47" s="1"/>
      <c r="R47" s="1"/>
      <c r="S47" s="1"/>
      <c r="T47" s="1"/>
      <c r="U47" s="1"/>
      <c r="V47" s="1"/>
      <c r="W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L47" s="1">
        <v>187.41980921027195</v>
      </c>
      <c r="AM47" s="1">
        <v>112.34387234817174</v>
      </c>
      <c r="AN47" s="1"/>
    </row>
    <row r="48" spans="1:40" x14ac:dyDescent="0.25">
      <c r="A48" s="8">
        <f t="shared" si="2"/>
        <v>1881</v>
      </c>
      <c r="D48" s="1"/>
      <c r="E48" s="1"/>
      <c r="F48" s="1"/>
      <c r="H48" s="1"/>
      <c r="I48" s="1"/>
      <c r="J48" s="1">
        <f>20*6.78733031674208</f>
        <v>135.7466063348416</v>
      </c>
      <c r="K48" s="1"/>
      <c r="L48" s="1"/>
      <c r="M48" s="1">
        <f t="shared" si="4"/>
        <v>160</v>
      </c>
      <c r="N48" s="1">
        <f t="shared" si="4"/>
        <v>160</v>
      </c>
      <c r="O48" s="3"/>
      <c r="P48" s="1"/>
      <c r="Q48" s="1"/>
      <c r="R48" s="1"/>
      <c r="S48" s="1"/>
      <c r="T48" s="1"/>
      <c r="U48" s="1"/>
      <c r="V48" s="1"/>
      <c r="W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L48" s="1">
        <v>182.91923897343099</v>
      </c>
      <c r="AM48" s="1">
        <v>98.61313855595985</v>
      </c>
      <c r="AN48" s="1"/>
    </row>
    <row r="49" spans="1:40" x14ac:dyDescent="0.25">
      <c r="A49" s="8">
        <f t="shared" si="2"/>
        <v>1882</v>
      </c>
      <c r="D49" s="1"/>
      <c r="E49" s="1"/>
      <c r="F49" s="1"/>
      <c r="G49" s="1"/>
      <c r="H49" s="1"/>
      <c r="I49" s="1"/>
      <c r="J49" s="1">
        <f>20*6.78733031674208</f>
        <v>135.7466063348416</v>
      </c>
      <c r="K49" s="1"/>
      <c r="L49" s="1"/>
      <c r="M49" s="1">
        <f t="shared" si="4"/>
        <v>160</v>
      </c>
      <c r="N49" s="1">
        <f t="shared" si="4"/>
        <v>160</v>
      </c>
      <c r="O49" s="3"/>
      <c r="P49" s="1"/>
      <c r="Q49" s="1"/>
      <c r="R49" s="1"/>
      <c r="S49" s="1"/>
      <c r="T49" s="1"/>
      <c r="U49" s="1"/>
      <c r="V49" s="1"/>
      <c r="W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L49" s="1">
        <v>157.21423922013545</v>
      </c>
      <c r="AM49" s="1">
        <v>105.81225663355191</v>
      </c>
      <c r="AN49" s="1"/>
    </row>
    <row r="50" spans="1:40" x14ac:dyDescent="0.25">
      <c r="A50" s="8">
        <f t="shared" si="2"/>
        <v>1883</v>
      </c>
      <c r="D50" s="1"/>
      <c r="E50" s="1"/>
      <c r="F50" s="1"/>
      <c r="G50" s="1"/>
      <c r="H50" s="1"/>
      <c r="I50" s="1"/>
      <c r="J50" s="1">
        <f>20*5.65610859728507</f>
        <v>113.1221719457014</v>
      </c>
      <c r="K50" s="1"/>
      <c r="L50" s="1"/>
      <c r="M50" s="1">
        <f>20*8</f>
        <v>160</v>
      </c>
      <c r="N50" s="1">
        <f>20*12.3985323172453</f>
        <v>247.97064634490599</v>
      </c>
      <c r="O50" s="3"/>
      <c r="P50" s="1"/>
      <c r="Q50" s="1"/>
      <c r="R50" s="1"/>
      <c r="S50" s="1"/>
      <c r="T50" s="1"/>
      <c r="U50" s="1"/>
      <c r="V50" s="1"/>
      <c r="W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L50" s="1">
        <v>157.18761143330721</v>
      </c>
      <c r="AM50" s="1">
        <v>90.451055222251398</v>
      </c>
      <c r="AN50" s="1"/>
    </row>
    <row r="51" spans="1:40" x14ac:dyDescent="0.25">
      <c r="A51" s="8">
        <f t="shared" si="2"/>
        <v>1884</v>
      </c>
      <c r="D51" s="1"/>
      <c r="E51" s="1"/>
      <c r="F51" s="1"/>
      <c r="G51" s="1"/>
      <c r="H51" s="1"/>
      <c r="I51" s="1"/>
      <c r="J51" s="1"/>
      <c r="K51" s="3"/>
      <c r="L51" s="1"/>
      <c r="M51" s="1">
        <f>20*5.5</f>
        <v>110</v>
      </c>
      <c r="N51" s="1">
        <f>20*8.71139510117146</f>
        <v>174.22790202342921</v>
      </c>
      <c r="O51" s="3"/>
      <c r="P51" s="3"/>
      <c r="Q51" s="1"/>
      <c r="R51" s="1"/>
      <c r="S51" s="1"/>
      <c r="T51" s="1"/>
      <c r="U51" s="1"/>
      <c r="V51" s="3"/>
      <c r="W51" s="3"/>
      <c r="Y51" s="1"/>
      <c r="Z51" s="1"/>
      <c r="AA51" s="3"/>
      <c r="AB51" s="3"/>
      <c r="AC51" s="1"/>
      <c r="AD51" s="3"/>
      <c r="AE51" s="1"/>
      <c r="AF51" s="1"/>
      <c r="AG51" s="1">
        <f>20*0.43650937917683</f>
        <v>8.7301875835366012</v>
      </c>
      <c r="AH51" s="3"/>
      <c r="AI51" s="1"/>
      <c r="AJ51" s="3"/>
      <c r="AL51" s="1">
        <v>174.21464599351265</v>
      </c>
      <c r="AM51" s="1">
        <v>86.276727918100534</v>
      </c>
      <c r="AN51" s="1">
        <v>98.67936117936118</v>
      </c>
    </row>
    <row r="52" spans="1:40" x14ac:dyDescent="0.25">
      <c r="A52" s="8">
        <f t="shared" si="2"/>
        <v>1885</v>
      </c>
      <c r="D52" s="1"/>
      <c r="E52" s="1"/>
      <c r="F52" s="1"/>
      <c r="G52" s="1"/>
      <c r="H52" s="1"/>
      <c r="I52" s="1"/>
      <c r="J52" s="1"/>
      <c r="K52" s="1">
        <v>187.21872187218727</v>
      </c>
      <c r="L52" s="1"/>
      <c r="M52" s="1">
        <f>20*5</f>
        <v>100</v>
      </c>
      <c r="N52" s="3">
        <f>20*8</f>
        <v>160</v>
      </c>
      <c r="O52" s="3"/>
      <c r="P52" s="1"/>
      <c r="Q52" s="1"/>
      <c r="R52" s="1"/>
      <c r="S52" s="1"/>
      <c r="T52" s="1"/>
      <c r="U52" s="1"/>
      <c r="V52" s="1"/>
      <c r="W52" s="1"/>
      <c r="Y52" s="1"/>
      <c r="Z52" s="1"/>
      <c r="AA52" s="1"/>
      <c r="AB52" s="1"/>
      <c r="AC52" s="1"/>
      <c r="AD52" s="1"/>
      <c r="AE52" s="1"/>
      <c r="AF52" s="1"/>
      <c r="AG52" s="1">
        <f>20*0.744401179962462</f>
        <v>14.888023599249241</v>
      </c>
      <c r="AH52" s="1"/>
      <c r="AI52" s="1"/>
      <c r="AJ52" s="1"/>
      <c r="AL52" s="1">
        <v>188.21630740354925</v>
      </c>
      <c r="AM52" s="1">
        <v>75.858768044236385</v>
      </c>
      <c r="AN52" s="1">
        <v>100.22727272727273</v>
      </c>
    </row>
    <row r="53" spans="1:40" x14ac:dyDescent="0.25">
      <c r="A53" s="8">
        <f t="shared" si="2"/>
        <v>1886</v>
      </c>
      <c r="D53" s="1"/>
      <c r="E53" s="1"/>
      <c r="F53" s="1"/>
      <c r="G53" s="1"/>
      <c r="H53" s="1"/>
      <c r="I53" s="1"/>
      <c r="J53" s="1"/>
      <c r="K53" s="1"/>
      <c r="L53" s="1"/>
      <c r="M53" s="1">
        <f>20*5</f>
        <v>100</v>
      </c>
      <c r="N53" s="1">
        <f>20*8</f>
        <v>160</v>
      </c>
      <c r="O53" s="3"/>
      <c r="P53" s="1"/>
      <c r="Q53" s="1"/>
      <c r="R53" s="1"/>
      <c r="S53" s="1"/>
      <c r="T53" s="1"/>
      <c r="U53" s="1"/>
      <c r="V53" s="1"/>
      <c r="W53" s="1"/>
      <c r="Y53" s="1"/>
      <c r="Z53" s="1"/>
      <c r="AA53" s="1"/>
      <c r="AB53" s="1"/>
      <c r="AC53" s="1"/>
      <c r="AD53" s="1"/>
      <c r="AE53" s="1"/>
      <c r="AF53" s="1"/>
      <c r="AG53" s="1">
        <f>20*0.652069566424647</f>
        <v>13.041391328492939</v>
      </c>
      <c r="AH53" s="1"/>
      <c r="AI53" s="1"/>
      <c r="AJ53" s="1"/>
      <c r="AL53" s="1">
        <v>170.14470357648483</v>
      </c>
      <c r="AM53" s="1">
        <v>79.11830106676021</v>
      </c>
      <c r="AN53" s="1">
        <v>96.250000000000014</v>
      </c>
    </row>
    <row r="54" spans="1:40" x14ac:dyDescent="0.25">
      <c r="A54" s="8">
        <f t="shared" si="2"/>
        <v>1887</v>
      </c>
      <c r="C54" s="1">
        <f>2240*0.0705915178571429</f>
        <v>158.12500000000011</v>
      </c>
      <c r="D54" s="1"/>
      <c r="E54" s="1"/>
      <c r="F54" s="1"/>
      <c r="H54" s="1"/>
      <c r="I54" s="1"/>
      <c r="J54" s="1"/>
      <c r="K54" s="1">
        <v>136.56538067599863</v>
      </c>
      <c r="L54" s="1"/>
      <c r="M54" s="1">
        <f>20*5.00094786729858</f>
        <v>100.01895734597159</v>
      </c>
      <c r="N54" s="1">
        <f t="shared" ref="N54:N60" si="5">20*6</f>
        <v>120</v>
      </c>
      <c r="O54" s="3"/>
      <c r="P54" s="1"/>
      <c r="Q54" s="1"/>
      <c r="R54" s="1"/>
      <c r="S54" s="1"/>
      <c r="T54" s="1"/>
      <c r="U54" s="1"/>
      <c r="V54" s="1"/>
      <c r="W54" s="1"/>
      <c r="Y54" s="1"/>
      <c r="Z54" s="1"/>
      <c r="AA54" s="1"/>
      <c r="AB54" s="1"/>
      <c r="AC54" s="1"/>
      <c r="AD54" s="1"/>
      <c r="AE54" s="1"/>
      <c r="AF54" s="1"/>
      <c r="AG54" s="1">
        <f>20*0.951392184457959</f>
        <v>19.02784368915918</v>
      </c>
      <c r="AH54" s="1"/>
      <c r="AI54" s="1">
        <f>20*10.1330623514073</f>
        <v>202.66124702814602</v>
      </c>
      <c r="AJ54" s="1">
        <f>20*6.67289719626168</f>
        <v>133.45794392523359</v>
      </c>
      <c r="AK54" s="3">
        <f>20*6.12829100090247</f>
        <v>122.56582001804941</v>
      </c>
      <c r="AL54" s="1">
        <v>172.35013200162683</v>
      </c>
      <c r="AM54" s="1">
        <v>64.522856189522855</v>
      </c>
      <c r="AN54" s="1">
        <v>94.791666666666671</v>
      </c>
    </row>
    <row r="55" spans="1:40" x14ac:dyDescent="0.25">
      <c r="A55" s="8">
        <f t="shared" si="2"/>
        <v>1888</v>
      </c>
      <c r="C55" s="1">
        <f>2240*0.0609405577299413</f>
        <v>136.50684931506851</v>
      </c>
      <c r="D55" s="1"/>
      <c r="E55" s="1"/>
      <c r="F55" s="1"/>
      <c r="H55" s="1"/>
      <c r="I55" s="1"/>
      <c r="J55" s="1"/>
      <c r="K55" s="1"/>
      <c r="L55" s="1"/>
      <c r="M55" s="1">
        <f>20*6.00234192037471</f>
        <v>120.04683840749421</v>
      </c>
      <c r="N55" s="1">
        <f t="shared" si="5"/>
        <v>120</v>
      </c>
      <c r="O55" s="3"/>
      <c r="P55" s="1"/>
      <c r="Q55" s="1"/>
      <c r="R55" s="1"/>
      <c r="S55" s="1"/>
      <c r="T55" s="1"/>
      <c r="U55" s="1"/>
      <c r="V55" s="1"/>
      <c r="W55" s="1"/>
      <c r="Y55" s="1"/>
      <c r="Z55" s="1"/>
      <c r="AA55" s="1"/>
      <c r="AB55" s="1"/>
      <c r="AC55" s="1"/>
      <c r="AD55" s="1"/>
      <c r="AE55" s="1"/>
      <c r="AF55" s="1"/>
      <c r="AG55" s="1">
        <f>20*0.821523824733348</f>
        <v>16.430476494666959</v>
      </c>
      <c r="AH55" s="1"/>
      <c r="AI55" s="1">
        <f>20*2.64754019447386</f>
        <v>52.9508038894772</v>
      </c>
      <c r="AJ55" s="1">
        <f>20*3.86611658237956</f>
        <v>77.322331647591199</v>
      </c>
      <c r="AK55" s="3">
        <f>20*5.13909028253291</f>
        <v>102.78180565065821</v>
      </c>
      <c r="AL55" s="1">
        <v>160.97045370255901</v>
      </c>
      <c r="AM55" s="1">
        <v>58.81055297721965</v>
      </c>
      <c r="AN55" s="1">
        <v>83.572891072891082</v>
      </c>
    </row>
    <row r="56" spans="1:40" x14ac:dyDescent="0.25">
      <c r="A56" s="8">
        <f t="shared" si="2"/>
        <v>1889</v>
      </c>
      <c r="C56" s="1">
        <f>2240*0.0482396750169262</f>
        <v>108.05687203791469</v>
      </c>
      <c r="D56" s="1"/>
      <c r="E56" s="1"/>
      <c r="F56" s="1"/>
      <c r="H56" s="1"/>
      <c r="I56" s="1"/>
      <c r="J56" s="1">
        <f>2240*0.0454545454545455</f>
        <v>101.81818181818191</v>
      </c>
      <c r="K56" s="1"/>
      <c r="L56" s="1"/>
      <c r="M56" s="1">
        <f>20*6.00152671755725</f>
        <v>120.03053435114501</v>
      </c>
      <c r="N56" s="1">
        <f t="shared" si="5"/>
        <v>120</v>
      </c>
      <c r="O56" s="3"/>
      <c r="P56" s="1"/>
      <c r="Q56" s="1"/>
      <c r="R56" s="1"/>
      <c r="S56" s="1"/>
      <c r="U56" s="1"/>
      <c r="V56" s="1"/>
      <c r="W56" s="1"/>
      <c r="Y56" s="1"/>
      <c r="Z56" s="1"/>
      <c r="AA56" s="1"/>
      <c r="AB56" s="1"/>
      <c r="AC56" s="1"/>
      <c r="AD56" s="1"/>
      <c r="AE56" s="1"/>
      <c r="AF56" s="1"/>
      <c r="AG56" s="1">
        <f>20*0.630109926773126</f>
        <v>12.60219853546252</v>
      </c>
      <c r="AH56" s="1"/>
      <c r="AI56" s="1">
        <f>20*2.70703988214248</f>
        <v>54.140797642849599</v>
      </c>
      <c r="AJ56" s="1">
        <f>20*2.70543935702307</f>
        <v>54.108787140461402</v>
      </c>
      <c r="AK56" s="3">
        <f>20*5.82081124186387</f>
        <v>116.41622483727741</v>
      </c>
      <c r="AL56" s="1">
        <v>149.39758389126587</v>
      </c>
      <c r="AM56" s="1">
        <v>52.752411502411505</v>
      </c>
      <c r="AN56" s="1">
        <v>91.781670831670809</v>
      </c>
    </row>
    <row r="57" spans="1:40" x14ac:dyDescent="0.25">
      <c r="A57" s="8">
        <f t="shared" si="2"/>
        <v>1890</v>
      </c>
      <c r="C57" s="1">
        <f>2240*0.0481963688485428</f>
        <v>107.95986622073588</v>
      </c>
      <c r="D57" s="1"/>
      <c r="E57" s="1"/>
      <c r="F57" s="1"/>
      <c r="H57" s="1"/>
      <c r="I57" s="1"/>
      <c r="J57" s="1">
        <v>109.66666666666671</v>
      </c>
      <c r="K57" s="1"/>
      <c r="L57" s="1"/>
      <c r="M57" s="1">
        <f>20*6</f>
        <v>120</v>
      </c>
      <c r="N57" s="1">
        <f t="shared" si="5"/>
        <v>120</v>
      </c>
      <c r="O57" s="3"/>
      <c r="P57" s="1"/>
      <c r="Q57" s="1"/>
      <c r="R57" s="1"/>
      <c r="S57" s="1"/>
      <c r="T57" s="1"/>
      <c r="U57" s="1"/>
      <c r="V57" s="1"/>
      <c r="W57" s="1"/>
      <c r="Z57" s="1"/>
      <c r="AA57" s="1"/>
      <c r="AB57" s="1"/>
      <c r="AC57" s="1"/>
      <c r="AD57" s="1"/>
      <c r="AE57" s="1"/>
      <c r="AG57" s="1">
        <f>20*0.365973295682961</f>
        <v>7.3194659136592204</v>
      </c>
      <c r="AH57" s="3">
        <f>20*5.84394984221335</f>
        <v>116.87899684426699</v>
      </c>
      <c r="AI57" s="1">
        <f>20*2.91824857880788</f>
        <v>58.3649715761576</v>
      </c>
      <c r="AJ57" s="1">
        <f>20*2.94164008604703</f>
        <v>58.832801720940601</v>
      </c>
      <c r="AK57" s="3">
        <f>20*6.88301085176085</f>
        <v>137.66021703521699</v>
      </c>
      <c r="AL57" s="1">
        <v>151.3408860843445</v>
      </c>
      <c r="AM57" s="1">
        <v>64.382185215518547</v>
      </c>
      <c r="AN57" s="1">
        <v>90.883281872911482</v>
      </c>
    </row>
    <row r="58" spans="1:40" x14ac:dyDescent="0.25">
      <c r="A58" s="8">
        <f t="shared" si="2"/>
        <v>1891</v>
      </c>
      <c r="C58" s="1">
        <f>2240*0.0481951738350063</f>
        <v>107.95718939041411</v>
      </c>
      <c r="D58" s="1"/>
      <c r="E58" s="1"/>
      <c r="F58" s="3"/>
      <c r="G58" s="1"/>
      <c r="H58" s="1"/>
      <c r="I58" s="1"/>
      <c r="J58" s="1">
        <v>119</v>
      </c>
      <c r="K58" s="1"/>
      <c r="L58" s="1"/>
      <c r="M58" s="1">
        <f>20*5.99792531120332</f>
        <v>119.95850622406641</v>
      </c>
      <c r="N58" s="1">
        <f t="shared" si="5"/>
        <v>120</v>
      </c>
      <c r="O58" s="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>
        <f>20*0.604406813910963</f>
        <v>12.08813627821926</v>
      </c>
      <c r="AH58" s="3">
        <f>20*3.5797213622291</f>
        <v>71.594427244582008</v>
      </c>
      <c r="AI58" s="1">
        <f>20*4.03846153846154</f>
        <v>80.769230769230802</v>
      </c>
      <c r="AJ58" s="1">
        <f>20*4.03940422322775</f>
        <v>80.788084464554998</v>
      </c>
      <c r="AK58" s="3">
        <f>20*5.30312295018177</f>
        <v>106.0624590036354</v>
      </c>
      <c r="AL58" s="1">
        <v>152.68650283186108</v>
      </c>
      <c r="AM58" s="1">
        <v>60.471532138198803</v>
      </c>
      <c r="AN58" s="1">
        <v>98.778077903077872</v>
      </c>
    </row>
    <row r="59" spans="1:40" x14ac:dyDescent="0.25">
      <c r="A59" s="8">
        <f t="shared" si="2"/>
        <v>1892</v>
      </c>
      <c r="C59" s="1">
        <f>2240*0.0446428571428571</f>
        <v>99.999999999999915</v>
      </c>
      <c r="D59" s="1"/>
      <c r="E59" s="1"/>
      <c r="F59" s="3">
        <f>2240*0.0293208192367856</f>
        <v>65.678635090399737</v>
      </c>
      <c r="G59" s="1"/>
      <c r="H59" s="1"/>
      <c r="I59" s="1"/>
      <c r="J59" s="1"/>
      <c r="K59" s="1"/>
      <c r="L59" s="1"/>
      <c r="M59" s="1">
        <f>20*6.00140252454418</f>
        <v>120.0280504908836</v>
      </c>
      <c r="N59" s="1">
        <f t="shared" si="5"/>
        <v>120</v>
      </c>
      <c r="O59" s="3"/>
      <c r="P59" s="1"/>
      <c r="Q59" s="3">
        <f>2240*0.12081170363379</f>
        <v>270.61821613968959</v>
      </c>
      <c r="R59" s="1"/>
      <c r="S59" s="1"/>
      <c r="T59" s="1"/>
      <c r="U59" s="1"/>
      <c r="V59" s="1"/>
      <c r="W59" s="1"/>
      <c r="X59" s="1"/>
      <c r="Y59" s="1">
        <f>2240*0.125</f>
        <v>280</v>
      </c>
      <c r="Z59" s="1"/>
      <c r="AA59" s="3"/>
      <c r="AB59" s="1"/>
      <c r="AC59" s="1"/>
      <c r="AD59" s="1"/>
      <c r="AE59" s="1"/>
      <c r="AF59" s="1"/>
      <c r="AG59" s="1">
        <f>20*0.553924359958027</f>
        <v>11.078487199160541</v>
      </c>
      <c r="AH59" s="1">
        <f>20*2.82805429864253</f>
        <v>56.561085972850606</v>
      </c>
      <c r="AI59" s="1">
        <f>20*4.46153846153846</f>
        <v>89.230769230769198</v>
      </c>
      <c r="AJ59" s="1">
        <f>20*4.74505754805794</f>
        <v>94.901150961158791</v>
      </c>
      <c r="AK59" s="3">
        <f>20*4.96945701357466</f>
        <v>99.389140271493204</v>
      </c>
      <c r="AL59" s="1">
        <v>156.25342101241031</v>
      </c>
      <c r="AM59" s="1">
        <v>44.275184275184266</v>
      </c>
      <c r="AN59" s="1">
        <v>78.523387022349979</v>
      </c>
    </row>
    <row r="60" spans="1:40" x14ac:dyDescent="0.25">
      <c r="A60" s="8">
        <f t="shared" si="2"/>
        <v>1893</v>
      </c>
      <c r="C60" s="1"/>
      <c r="D60" s="1"/>
      <c r="E60" s="1"/>
      <c r="F60" s="3">
        <f>2240*0.0294117647058824</f>
        <v>65.882352941176578</v>
      </c>
      <c r="G60" s="1"/>
      <c r="H60" s="1"/>
      <c r="I60" s="1"/>
      <c r="J60" s="1"/>
      <c r="K60" s="1"/>
      <c r="L60" s="1"/>
      <c r="M60" s="1">
        <f>20*4.9982174688057</f>
        <v>99.964349376114001</v>
      </c>
      <c r="N60" s="1">
        <f t="shared" si="5"/>
        <v>120</v>
      </c>
      <c r="O60" s="3"/>
      <c r="P60" s="1"/>
      <c r="Q60" s="3">
        <f>2240*0.0949263502454992</f>
        <v>212.6350245499182</v>
      </c>
      <c r="R60" s="1"/>
      <c r="S60" s="1"/>
      <c r="T60" s="1"/>
      <c r="U60" s="1"/>
      <c r="V60" s="1"/>
      <c r="W60" s="1"/>
      <c r="X60" s="1">
        <f>2240*0.117795310103002</f>
        <v>263.86149463072445</v>
      </c>
      <c r="Y60" s="1">
        <f>2240*0.1</f>
        <v>224</v>
      </c>
      <c r="Z60" s="1"/>
      <c r="AA60" s="1"/>
      <c r="AB60" s="1"/>
      <c r="AC60" s="1"/>
      <c r="AD60" s="1"/>
      <c r="AE60" s="1"/>
      <c r="AF60" s="1"/>
      <c r="AG60" s="1">
        <f>20*1.23817771555146</f>
        <v>24.7635543110292</v>
      </c>
      <c r="AH60" s="1"/>
      <c r="AI60" s="1">
        <f>20*4.14116849721929</f>
        <v>82.823369944385803</v>
      </c>
      <c r="AJ60" s="1">
        <f>20*4.63800904977376</f>
        <v>92.760180995475196</v>
      </c>
      <c r="AK60" s="3">
        <f>20*4.90620286576169</f>
        <v>98.124057315233813</v>
      </c>
      <c r="AL60" s="1">
        <v>164.88326935788061</v>
      </c>
      <c r="AM60" s="1">
        <v>56.526068004627007</v>
      </c>
      <c r="AN60" s="1">
        <v>71.815006073522113</v>
      </c>
    </row>
    <row r="61" spans="1:40" x14ac:dyDescent="0.25">
      <c r="A61" s="8">
        <f t="shared" si="2"/>
        <v>1894</v>
      </c>
      <c r="D61" s="1"/>
      <c r="E61" s="1"/>
      <c r="F61" s="3">
        <f>2240*0.0122558734155573</f>
        <v>27.453156450848354</v>
      </c>
      <c r="G61" s="1"/>
      <c r="H61" s="1"/>
      <c r="I61" s="1"/>
      <c r="J61" s="1"/>
      <c r="K61" s="1"/>
      <c r="L61" s="1"/>
      <c r="M61" s="1">
        <f>20*4.59865092748735</f>
        <v>91.973018549746996</v>
      </c>
      <c r="N61" s="1">
        <f>20*5</f>
        <v>100</v>
      </c>
      <c r="O61" s="3"/>
      <c r="P61" s="1"/>
      <c r="Q61" s="3"/>
      <c r="R61" s="1"/>
      <c r="S61" s="1"/>
      <c r="T61" s="1"/>
      <c r="U61" s="1"/>
      <c r="V61" s="1">
        <f>20*8.96</f>
        <v>179.20000000000002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>
        <f>20*1.10893740773044</f>
        <v>22.178748154608797</v>
      </c>
      <c r="AH61" s="1"/>
      <c r="AI61" s="1">
        <f>20*3.52036199095023</f>
        <v>70.407239819004602</v>
      </c>
      <c r="AJ61" s="1">
        <f>20*3.39977987036811</f>
        <v>67.995597407362197</v>
      </c>
      <c r="AK61" s="3">
        <f>20*5.0277149321267</f>
        <v>100.55429864253399</v>
      </c>
      <c r="AL61" s="1">
        <v>166.66674558001768</v>
      </c>
      <c r="AM61" s="1">
        <v>36.78972972899394</v>
      </c>
      <c r="AN61" s="1">
        <v>67.429270305901426</v>
      </c>
    </row>
    <row r="62" spans="1:40" x14ac:dyDescent="0.25">
      <c r="A62" s="8">
        <f t="shared" si="2"/>
        <v>1895</v>
      </c>
      <c r="D62" s="1"/>
      <c r="E62" s="1"/>
      <c r="F62" s="3">
        <f>2240*0.012253922743688</f>
        <v>27.448786945861123</v>
      </c>
      <c r="G62" s="1"/>
      <c r="H62" s="1"/>
      <c r="I62" s="1"/>
      <c r="J62" s="1"/>
      <c r="K62" s="1"/>
      <c r="L62" s="1"/>
      <c r="M62" s="1">
        <f>20*4.60170697012802</f>
        <v>92.034139402560399</v>
      </c>
      <c r="N62" s="1">
        <f>20*5</f>
        <v>100</v>
      </c>
      <c r="O62" s="3"/>
      <c r="P62" s="1"/>
      <c r="Q62" s="3">
        <f>2240*0.08</f>
        <v>179.20000000000002</v>
      </c>
      <c r="R62" s="1"/>
      <c r="S62" s="1"/>
      <c r="T62" s="1"/>
      <c r="U62" s="1"/>
      <c r="W62" s="1"/>
      <c r="X62" s="1"/>
      <c r="Z62" s="1"/>
      <c r="AA62" s="1"/>
      <c r="AB62" s="1"/>
      <c r="AC62" s="1"/>
      <c r="AD62" s="1"/>
      <c r="AE62" s="1"/>
      <c r="AF62" s="1"/>
      <c r="AG62" s="1"/>
      <c r="AH62" s="1">
        <f>20*4.08290155440415</f>
        <v>81.658031088082993</v>
      </c>
      <c r="AI62" s="1">
        <f>20*3.77262443438914</f>
        <v>75.452488687782804</v>
      </c>
      <c r="AJ62" s="1">
        <f>20*3.69976044716529</f>
        <v>73.995208943305798</v>
      </c>
      <c r="AK62" s="3">
        <f>20*3.77073906485671</f>
        <v>75.414781297134198</v>
      </c>
      <c r="AL62" s="1">
        <v>75.724368298428985</v>
      </c>
      <c r="AM62" s="1">
        <v>54.479960165695957</v>
      </c>
      <c r="AN62" s="1">
        <v>69.177141985694817</v>
      </c>
    </row>
    <row r="63" spans="1:40" x14ac:dyDescent="0.25">
      <c r="A63" s="8">
        <f t="shared" si="2"/>
        <v>1896</v>
      </c>
      <c r="D63" s="1"/>
      <c r="E63" s="1"/>
      <c r="F63" s="3">
        <f>2240*0.0122549019607843</f>
        <v>27.450980392156833</v>
      </c>
      <c r="G63" s="1"/>
      <c r="H63" s="1"/>
      <c r="I63" s="1"/>
      <c r="J63" s="1"/>
      <c r="K63" s="1"/>
      <c r="L63" s="1"/>
      <c r="M63" s="1">
        <f>20*4.59897172236504</f>
        <v>91.979434447300804</v>
      </c>
      <c r="N63" s="1">
        <f>20*5</f>
        <v>100</v>
      </c>
      <c r="O63" s="3"/>
      <c r="P63" s="1"/>
      <c r="Q63" s="3">
        <f>2240*0.0792079207920792</f>
        <v>177.42574257425738</v>
      </c>
      <c r="T63" s="1"/>
      <c r="U63" s="1"/>
      <c r="W63" s="1"/>
      <c r="Y63" s="1"/>
      <c r="Z63" s="1"/>
      <c r="AA63" s="1"/>
      <c r="AB63" s="1"/>
      <c r="AC63" s="1"/>
      <c r="AD63" s="1"/>
      <c r="AE63" s="1"/>
      <c r="AF63" s="1"/>
      <c r="AG63" s="1"/>
      <c r="AH63" s="1">
        <f>20*4.64795918367347</f>
        <v>92.959183673469411</v>
      </c>
      <c r="AI63" s="1">
        <f>20*4.32692307692308</f>
        <v>86.538461538461604</v>
      </c>
      <c r="AJ63" s="1">
        <f>20*3.61990950226244</f>
        <v>72.398190045248796</v>
      </c>
      <c r="AK63" s="3">
        <f>20*3.77073906485671</f>
        <v>75.414781297134198</v>
      </c>
      <c r="AL63" s="1">
        <v>84.67382754550863</v>
      </c>
      <c r="AM63" s="1">
        <v>51.13184644846018</v>
      </c>
      <c r="AN63" s="1">
        <v>63.880255255211459</v>
      </c>
    </row>
    <row r="64" spans="1:40" x14ac:dyDescent="0.25">
      <c r="A64" s="8">
        <f t="shared" si="2"/>
        <v>1897</v>
      </c>
      <c r="C64" s="1">
        <f>2240*0.0392156862745098</f>
        <v>87.843137254901961</v>
      </c>
      <c r="D64" s="1"/>
      <c r="E64" s="1"/>
      <c r="F64" s="3">
        <f>2240*0.0122555718105772</f>
        <v>27.452480855692929</v>
      </c>
      <c r="G64" s="1"/>
      <c r="H64" s="1"/>
      <c r="I64" s="1"/>
      <c r="J64" s="1"/>
      <c r="M64" s="1">
        <f>20*4</f>
        <v>80</v>
      </c>
      <c r="N64" s="1">
        <f>20*4.60006393861893</f>
        <v>92.001278772378598</v>
      </c>
      <c r="O64" s="3"/>
      <c r="P64" s="1"/>
      <c r="Q64" s="3"/>
      <c r="U64" s="1"/>
      <c r="W64" s="1"/>
      <c r="X64" s="1"/>
      <c r="Y64" s="1">
        <f>2240*0.0808080808080808</f>
        <v>181.01010101010098</v>
      </c>
      <c r="Z64" s="1"/>
      <c r="AA64" s="1"/>
      <c r="AB64" s="1"/>
      <c r="AC64" s="1"/>
      <c r="AD64" s="1"/>
      <c r="AE64" s="1"/>
      <c r="AF64" s="1"/>
      <c r="AG64" s="1"/>
      <c r="AH64" s="1">
        <f>20*4.49122807017544</f>
        <v>89.824561403508795</v>
      </c>
      <c r="AI64" s="1">
        <f>20*4.23831070889894</f>
        <v>84.766214177978796</v>
      </c>
      <c r="AJ64" s="1">
        <f>20*4.24809858476942</f>
        <v>84.961971695388399</v>
      </c>
      <c r="AK64" s="3">
        <f>20*3.52960912605903</f>
        <v>70.592182521180604</v>
      </c>
      <c r="AL64" s="1">
        <v>90.599041725887361</v>
      </c>
      <c r="AM64" s="1">
        <v>49.428283064191724</v>
      </c>
      <c r="AN64" s="1">
        <v>59.408439367701042</v>
      </c>
    </row>
    <row r="65" spans="1:40" x14ac:dyDescent="0.25">
      <c r="A65" s="8">
        <f t="shared" si="2"/>
        <v>1898</v>
      </c>
      <c r="C65" s="1">
        <f>2240*0.07875281260045</f>
        <v>176.40630022500801</v>
      </c>
      <c r="D65" s="1"/>
      <c r="E65" s="1"/>
      <c r="F65" s="1"/>
      <c r="H65" s="1"/>
      <c r="I65" s="1"/>
      <c r="J65" s="1"/>
      <c r="M65" s="1">
        <f>20*4.00113250283126</f>
        <v>80.02265005662521</v>
      </c>
      <c r="N65" s="1">
        <f>20*4.39987562189055</f>
        <v>87.997512437811011</v>
      </c>
      <c r="O65" s="3"/>
      <c r="P65" s="1"/>
      <c r="Q65" s="3">
        <f>2240*0.0914285714285714</f>
        <v>204.79999999999993</v>
      </c>
      <c r="R65" s="1"/>
      <c r="S65" s="1"/>
      <c r="U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>
        <f>20*3.67839195979899</f>
        <v>73.567839195979801</v>
      </c>
      <c r="AI65" s="1">
        <f>20*4.2420814479638</f>
        <v>84.841628959275994</v>
      </c>
      <c r="AJ65" s="1">
        <f>20*4.24403183023873</f>
        <v>84.880636604774594</v>
      </c>
      <c r="AK65" s="3">
        <f>20*4.91898166676171</f>
        <v>98.379633335234203</v>
      </c>
      <c r="AL65" s="1">
        <v>82.346748871993569</v>
      </c>
      <c r="AM65" s="1">
        <v>49.448294847522135</v>
      </c>
      <c r="AN65" s="1">
        <v>58.139874249249239</v>
      </c>
    </row>
    <row r="66" spans="1:40" x14ac:dyDescent="0.25">
      <c r="A66" s="8">
        <f t="shared" si="2"/>
        <v>1899</v>
      </c>
      <c r="C66" s="1">
        <f>2240*0.0882352941176471</f>
        <v>197.64705882352951</v>
      </c>
      <c r="D66" s="1"/>
      <c r="E66" s="1"/>
      <c r="F66" s="1"/>
      <c r="H66" s="1"/>
      <c r="I66" s="1"/>
      <c r="J66" s="1"/>
      <c r="M66" s="1">
        <f>20*3.00315457413249</f>
        <v>60.063091482649796</v>
      </c>
      <c r="N66" s="1">
        <f>20*4</f>
        <v>80</v>
      </c>
      <c r="O66" s="3"/>
      <c r="P66" s="1"/>
      <c r="Q66" s="1"/>
      <c r="R66" s="1"/>
      <c r="S66" s="1"/>
      <c r="U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>
        <f>20*3.33928571428571</f>
        <v>66.785714285714192</v>
      </c>
      <c r="AI66" s="1">
        <f>20*7.23981900452489</f>
        <v>144.79638009049779</v>
      </c>
      <c r="AJ66" s="1">
        <f>20*4.60157987575734</f>
        <v>92.031597515146785</v>
      </c>
      <c r="AK66" s="3">
        <f>20*4.94632566968462</f>
        <v>98.926513393692389</v>
      </c>
      <c r="AL66" s="1">
        <v>75.471353282822889</v>
      </c>
      <c r="AM66" s="1">
        <v>45.811146923617251</v>
      </c>
      <c r="AN66" s="1">
        <v>62.709645771475202</v>
      </c>
    </row>
    <row r="67" spans="1:40" x14ac:dyDescent="0.25">
      <c r="A67" s="8">
        <f t="shared" si="2"/>
        <v>1900</v>
      </c>
      <c r="C67" s="1">
        <f>2240*0.0882352941176471</f>
        <v>197.64705882352951</v>
      </c>
      <c r="D67" s="1"/>
      <c r="E67" s="1"/>
      <c r="F67" s="1"/>
      <c r="H67" s="1"/>
      <c r="I67" s="3"/>
      <c r="J67" s="1"/>
      <c r="L67" s="1"/>
      <c r="M67" s="1">
        <f>20*2.99639855942377</f>
        <v>59.927971188475404</v>
      </c>
      <c r="N67" s="1">
        <f>20*3</f>
        <v>60</v>
      </c>
      <c r="O67" s="3"/>
      <c r="P67" s="1"/>
      <c r="Q67" s="1"/>
      <c r="R67" s="1"/>
      <c r="S67" s="1"/>
      <c r="T67" s="1">
        <f>20*5.03578047413017</f>
        <v>100.7156094826034</v>
      </c>
      <c r="U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>
        <f>20*3.18237082066869</f>
        <v>63.647416413373804</v>
      </c>
      <c r="AI67" s="1">
        <f>20*4.52488687782805</f>
        <v>90.497737556560992</v>
      </c>
      <c r="AJ67" s="1">
        <f>20*4.52488687782805</f>
        <v>90.497737556560992</v>
      </c>
      <c r="AK67" s="3">
        <f>20*4.53272791794517</f>
        <v>90.654558358903401</v>
      </c>
      <c r="AL67" s="1">
        <v>73.961495558536683</v>
      </c>
      <c r="AM67" s="1">
        <v>49.232804205706117</v>
      </c>
      <c r="AN67" s="1">
        <v>61.817917897581886</v>
      </c>
    </row>
    <row r="68" spans="1:40" x14ac:dyDescent="0.25">
      <c r="A68" s="8">
        <f t="shared" si="2"/>
        <v>1901</v>
      </c>
      <c r="C68" s="1">
        <f>2240*0.0490196078431373</f>
        <v>109.80392156862756</v>
      </c>
      <c r="D68" s="1"/>
      <c r="E68" s="1"/>
      <c r="F68" s="1"/>
      <c r="H68" s="1"/>
      <c r="I68" s="3"/>
      <c r="J68" s="1"/>
      <c r="L68" s="1"/>
      <c r="M68" s="1">
        <f>20*3.99784482758621</f>
        <v>79.956896551724199</v>
      </c>
      <c r="N68" s="1">
        <f>20*3.6</f>
        <v>72</v>
      </c>
      <c r="O68" s="3"/>
      <c r="P68" s="1"/>
      <c r="Q68" s="1"/>
      <c r="R68" s="1"/>
      <c r="S68" s="1"/>
      <c r="T68" s="1">
        <f>20*4.97132311545837</f>
        <v>99.426462309167391</v>
      </c>
      <c r="U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>
        <f>20*3</f>
        <v>60</v>
      </c>
      <c r="AI68" s="1">
        <f>20*4.52488687782805</f>
        <v>90.497737556560992</v>
      </c>
      <c r="AJ68" s="1">
        <f>20*4.52488687782805</f>
        <v>90.497737556560992</v>
      </c>
      <c r="AK68" s="3">
        <f>20*5.31368472544943</f>
        <v>106.2736945089886</v>
      </c>
      <c r="AL68" s="1">
        <v>76.546701543326549</v>
      </c>
      <c r="AM68" s="1">
        <v>37.836258880580395</v>
      </c>
      <c r="AN68" s="1">
        <v>60.052373025195266</v>
      </c>
    </row>
    <row r="69" spans="1:40" x14ac:dyDescent="0.25">
      <c r="A69" s="8">
        <f t="shared" si="2"/>
        <v>1902</v>
      </c>
      <c r="C69" s="1">
        <f>2240*0.0245067641344024</f>
        <v>54.895151661061377</v>
      </c>
      <c r="D69" s="1"/>
      <c r="E69" s="1"/>
      <c r="F69" s="1"/>
      <c r="H69" s="1"/>
      <c r="I69" s="1">
        <f>20*8.40336134453782</f>
        <v>168.06722689075642</v>
      </c>
      <c r="J69" s="1"/>
      <c r="L69" s="1"/>
      <c r="M69" s="1">
        <f>20*3.60840336134454</f>
        <v>72.168067226890798</v>
      </c>
      <c r="N69" s="1">
        <f>20*4</f>
        <v>80</v>
      </c>
      <c r="O69" s="3"/>
      <c r="P69" s="1"/>
      <c r="Q69" s="1"/>
      <c r="R69" s="3">
        <f>2240*0.0412315798626075</f>
        <v>92.358738892240794</v>
      </c>
      <c r="S69" s="1">
        <f>2240*0.0469454369869628</f>
        <v>105.15777885079667</v>
      </c>
      <c r="T69" s="1">
        <f>20*5.87022953487508</f>
        <v>117.4045906975016</v>
      </c>
      <c r="U69" s="1">
        <f>20*5.4412955465587</f>
        <v>108.82591093117399</v>
      </c>
      <c r="W69" s="1"/>
      <c r="X69" s="1">
        <f>2240*0.0510973006223766</f>
        <v>114.45795339412358</v>
      </c>
      <c r="Y69" s="1"/>
      <c r="Z69" s="1"/>
      <c r="AB69" s="1"/>
      <c r="AC69" s="1"/>
      <c r="AD69" s="1"/>
      <c r="AE69" s="1"/>
      <c r="AF69" s="1"/>
      <c r="AG69" s="1"/>
      <c r="AH69" s="1">
        <f>20*2.16316736652669</f>
        <v>43.263347330533797</v>
      </c>
      <c r="AI69" s="1">
        <f>20*4.4125</f>
        <v>88.25</v>
      </c>
      <c r="AJ69" s="1"/>
      <c r="AL69" s="1">
        <v>74.745959312422315</v>
      </c>
      <c r="AM69" s="1">
        <v>42.841616948691588</v>
      </c>
      <c r="AN69" s="1">
        <v>58.952577575503504</v>
      </c>
    </row>
    <row r="70" spans="1:40" x14ac:dyDescent="0.25">
      <c r="A70" s="8">
        <f t="shared" si="2"/>
        <v>1903</v>
      </c>
      <c r="C70" s="1">
        <f>2240*0.0343174381593082</f>
        <v>76.871061476850358</v>
      </c>
      <c r="D70" s="1"/>
      <c r="E70" s="1"/>
      <c r="F70" s="1"/>
      <c r="H70" s="1"/>
      <c r="I70" s="1">
        <f>20*10</f>
        <v>200</v>
      </c>
      <c r="J70" s="1"/>
      <c r="L70" s="1"/>
      <c r="M70" s="1">
        <f>20*2.83413461538462</f>
        <v>56.682692307692399</v>
      </c>
      <c r="N70" s="1">
        <f>20*4</f>
        <v>80</v>
      </c>
      <c r="O70" s="3"/>
      <c r="P70" s="1"/>
      <c r="Q70" s="1"/>
      <c r="R70" s="3">
        <f>2240*0.0495371696787218</f>
        <v>110.96326008033684</v>
      </c>
      <c r="S70" s="1">
        <f>2240*0.0677921745603424</f>
        <v>151.85447101516695</v>
      </c>
      <c r="T70" s="1">
        <f>20*5.79756736479606</f>
        <v>115.9513472959212</v>
      </c>
      <c r="V70" s="1"/>
      <c r="W70" s="1"/>
      <c r="X70" s="1"/>
      <c r="Y70" s="1"/>
      <c r="Z70" s="1"/>
      <c r="AB70" s="1"/>
      <c r="AC70" s="1"/>
      <c r="AD70" s="1"/>
      <c r="AE70" s="1">
        <f>2240*0.0249888309754281</f>
        <v>55.974981384958944</v>
      </c>
      <c r="AF70" s="1">
        <f>2240*0.025</f>
        <v>56</v>
      </c>
      <c r="AG70" s="1"/>
      <c r="AI70" s="1">
        <f>20*5.5</f>
        <v>110</v>
      </c>
      <c r="AJ70" s="1"/>
      <c r="AL70" s="1">
        <v>79.929382850915331</v>
      </c>
      <c r="AM70" s="1">
        <v>46.744314456777978</v>
      </c>
      <c r="AN70" s="1">
        <v>61.298668233446229</v>
      </c>
    </row>
    <row r="71" spans="1:40" x14ac:dyDescent="0.25">
      <c r="A71" s="8">
        <f t="shared" si="2"/>
        <v>1904</v>
      </c>
      <c r="C71" s="1">
        <f>2240*0.0294117647058824</f>
        <v>65.882352941176578</v>
      </c>
      <c r="D71" s="1"/>
      <c r="E71" s="1"/>
      <c r="F71" s="1"/>
      <c r="H71" s="1"/>
      <c r="I71" s="1">
        <f>20*9.04761904761905</f>
        <v>180.95238095238099</v>
      </c>
      <c r="J71" s="1"/>
      <c r="L71" s="1"/>
      <c r="M71" s="1">
        <f>20*3.60883280757098</f>
        <v>72.176656151419593</v>
      </c>
      <c r="N71" s="1">
        <f>20*4</f>
        <v>80</v>
      </c>
      <c r="O71" s="3"/>
      <c r="P71" s="1"/>
      <c r="Q71" s="1"/>
      <c r="R71" s="3">
        <f>2240*0.063227071247588</f>
        <v>141.62863959459713</v>
      </c>
      <c r="S71" s="1">
        <f>2240*0.0561499523386911</f>
        <v>125.77589323866806</v>
      </c>
      <c r="T71" s="1">
        <f>20*4.60720323326541</f>
        <v>92.144064665308193</v>
      </c>
      <c r="U71" s="1">
        <f>20*6.25539477024626</f>
        <v>125.10789540492519</v>
      </c>
      <c r="V71" s="1"/>
      <c r="W71" s="1"/>
      <c r="X71" s="1"/>
      <c r="Y71" s="1"/>
      <c r="Z71" s="1"/>
      <c r="AA71" s="1"/>
      <c r="AB71" s="1"/>
      <c r="AC71" s="1"/>
      <c r="AD71" s="1"/>
      <c r="AE71" s="1">
        <f>2240*0.0249910447761194</f>
        <v>55.979940298507451</v>
      </c>
      <c r="AF71" s="1">
        <f>2240*0.0290513833992095</f>
        <v>65.075098814229278</v>
      </c>
      <c r="AG71" s="1"/>
      <c r="AI71" s="1">
        <f>20*6.65</f>
        <v>133</v>
      </c>
      <c r="AJ71" s="1"/>
      <c r="AL71" s="1"/>
      <c r="AM71" s="1">
        <v>49.492147343359044</v>
      </c>
      <c r="AN71" s="1">
        <v>69.106327071812288</v>
      </c>
    </row>
    <row r="72" spans="1:40" x14ac:dyDescent="0.25">
      <c r="A72" s="8">
        <f t="shared" ref="A72:A135" si="6">A71+1</f>
        <v>1905</v>
      </c>
      <c r="C72" s="1">
        <f>2240*0.0294013850599528</f>
        <v>65.859102534294266</v>
      </c>
      <c r="D72" s="1"/>
      <c r="E72" s="1"/>
      <c r="F72" s="1"/>
      <c r="G72">
        <f>2240*0.017</f>
        <v>38.080000000000005</v>
      </c>
      <c r="H72" s="1"/>
      <c r="I72" s="1"/>
      <c r="J72" s="1"/>
      <c r="L72" s="1"/>
      <c r="M72" s="1">
        <f>20*3.59832635983264</f>
        <v>71.966527196652791</v>
      </c>
      <c r="N72" s="1">
        <f>20*4</f>
        <v>80</v>
      </c>
      <c r="O72" s="3"/>
      <c r="P72" s="1">
        <f>2240*0.0895167021585174</f>
        <v>200.51741283507897</v>
      </c>
      <c r="R72" s="1">
        <f>2240*0.0682633447140733</f>
        <v>152.90989215952419</v>
      </c>
      <c r="S72" s="1">
        <f>2240*0.0630982613791756</f>
        <v>141.34010548935333</v>
      </c>
      <c r="T72" s="1">
        <f>20*4.37817872856926</f>
        <v>87.563574571385203</v>
      </c>
      <c r="U72" s="1"/>
      <c r="V72" s="1">
        <f>20*4.90180995475113</f>
        <v>98.036199095022596</v>
      </c>
      <c r="W72" s="1"/>
      <c r="X72" s="1"/>
      <c r="Y72" s="1"/>
      <c r="Z72" s="1"/>
      <c r="AA72" s="1"/>
      <c r="AB72" s="1"/>
      <c r="AC72" s="1"/>
      <c r="AD72" s="1"/>
      <c r="AE72" s="1">
        <f>2240*0.0291154201292705</f>
        <v>65.218541089565917</v>
      </c>
      <c r="AF72" s="1">
        <f>2240*0.0288742345737164</f>
        <v>64.678285445124729</v>
      </c>
      <c r="AG72" s="1"/>
      <c r="AI72" s="1">
        <f>20*6.69333333333333</f>
        <v>133.86666666666659</v>
      </c>
      <c r="AJ72" s="1"/>
      <c r="AL72" s="1">
        <v>75.815303411709863</v>
      </c>
      <c r="AM72" s="1">
        <v>42.837897898052795</v>
      </c>
      <c r="AN72" s="1">
        <v>69.142342342398521</v>
      </c>
    </row>
    <row r="73" spans="1:40" x14ac:dyDescent="0.25">
      <c r="A73" s="8">
        <f t="shared" si="6"/>
        <v>1906</v>
      </c>
      <c r="C73" s="1">
        <f>2240*0.0348032726842759</f>
        <v>77.95933081277802</v>
      </c>
      <c r="D73" s="1"/>
      <c r="E73" s="1"/>
      <c r="F73" s="1"/>
      <c r="H73" s="1"/>
      <c r="I73" s="1"/>
      <c r="J73" s="1"/>
      <c r="L73" s="1"/>
      <c r="M73" s="1">
        <f>20*3.59947984395319</f>
        <v>71.989596879063797</v>
      </c>
      <c r="N73" s="1">
        <f>20*4.00057372346529</f>
        <v>80.011474469305796</v>
      </c>
      <c r="O73" s="3"/>
      <c r="P73" s="1">
        <f>2240*0.102758072858937</f>
        <v>230.17808320401886</v>
      </c>
      <c r="R73" s="1">
        <f>2240*0.0589484406126928</f>
        <v>132.04450697243186</v>
      </c>
      <c r="S73" s="1">
        <f>2240*0.0660678035912171</f>
        <v>147.99188004432631</v>
      </c>
      <c r="T73" s="1"/>
      <c r="U73" s="1"/>
      <c r="V73" s="1">
        <f>20*4.90196078431373</f>
        <v>98.039215686274602</v>
      </c>
      <c r="W73" s="1"/>
      <c r="X73" s="1">
        <v>160.63506642611119</v>
      </c>
      <c r="Y73" s="1"/>
      <c r="Z73" s="3">
        <f>2240*0.0855354482126256</f>
        <v>191.59940399628135</v>
      </c>
      <c r="AA73" s="1">
        <f>2240*0.0686320939590301</f>
        <v>153.73589046822741</v>
      </c>
      <c r="AB73" s="1"/>
      <c r="AC73" s="1"/>
      <c r="AD73" s="1"/>
      <c r="AE73" s="1">
        <f>2240*0.0266666666666667</f>
        <v>59.733333333333405</v>
      </c>
      <c r="AF73" s="1">
        <f>2240*0.0270823220064725</f>
        <v>60.664401294498397</v>
      </c>
      <c r="AG73" s="1"/>
      <c r="AH73" s="3">
        <f>20*5.99352051835853</f>
        <v>119.87041036717059</v>
      </c>
      <c r="AI73" s="1">
        <f>20*7.73913043478261</f>
        <v>154.78260869565221</v>
      </c>
      <c r="AJ73" s="1"/>
      <c r="AL73" s="1">
        <v>72.12354366836594</v>
      </c>
      <c r="AM73" s="1">
        <v>43.792538160538605</v>
      </c>
      <c r="AN73" s="1">
        <v>76.32350532345383</v>
      </c>
    </row>
    <row r="74" spans="1:40" x14ac:dyDescent="0.25">
      <c r="A74" s="8">
        <f t="shared" si="6"/>
        <v>1907</v>
      </c>
      <c r="C74" s="1">
        <f>2240*0.0367645796927637</f>
        <v>82.352658511790679</v>
      </c>
      <c r="D74" s="1"/>
      <c r="E74" s="1"/>
      <c r="F74" s="3"/>
      <c r="H74" s="3"/>
      <c r="I74" s="1"/>
      <c r="J74" s="1"/>
      <c r="K74" s="1">
        <v>110.11904761904762</v>
      </c>
      <c r="L74" s="1"/>
      <c r="M74" s="1">
        <f>20*3.60130718954248</f>
        <v>72.026143790849602</v>
      </c>
      <c r="N74" s="1">
        <f>20*4.20106288751107</f>
        <v>84.021257750221409</v>
      </c>
      <c r="O74" s="3"/>
      <c r="P74" s="1"/>
      <c r="R74" s="1">
        <f>2240*0.0810275147335194</f>
        <v>181.50163300308347</v>
      </c>
      <c r="S74" s="3">
        <f>2240*0.0833364489475455</f>
        <v>186.6736456425019</v>
      </c>
      <c r="T74" s="1">
        <f>20*5.84993469443872</f>
        <v>116.9986938887744</v>
      </c>
      <c r="U74" s="1"/>
      <c r="V74" s="1">
        <f>20*4.90158371040724</f>
        <v>98.031674208144807</v>
      </c>
      <c r="W74" s="1"/>
      <c r="X74" s="1">
        <v>178.67199072583236</v>
      </c>
      <c r="Y74" s="1"/>
      <c r="Z74" s="3"/>
      <c r="AA74" s="3">
        <f>2240*0.0714702118583819</f>
        <v>160.09327456277546</v>
      </c>
      <c r="AB74" s="1"/>
      <c r="AC74" s="1"/>
      <c r="AD74" s="1"/>
      <c r="AE74" s="1">
        <f>2240*0.0333333333333333</f>
        <v>74.666666666666586</v>
      </c>
      <c r="AF74" s="1">
        <f>2240*0.0345328377166766</f>
        <v>77.353556485355583</v>
      </c>
      <c r="AG74" s="1"/>
      <c r="AH74" s="1">
        <f>20*6.21995464852608</f>
        <v>124.39909297052161</v>
      </c>
      <c r="AI74" s="1">
        <f>20*7.23636363636364</f>
        <v>144.7272727272728</v>
      </c>
      <c r="AJ74" s="1"/>
      <c r="AL74" s="1">
        <v>89.853722695729118</v>
      </c>
      <c r="AM74" s="1">
        <v>59.743327195435022</v>
      </c>
      <c r="AN74" s="1">
        <v>86.044119099019284</v>
      </c>
    </row>
    <row r="75" spans="1:40" x14ac:dyDescent="0.25">
      <c r="A75" s="8">
        <f t="shared" si="6"/>
        <v>1908</v>
      </c>
      <c r="C75" s="1">
        <f>2240*0.0529281543038261</f>
        <v>118.55906564057047</v>
      </c>
      <c r="D75" s="1"/>
      <c r="E75" s="1"/>
      <c r="F75" s="3"/>
      <c r="H75" s="1"/>
      <c r="I75" s="1"/>
      <c r="J75" s="1"/>
      <c r="L75" s="1"/>
      <c r="M75" s="1">
        <f>20*3.35387205387205</f>
        <v>67.077441077440994</v>
      </c>
      <c r="N75" s="1">
        <f>20*3.67</f>
        <v>73.400000000000006</v>
      </c>
      <c r="O75" s="3">
        <v>41.176470588235297</v>
      </c>
      <c r="P75" s="1"/>
      <c r="Q75" s="1"/>
      <c r="R75" s="3">
        <f>2240*0.0780550906927311</f>
        <v>174.84340315171767</v>
      </c>
      <c r="S75" s="1">
        <f>2240*0.0875363309967516</f>
        <v>196.08138143272356</v>
      </c>
      <c r="T75" s="1">
        <f>20*5.71188475390156</f>
        <v>114.23769507803121</v>
      </c>
      <c r="U75" s="1"/>
      <c r="V75" s="1">
        <f>20*1.35724116837437</f>
        <v>27.144823367487398</v>
      </c>
      <c r="W75" s="1"/>
      <c r="X75" s="1">
        <v>159.82418658907164</v>
      </c>
      <c r="Y75" s="1"/>
      <c r="Z75" s="3">
        <f>2240*0.073770828203234</f>
        <v>165.24665517524414</v>
      </c>
      <c r="AA75" s="3">
        <f>2240*0.0633956885064714</f>
        <v>142.00634225449593</v>
      </c>
      <c r="AB75" s="1">
        <f>2240*0.0570367797125364</f>
        <v>127.76238655608154</v>
      </c>
      <c r="AC75" s="3">
        <f>2240*0.105516858469614</f>
        <v>236.35776297193536</v>
      </c>
      <c r="AD75" s="1"/>
      <c r="AE75" s="1">
        <f>2240*0.0333332135907798</f>
        <v>74.66639844334675</v>
      </c>
      <c r="AF75" s="1">
        <f>2240*0.0333333333333333</f>
        <v>74.666666666666586</v>
      </c>
      <c r="AG75" s="1"/>
      <c r="AH75" s="1">
        <f>20*7.83557993730408</f>
        <v>156.71159874608159</v>
      </c>
      <c r="AI75" s="1">
        <f>20*6.63736263736264</f>
        <v>132.74725274725282</v>
      </c>
      <c r="AJ75" s="1"/>
      <c r="AL75" s="1">
        <v>86.813650908759882</v>
      </c>
      <c r="AM75" s="1">
        <v>63.193493582613854</v>
      </c>
      <c r="AN75" s="1">
        <v>86.002211493026536</v>
      </c>
    </row>
    <row r="76" spans="1:40" x14ac:dyDescent="0.25">
      <c r="A76" s="8">
        <f t="shared" si="6"/>
        <v>1909</v>
      </c>
      <c r="C76" s="1">
        <f>2240*0.0405900962208592</f>
        <v>90.921815534724601</v>
      </c>
      <c r="D76" s="1"/>
      <c r="E76" s="1">
        <f>2240*0.0397161618301207</f>
        <v>88.964202499470375</v>
      </c>
      <c r="F76" s="1"/>
      <c r="H76" s="1"/>
      <c r="I76" s="1"/>
      <c r="J76" s="1"/>
      <c r="L76" s="1"/>
      <c r="M76" s="1">
        <f>20*3.6631299734748</f>
        <v>73.262599469495996</v>
      </c>
      <c r="N76" s="1">
        <f>20*2.8</f>
        <v>56</v>
      </c>
      <c r="P76" s="1"/>
      <c r="Q76" s="1"/>
      <c r="R76" s="3">
        <f>2240*0.0909440762920273</f>
        <v>203.71473089414116</v>
      </c>
      <c r="S76" s="1">
        <f>2240*0.0621222157820651</f>
        <v>139.15376335182583</v>
      </c>
      <c r="T76" s="1">
        <f>20*5.37323546019198</f>
        <v>107.46470920383959</v>
      </c>
      <c r="U76" s="1"/>
      <c r="V76" s="1">
        <v>118.77828054298641</v>
      </c>
      <c r="W76" s="1"/>
      <c r="X76" s="1">
        <v>154.0140142640727</v>
      </c>
      <c r="Y76" s="1"/>
      <c r="Z76" s="3">
        <f>2240*0.088006582452638</f>
        <v>197.13474469390911</v>
      </c>
      <c r="AA76" s="3">
        <f>2240*0.065687183310307</f>
        <v>147.13929061508767</v>
      </c>
      <c r="AB76" s="1">
        <f>2240*0.0771296091852506</f>
        <v>172.77032457496134</v>
      </c>
      <c r="AC76" s="3">
        <f>2240*0.0870192803381792</f>
        <v>194.92318795752141</v>
      </c>
      <c r="AD76" s="1"/>
      <c r="AE76" s="1">
        <f>2240*0.0354165930636519</f>
        <v>79.333168462580261</v>
      </c>
      <c r="AF76" s="1">
        <f>2240*0.0353189859311882</f>
        <v>79.11452848586157</v>
      </c>
      <c r="AG76" s="1"/>
      <c r="AH76" s="1">
        <f>20*6.15399802566634</f>
        <v>123.0799605133268</v>
      </c>
      <c r="AI76" s="1"/>
      <c r="AJ76" s="1"/>
      <c r="AL76" s="1">
        <v>72.402141784631652</v>
      </c>
      <c r="AM76" s="1">
        <v>54.149481034159201</v>
      </c>
      <c r="AN76" s="1">
        <v>87.864114114114116</v>
      </c>
    </row>
    <row r="77" spans="1:40" x14ac:dyDescent="0.25">
      <c r="A77" s="8">
        <f t="shared" si="6"/>
        <v>1910</v>
      </c>
      <c r="C77" s="1">
        <f>2240*0.0449388055645896</f>
        <v>100.66292446468071</v>
      </c>
      <c r="D77" s="1"/>
      <c r="E77" s="1">
        <f>2240*0.0364064816776107</f>
        <v>81.55051895784797</v>
      </c>
      <c r="F77" s="1"/>
      <c r="H77" s="3"/>
      <c r="I77" s="1"/>
      <c r="J77" s="1"/>
      <c r="K77" s="1">
        <f>AVERAGE(71.5408805031446,68.1818181818182)</f>
        <v>69.861349342481404</v>
      </c>
      <c r="L77" s="1">
        <v>43.022820800598581</v>
      </c>
      <c r="M77" s="1"/>
      <c r="N77" s="1"/>
      <c r="O77" s="1">
        <v>63.247863247863251</v>
      </c>
      <c r="P77" s="1">
        <f>20*8.10619469026549</f>
        <v>162.12389380530979</v>
      </c>
      <c r="Q77" s="1"/>
      <c r="R77" s="3">
        <f>2240*0.0747392937325584</f>
        <v>167.41601796093082</v>
      </c>
      <c r="S77" s="1">
        <f>2240*0.08143742541479</f>
        <v>182.4198329291296</v>
      </c>
      <c r="T77" s="1">
        <f>20*5.28995057660626</f>
        <v>105.79901153212519</v>
      </c>
      <c r="U77" s="1"/>
      <c r="V77" s="1">
        <v>114.25339366515833</v>
      </c>
      <c r="W77" s="1"/>
      <c r="X77" s="1">
        <v>140.17603703870884</v>
      </c>
      <c r="Y77" s="1"/>
      <c r="Z77" s="3">
        <f>2240*0.074991090049333</f>
        <v>167.98004171050593</v>
      </c>
      <c r="AA77" s="3">
        <f>2240*0.0640513456161067</f>
        <v>143.47501418007903</v>
      </c>
      <c r="AB77" s="1">
        <f>2240*0.0812738935582251</f>
        <v>182.05352157042424</v>
      </c>
      <c r="AC77" s="3">
        <f>2240*0.0875668571219949</f>
        <v>196.14975995326859</v>
      </c>
      <c r="AD77" s="1"/>
      <c r="AE77" s="1">
        <f>2240*0.0357142857142857</f>
        <v>79.999999999999972</v>
      </c>
      <c r="AF77" s="1">
        <f>2240*0.0333333333333333</f>
        <v>74.666666666666586</v>
      </c>
      <c r="AG77" s="1"/>
      <c r="AH77" s="1">
        <f>20*5.35528169014084</f>
        <v>107.10563380281681</v>
      </c>
      <c r="AI77" s="1"/>
      <c r="AJ77" s="1"/>
      <c r="AL77" s="1">
        <v>71.346528835980777</v>
      </c>
      <c r="AM77" s="1">
        <v>54.944951368967615</v>
      </c>
      <c r="AN77" s="1">
        <v>85.06971251142815</v>
      </c>
    </row>
    <row r="78" spans="1:40" x14ac:dyDescent="0.25">
      <c r="A78" s="8">
        <f t="shared" si="6"/>
        <v>1911</v>
      </c>
      <c r="C78" s="1">
        <f>2240*0.0442474319959511</f>
        <v>99.114247670930467</v>
      </c>
      <c r="D78" s="1"/>
      <c r="E78" s="1"/>
      <c r="F78" s="3"/>
      <c r="G78" s="1"/>
      <c r="H78" s="3"/>
      <c r="I78" s="1"/>
      <c r="J78" s="1"/>
      <c r="K78" s="1">
        <v>80.840743734842363</v>
      </c>
      <c r="L78" s="1"/>
      <c r="M78" s="1"/>
      <c r="N78" s="1"/>
      <c r="O78" s="1"/>
      <c r="P78" s="1">
        <f>20*11.1632759520083</f>
        <v>223.265519040166</v>
      </c>
      <c r="Q78" s="1"/>
      <c r="R78" s="1">
        <f>2240*0.0788748607395124</f>
        <v>176.67968805650779</v>
      </c>
      <c r="S78" s="1">
        <f>2240*0.0893521965748325</f>
        <v>200.14892032762478</v>
      </c>
      <c r="T78" s="1">
        <f>20*5.54418316831683</f>
        <v>110.88366336633661</v>
      </c>
      <c r="U78" s="1"/>
      <c r="V78" s="1">
        <v>106.33484162895924</v>
      </c>
      <c r="W78" s="1"/>
      <c r="X78" s="1"/>
      <c r="Y78" s="1"/>
      <c r="Z78" s="1"/>
      <c r="AA78" s="1"/>
      <c r="AB78" s="1"/>
      <c r="AC78" s="1"/>
      <c r="AD78" s="1">
        <f>2240*0.2005</f>
        <v>449.12</v>
      </c>
      <c r="AE78" s="1">
        <f>2240*0.0416605402968104</f>
        <v>93.319610264855299</v>
      </c>
      <c r="AF78" s="1">
        <f>2240*0.0280474290780142</f>
        <v>62.826241134751811</v>
      </c>
      <c r="AG78" s="1">
        <f>20*2.44444444444444</f>
        <v>48.8888888888888</v>
      </c>
      <c r="AH78" s="1">
        <f>20*4.87783018867925</f>
        <v>97.55660377358501</v>
      </c>
      <c r="AI78" s="1"/>
      <c r="AJ78" s="1"/>
      <c r="AL78" s="1">
        <v>66.99572159979175</v>
      </c>
      <c r="AM78" s="1">
        <v>61.430755664451027</v>
      </c>
      <c r="AN78" s="1">
        <v>82.744590314332456</v>
      </c>
    </row>
    <row r="79" spans="1:40" x14ac:dyDescent="0.25">
      <c r="A79" s="8">
        <f t="shared" si="6"/>
        <v>1912</v>
      </c>
      <c r="C79" s="1">
        <f>2240*0.0489962537665934</f>
        <v>109.75160843716922</v>
      </c>
      <c r="D79" s="1">
        <f>2240*0.0490196078431373</f>
        <v>109.80392156862756</v>
      </c>
      <c r="E79" s="1"/>
      <c r="F79" s="3"/>
      <c r="G79" s="1"/>
      <c r="H79" s="3"/>
      <c r="I79" s="1"/>
      <c r="J79" s="1"/>
      <c r="K79" s="1"/>
      <c r="M79" s="1"/>
      <c r="N79" s="1"/>
      <c r="O79" s="1"/>
      <c r="P79" s="1">
        <f>AVERAGE(20*11.3760964912281,2240*0.140732600732601)</f>
        <v>271.38147773279411</v>
      </c>
      <c r="Q79" s="1"/>
      <c r="R79" s="1">
        <f>2240*0.0814466509576915</f>
        <v>182.44049814522896</v>
      </c>
      <c r="S79" s="1">
        <f>2240*0.0831481965499216</f>
        <v>186.2519602718244</v>
      </c>
      <c r="T79" s="1">
        <f>20*6.75155790711346</f>
        <v>135.03115814226919</v>
      </c>
      <c r="U79" s="1"/>
      <c r="V79" s="1">
        <v>96.15384615384616</v>
      </c>
      <c r="W79" s="1">
        <f>2240*0.210052513128282</f>
        <v>470.51762940735165</v>
      </c>
      <c r="X79" s="1"/>
      <c r="Y79" s="1"/>
      <c r="Z79" s="1"/>
      <c r="AA79" s="1"/>
      <c r="AB79" s="1"/>
      <c r="AC79" s="1"/>
      <c r="AD79" s="1">
        <f>2240*0.146666666666667</f>
        <v>328.5333333333341</v>
      </c>
      <c r="AE79" s="1">
        <f>2240*0.0389057151056721</f>
        <v>87.148801836705516</v>
      </c>
      <c r="AF79" s="1">
        <f>2240*0.0259987295313382</f>
        <v>58.237154150197568</v>
      </c>
      <c r="AG79" s="1"/>
      <c r="AH79" s="1">
        <f>20*8.3015625</f>
        <v>166.03125</v>
      </c>
      <c r="AI79" s="1"/>
      <c r="AJ79" s="1"/>
      <c r="AL79" s="1">
        <v>66.196010294297366</v>
      </c>
      <c r="AM79" s="1">
        <v>61.070698971971645</v>
      </c>
      <c r="AN79" s="1">
        <v>79.035293356789865</v>
      </c>
    </row>
    <row r="80" spans="1:40" x14ac:dyDescent="0.25">
      <c r="A80" s="8">
        <f t="shared" si="6"/>
        <v>1913</v>
      </c>
      <c r="C80" s="1"/>
      <c r="D80" s="1"/>
      <c r="E80" s="1"/>
      <c r="F80" s="1"/>
      <c r="G80" s="1"/>
      <c r="H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>
        <f>2240*0.039411231884058</f>
        <v>88.28115942028991</v>
      </c>
      <c r="AF80" s="1">
        <f>2240*0.0382445141065831</f>
        <v>85.667711598746138</v>
      </c>
      <c r="AG80" s="1"/>
      <c r="AH80" s="1"/>
      <c r="AI80" s="1"/>
      <c r="AJ80" s="1"/>
      <c r="AL80" s="1">
        <v>69.206844918839892</v>
      </c>
      <c r="AM80" s="1">
        <v>57.562550512179769</v>
      </c>
      <c r="AN80" s="1">
        <v>79.539837913795836</v>
      </c>
    </row>
    <row r="81" spans="1:40" x14ac:dyDescent="0.25">
      <c r="A81" s="8">
        <f t="shared" si="6"/>
        <v>1914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L81" s="1">
        <v>71.533550744133294</v>
      </c>
      <c r="AM81" s="1">
        <v>39.068750000000001</v>
      </c>
      <c r="AN81" s="1">
        <v>73.1111111111111</v>
      </c>
    </row>
    <row r="82" spans="1:40" x14ac:dyDescent="0.25">
      <c r="A82" s="8">
        <f t="shared" si="6"/>
        <v>1915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L82" s="1">
        <v>72.372320282501235</v>
      </c>
      <c r="AM82" s="1">
        <v>53.174395938284114</v>
      </c>
      <c r="AN82" s="1">
        <v>85.069444444444443</v>
      </c>
    </row>
    <row r="83" spans="1:40" x14ac:dyDescent="0.25">
      <c r="A83" s="8">
        <f t="shared" si="6"/>
        <v>1916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L83" s="1">
        <v>81.389686731012134</v>
      </c>
      <c r="AM83" s="1">
        <v>51.880273610147562</v>
      </c>
      <c r="AN83" s="1">
        <v>84.598953703600017</v>
      </c>
    </row>
    <row r="84" spans="1:40" x14ac:dyDescent="0.25">
      <c r="A84" s="8">
        <f t="shared" si="6"/>
        <v>1917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L84" s="1">
        <v>87.762654972754646</v>
      </c>
      <c r="AM84" s="1">
        <v>48.303365714329281</v>
      </c>
      <c r="AN84" s="1">
        <v>78.182287036933346</v>
      </c>
    </row>
    <row r="85" spans="1:40" x14ac:dyDescent="0.25">
      <c r="A85" s="8">
        <f t="shared" si="6"/>
        <v>1918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L85" s="1">
        <v>93.976961550338999</v>
      </c>
      <c r="AM85" s="1">
        <v>41.923257732956387</v>
      </c>
      <c r="AN85" s="1">
        <v>91.387722209777777</v>
      </c>
    </row>
    <row r="86" spans="1:40" x14ac:dyDescent="0.25">
      <c r="A86" s="8">
        <f t="shared" si="6"/>
        <v>1919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L86" s="1">
        <v>119.12064427446316</v>
      </c>
      <c r="AM86" s="1">
        <v>42.17954324631922</v>
      </c>
      <c r="AN86" s="1">
        <v>95.8296449976948</v>
      </c>
    </row>
    <row r="87" spans="1:40" ht="11.4" customHeight="1" x14ac:dyDescent="0.25">
      <c r="A87" s="8">
        <f t="shared" si="6"/>
        <v>1920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L87" s="1">
        <v>163.22423742182917</v>
      </c>
      <c r="AM87" s="1">
        <v>50.144582238052784</v>
      </c>
      <c r="AN87" s="1">
        <v>56.054934297225053</v>
      </c>
    </row>
    <row r="88" spans="1:40" ht="11.4" customHeight="1" x14ac:dyDescent="0.25">
      <c r="A88" s="8">
        <f t="shared" si="6"/>
        <v>1921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M88" s="1">
        <v>18.287500000000001</v>
      </c>
      <c r="AN88" s="1">
        <v>69.61111111080001</v>
      </c>
    </row>
    <row r="89" spans="1:40" ht="11.4" customHeight="1" x14ac:dyDescent="0.25">
      <c r="A89" s="8">
        <f t="shared" si="6"/>
        <v>1922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M89" s="1">
        <v>54.250000000000007</v>
      </c>
    </row>
    <row r="90" spans="1:40" ht="11.4" customHeight="1" x14ac:dyDescent="0.25">
      <c r="A90" s="8">
        <f t="shared" si="6"/>
        <v>1923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M90" s="1">
        <v>79.40625</v>
      </c>
    </row>
    <row r="91" spans="1:40" ht="11.4" customHeight="1" x14ac:dyDescent="0.25">
      <c r="A91" s="8">
        <f t="shared" si="6"/>
        <v>1924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M91" s="1">
        <v>76.5625</v>
      </c>
    </row>
    <row r="92" spans="1:40" ht="11.4" customHeight="1" x14ac:dyDescent="0.25">
      <c r="A92" s="8">
        <f t="shared" si="6"/>
        <v>1925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M92" s="1">
        <v>73.5</v>
      </c>
    </row>
    <row r="93" spans="1:40" ht="11.4" customHeight="1" x14ac:dyDescent="0.25">
      <c r="A93" s="8">
        <f t="shared" si="6"/>
        <v>1926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M93" s="1">
        <v>71.96875</v>
      </c>
    </row>
    <row r="94" spans="1:40" ht="11.4" customHeight="1" x14ac:dyDescent="0.25">
      <c r="A94" s="8">
        <f t="shared" si="6"/>
        <v>1927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M94" s="1">
        <v>62.125</v>
      </c>
    </row>
    <row r="95" spans="1:40" ht="11.4" customHeight="1" x14ac:dyDescent="0.25">
      <c r="A95" s="8">
        <f t="shared" si="6"/>
        <v>1928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M95" s="1">
        <v>63.437500000000007</v>
      </c>
    </row>
    <row r="96" spans="1:40" ht="11.4" customHeight="1" x14ac:dyDescent="0.25">
      <c r="A96" s="8">
        <f t="shared" si="6"/>
        <v>1929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M96" s="1">
        <v>55.5625</v>
      </c>
    </row>
    <row r="97" spans="1:39" ht="11.4" customHeight="1" x14ac:dyDescent="0.25">
      <c r="A97" s="8">
        <f t="shared" si="6"/>
        <v>1930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M97" s="1">
        <v>38.654411764705877</v>
      </c>
    </row>
    <row r="98" spans="1:39" ht="11.4" customHeight="1" x14ac:dyDescent="0.25">
      <c r="A98" s="8">
        <f t="shared" si="6"/>
        <v>1931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M98" s="1">
        <v>29.286764705882351</v>
      </c>
    </row>
    <row r="99" spans="1:39" ht="11.4" customHeight="1" x14ac:dyDescent="0.25">
      <c r="A99" s="8">
        <f t="shared" si="6"/>
        <v>1932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9" ht="11.4" customHeight="1" x14ac:dyDescent="0.25">
      <c r="A100" s="8">
        <f t="shared" si="6"/>
        <v>1933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9" ht="11.4" customHeight="1" x14ac:dyDescent="0.25">
      <c r="A101" s="8">
        <f t="shared" si="6"/>
        <v>1934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9" ht="11.4" customHeight="1" x14ac:dyDescent="0.25">
      <c r="A102" s="8">
        <f t="shared" si="6"/>
        <v>1935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9" ht="11.4" hidden="1" customHeight="1" x14ac:dyDescent="0.25">
      <c r="A103" s="8">
        <f t="shared" si="6"/>
        <v>1936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9" ht="11.4" hidden="1" customHeight="1" x14ac:dyDescent="0.25">
      <c r="A104" s="8">
        <f t="shared" si="6"/>
        <v>1937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9" ht="11.4" hidden="1" customHeight="1" x14ac:dyDescent="0.25">
      <c r="A105" s="8">
        <f t="shared" si="6"/>
        <v>1938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9" ht="11.4" hidden="1" customHeight="1" x14ac:dyDescent="0.25">
      <c r="A106" s="8">
        <f t="shared" si="6"/>
        <v>1939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9" ht="11.4" hidden="1" customHeight="1" x14ac:dyDescent="0.25">
      <c r="A107" s="8">
        <f t="shared" si="6"/>
        <v>1940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9" ht="11.4" hidden="1" customHeight="1" x14ac:dyDescent="0.25">
      <c r="A108" s="8">
        <f t="shared" si="6"/>
        <v>1941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9" ht="11.4" hidden="1" customHeight="1" x14ac:dyDescent="0.25">
      <c r="A109" s="8">
        <f t="shared" si="6"/>
        <v>1942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9" ht="11.4" hidden="1" customHeight="1" x14ac:dyDescent="0.25">
      <c r="A110" s="8">
        <f t="shared" si="6"/>
        <v>1943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9" ht="11.4" hidden="1" customHeight="1" x14ac:dyDescent="0.25">
      <c r="A111" s="8">
        <f t="shared" si="6"/>
        <v>1944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9" ht="11.4" hidden="1" customHeight="1" x14ac:dyDescent="0.25">
      <c r="A112" s="8">
        <f t="shared" si="6"/>
        <v>1945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ht="11.4" hidden="1" customHeight="1" x14ac:dyDescent="0.25">
      <c r="A113" s="8">
        <f t="shared" si="6"/>
        <v>1946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ht="11.4" hidden="1" customHeight="1" x14ac:dyDescent="0.25">
      <c r="A114" s="8">
        <f t="shared" si="6"/>
        <v>1947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ht="11.4" hidden="1" customHeight="1" x14ac:dyDescent="0.25">
      <c r="A115" s="8">
        <f t="shared" si="6"/>
        <v>1948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ht="11.4" hidden="1" customHeight="1" x14ac:dyDescent="0.25">
      <c r="A116" s="8">
        <f t="shared" si="6"/>
        <v>1949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ht="11.4" hidden="1" customHeight="1" x14ac:dyDescent="0.25">
      <c r="A117" s="8">
        <f t="shared" si="6"/>
        <v>1950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ht="11.4" hidden="1" customHeight="1" x14ac:dyDescent="0.25">
      <c r="A118" s="8">
        <f t="shared" si="6"/>
        <v>1951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ht="11.4" hidden="1" customHeight="1" x14ac:dyDescent="0.25">
      <c r="A119" s="8">
        <f t="shared" si="6"/>
        <v>1952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ht="11.4" hidden="1" customHeight="1" x14ac:dyDescent="0.25">
      <c r="A120" s="8">
        <f t="shared" si="6"/>
        <v>1953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ht="11.4" hidden="1" customHeight="1" x14ac:dyDescent="0.25">
      <c r="A121" s="8">
        <f t="shared" si="6"/>
        <v>1954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ht="11.4" hidden="1" customHeight="1" x14ac:dyDescent="0.25">
      <c r="A122" s="8">
        <f t="shared" si="6"/>
        <v>1955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ht="11.4" hidden="1" customHeight="1" x14ac:dyDescent="0.25">
      <c r="A123" s="8">
        <f t="shared" si="6"/>
        <v>1956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ht="11.4" hidden="1" customHeight="1" x14ac:dyDescent="0.25">
      <c r="A124" s="8">
        <f t="shared" si="6"/>
        <v>1957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ht="11.4" hidden="1" customHeight="1" x14ac:dyDescent="0.25">
      <c r="A125" s="8">
        <f t="shared" si="6"/>
        <v>1958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ht="11.4" hidden="1" customHeight="1" x14ac:dyDescent="0.25">
      <c r="A126" s="8">
        <f t="shared" si="6"/>
        <v>1959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ht="11.4" hidden="1" customHeight="1" x14ac:dyDescent="0.25">
      <c r="A127" s="8">
        <f t="shared" si="6"/>
        <v>1960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ht="11.4" hidden="1" customHeight="1" x14ac:dyDescent="0.25">
      <c r="A128" s="8">
        <f t="shared" si="6"/>
        <v>1961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ht="11.4" hidden="1" customHeight="1" x14ac:dyDescent="0.25">
      <c r="A129" s="8">
        <f t="shared" si="6"/>
        <v>1962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ht="11.4" hidden="1" customHeight="1" x14ac:dyDescent="0.25">
      <c r="A130" s="8">
        <f t="shared" si="6"/>
        <v>1963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ht="11.4" hidden="1" customHeight="1" x14ac:dyDescent="0.25">
      <c r="A131" s="8">
        <f t="shared" si="6"/>
        <v>1964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ht="11.4" hidden="1" customHeight="1" x14ac:dyDescent="0.25">
      <c r="A132" s="8">
        <f t="shared" si="6"/>
        <v>1965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ht="11.4" hidden="1" customHeight="1" x14ac:dyDescent="0.25">
      <c r="A133" s="8">
        <f t="shared" si="6"/>
        <v>1966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ht="11.4" hidden="1" customHeight="1" x14ac:dyDescent="0.25">
      <c r="A134" s="8">
        <f t="shared" si="6"/>
        <v>1967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ht="11.4" hidden="1" customHeight="1" x14ac:dyDescent="0.25">
      <c r="A135" s="8">
        <f t="shared" si="6"/>
        <v>1968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ht="11.4" hidden="1" customHeight="1" x14ac:dyDescent="0.25">
      <c r="A136" s="8">
        <f t="shared" ref="A136:A145" si="7">A135+1</f>
        <v>1969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ht="11.4" hidden="1" customHeight="1" x14ac:dyDescent="0.25">
      <c r="A137" s="8">
        <f t="shared" si="7"/>
        <v>1970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ht="11.4" hidden="1" customHeight="1" x14ac:dyDescent="0.25">
      <c r="A138" s="8">
        <f t="shared" si="7"/>
        <v>1971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ht="11.4" hidden="1" customHeight="1" x14ac:dyDescent="0.25">
      <c r="A139" s="8">
        <f t="shared" si="7"/>
        <v>1972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ht="11.4" hidden="1" customHeight="1" x14ac:dyDescent="0.25">
      <c r="A140" s="8">
        <f t="shared" si="7"/>
        <v>1973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ht="11.4" hidden="1" customHeight="1" x14ac:dyDescent="0.25">
      <c r="A141" s="8">
        <f t="shared" si="7"/>
        <v>1974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ht="11.4" hidden="1" customHeight="1" x14ac:dyDescent="0.25">
      <c r="A142" s="8">
        <f t="shared" si="7"/>
        <v>1975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ht="11.4" hidden="1" customHeight="1" x14ac:dyDescent="0.25">
      <c r="A143" s="8">
        <f t="shared" si="7"/>
        <v>1976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ht="11.4" hidden="1" customHeight="1" x14ac:dyDescent="0.25">
      <c r="A144" s="8">
        <f t="shared" si="7"/>
        <v>1977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ht="11.4" hidden="1" customHeight="1" x14ac:dyDescent="0.25">
      <c r="A145" s="8">
        <f t="shared" si="7"/>
        <v>1978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ht="11.4" customHeight="1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ht="12.6" customHeight="1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25">
      <c r="C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3:36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3:36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3:36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3:36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3:36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3:36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3:36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3:36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3:36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3:36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3:36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3:36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3:36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3:36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3:36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3:36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3:36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3:36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3:36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3:36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3:36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3:36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3:36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3:36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3:36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3:36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3:36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3:36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3:36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3:36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3:36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3:36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3:36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3:36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3:36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3:36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3:36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3:36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3:36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3:36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3:36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3:36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3:36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3:36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3:36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3:36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3:36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3:36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3:36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3:36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3:36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3:36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3:36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3:36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3:36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3:36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3:36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3:36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3:36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3:36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3:36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3:36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3:36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spans="3:36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3:36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3:36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spans="3:36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spans="3:36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spans="3:36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spans="3:36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spans="3:36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spans="3:36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spans="3:36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spans="3:36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spans="3:36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spans="3:36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spans="3:36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spans="3:36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39" spans="3:36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</row>
    <row r="240" spans="3:36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</row>
    <row r="241" spans="3:36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</row>
    <row r="242" spans="3:36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</row>
    <row r="243" spans="3:36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</row>
    <row r="244" spans="3:36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</row>
    <row r="245" spans="3:36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</row>
    <row r="246" spans="3:36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spans="3:36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spans="3:36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</row>
    <row r="249" spans="3:36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</row>
    <row r="250" spans="3:36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spans="3:36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spans="3:36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</row>
    <row r="253" spans="3:36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spans="3:36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  <row r="255" spans="3:36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AF26" sqref="AF26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"/>
  <sheetViews>
    <sheetView workbookViewId="0">
      <selection activeCell="U2" sqref="U2"/>
    </sheetView>
  </sheetViews>
  <sheetFormatPr defaultRowHeight="13.2" x14ac:dyDescent="0.25"/>
  <sheetData>
    <row r="2" spans="2:2" x14ac:dyDescent="0.25">
      <c r="B2" s="1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>
      <selection activeCell="N32" sqref="N32"/>
    </sheetView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Intro</vt:lpstr>
      <vt:lpstr>Tea (All)</vt:lpstr>
      <vt:lpstr>Graphs (All)</vt:lpstr>
      <vt:lpstr>Collective Graph (All)</vt:lpstr>
      <vt:lpstr>Tea (Adjusted)</vt:lpstr>
      <vt:lpstr>Graph - 1</vt:lpstr>
      <vt:lpstr>Graph - 2</vt:lpstr>
      <vt:lpstr>Graph - 3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 Ghulam Mustafa</dc:creator>
  <cp:lastModifiedBy>Rai Ghulam Mustafa</cp:lastModifiedBy>
  <dcterms:created xsi:type="dcterms:W3CDTF">2018-10-01T08:45:50Z</dcterms:created>
  <dcterms:modified xsi:type="dcterms:W3CDTF">2018-11-19T15:13:42Z</dcterms:modified>
</cp:coreProperties>
</file>