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2.xml" ContentType="application/vnd.openxmlformats-officedocument.drawing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4.xml" ContentType="application/vnd.openxmlformats-officedocument.drawing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5.xml" ContentType="application/vnd.openxmlformats-officedocument.drawing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6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drawings/drawing7.xml" ContentType="application/vnd.openxmlformats-officedocument.drawing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gm12\Dropbox\REFdata\20180215 Files added by Mustafa\Commodity Tables\Updated\"/>
    </mc:Choice>
  </mc:AlternateContent>
  <bookViews>
    <workbookView xWindow="600" yWindow="456" windowWidth="19680" windowHeight="8088" tabRatio="733"/>
  </bookViews>
  <sheets>
    <sheet name="Intro" sheetId="13" r:id="rId1"/>
    <sheet name="Opium (All)" sheetId="1" r:id="rId2"/>
    <sheet name="Graphs (All)" sheetId="2" r:id="rId3"/>
    <sheet name="Collective Graph (All)" sheetId="3" r:id="rId4"/>
    <sheet name="Opium (Adjusted)" sheetId="24" r:id="rId5"/>
    <sheet name="Graph - 1" sheetId="17" r:id="rId6"/>
    <sheet name="Graph - 2" sheetId="18" r:id="rId7"/>
    <sheet name="Graph - 3" sheetId="19" r:id="rId8"/>
    <sheet name="Graph - 4" sheetId="21" r:id="rId9"/>
    <sheet name="Graph - 5" sheetId="22" r:id="rId10"/>
    <sheet name="Color Legend" sheetId="7" r:id="rId11"/>
  </sheets>
  <calcPr calcId="152511"/>
</workbook>
</file>

<file path=xl/calcChain.xml><?xml version="1.0" encoding="utf-8"?>
<calcChain xmlns="http://schemas.openxmlformats.org/spreadsheetml/2006/main">
  <c r="H60" i="24" l="1"/>
  <c r="H59" i="24"/>
  <c r="H78" i="24"/>
  <c r="AF6" i="1" l="1"/>
  <c r="AG6" i="1"/>
  <c r="AH6" i="1"/>
  <c r="K6" i="24"/>
  <c r="J6" i="24"/>
  <c r="I6" i="24"/>
  <c r="BI56" i="1" l="1"/>
  <c r="S56" i="24"/>
  <c r="N80" i="24"/>
  <c r="G80" i="24"/>
  <c r="R79" i="24"/>
  <c r="Q79" i="24"/>
  <c r="P79" i="24"/>
  <c r="N79" i="24"/>
  <c r="H79" i="24"/>
  <c r="G79" i="24"/>
  <c r="R78" i="24"/>
  <c r="Q78" i="24"/>
  <c r="N78" i="24"/>
  <c r="G78" i="24"/>
  <c r="R77" i="24"/>
  <c r="Q77" i="24"/>
  <c r="N77" i="24"/>
  <c r="M77" i="24"/>
  <c r="G77" i="24"/>
  <c r="R76" i="24"/>
  <c r="Q76" i="24"/>
  <c r="N76" i="24"/>
  <c r="G76" i="24"/>
  <c r="F76" i="24"/>
  <c r="U75" i="24"/>
  <c r="R75" i="24"/>
  <c r="Q75" i="24"/>
  <c r="N75" i="24"/>
  <c r="M75" i="24"/>
  <c r="G75" i="24"/>
  <c r="V74" i="24"/>
  <c r="U74" i="24"/>
  <c r="R74" i="24"/>
  <c r="Q74" i="24"/>
  <c r="N74" i="24"/>
  <c r="M74" i="24"/>
  <c r="H74" i="24"/>
  <c r="G74" i="24"/>
  <c r="F74" i="24"/>
  <c r="V73" i="24"/>
  <c r="U73" i="24"/>
  <c r="R73" i="24"/>
  <c r="Q73" i="24"/>
  <c r="P73" i="24"/>
  <c r="N73" i="24"/>
  <c r="M73" i="24"/>
  <c r="H73" i="24"/>
  <c r="G73" i="24"/>
  <c r="U72" i="24"/>
  <c r="R72" i="24"/>
  <c r="Q72" i="24"/>
  <c r="P72" i="24"/>
  <c r="N72" i="24"/>
  <c r="M72" i="24"/>
  <c r="G72" i="24"/>
  <c r="F72" i="24"/>
  <c r="R71" i="24"/>
  <c r="Q71" i="24"/>
  <c r="N71" i="24"/>
  <c r="M71" i="24"/>
  <c r="G71" i="24"/>
  <c r="F71" i="24"/>
  <c r="R70" i="24"/>
  <c r="Q70" i="24"/>
  <c r="N70" i="24"/>
  <c r="M70" i="24"/>
  <c r="G70" i="24"/>
  <c r="V69" i="24"/>
  <c r="R69" i="24"/>
  <c r="Q69" i="24"/>
  <c r="N69" i="24"/>
  <c r="M69" i="24"/>
  <c r="G69" i="24"/>
  <c r="F69" i="24"/>
  <c r="N68" i="24"/>
  <c r="M68" i="24"/>
  <c r="G68" i="24"/>
  <c r="N67" i="24"/>
  <c r="M67" i="24"/>
  <c r="H67" i="24"/>
  <c r="G67" i="24"/>
  <c r="N66" i="24"/>
  <c r="M66" i="24"/>
  <c r="G66" i="24"/>
  <c r="F66" i="24"/>
  <c r="N65" i="24"/>
  <c r="M65" i="24"/>
  <c r="G65" i="24"/>
  <c r="F65" i="24"/>
  <c r="N64" i="24"/>
  <c r="G64" i="24"/>
  <c r="F64" i="24"/>
  <c r="N63" i="24"/>
  <c r="H63" i="24"/>
  <c r="G63" i="24"/>
  <c r="N62" i="24"/>
  <c r="H62" i="24"/>
  <c r="F62" i="24"/>
  <c r="U61" i="24"/>
  <c r="N61" i="24"/>
  <c r="M61" i="24"/>
  <c r="H61" i="24"/>
  <c r="N60" i="24"/>
  <c r="G60" i="24"/>
  <c r="N59" i="24"/>
  <c r="M59" i="24"/>
  <c r="G59" i="24"/>
  <c r="E59" i="24"/>
  <c r="N58" i="24"/>
  <c r="M58" i="24"/>
  <c r="H58" i="24"/>
  <c r="G58" i="24"/>
  <c r="E58" i="24"/>
  <c r="N57" i="24"/>
  <c r="M57" i="24"/>
  <c r="G57" i="24"/>
  <c r="E57" i="24"/>
  <c r="M56" i="24"/>
  <c r="H56" i="24"/>
  <c r="G56" i="24"/>
  <c r="E56" i="24"/>
  <c r="M55" i="24"/>
  <c r="G55" i="24"/>
  <c r="E55" i="24"/>
  <c r="H54" i="24"/>
  <c r="G54" i="24"/>
  <c r="E54" i="24"/>
  <c r="M53" i="24"/>
  <c r="H53" i="24"/>
  <c r="M52" i="24"/>
  <c r="H52" i="24"/>
  <c r="M51" i="24"/>
  <c r="M50" i="24"/>
  <c r="M49" i="24"/>
  <c r="M48" i="24"/>
  <c r="H48" i="24"/>
  <c r="M47" i="24"/>
  <c r="M46" i="24"/>
  <c r="M45" i="24"/>
  <c r="D45" i="24"/>
  <c r="M44" i="24"/>
  <c r="M43" i="24"/>
  <c r="M42" i="24"/>
  <c r="M41" i="24"/>
  <c r="M39" i="24"/>
  <c r="M38" i="24"/>
  <c r="M36" i="24"/>
  <c r="M35" i="24"/>
  <c r="M33" i="24"/>
  <c r="M32" i="24"/>
  <c r="M31" i="24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H6" i="24"/>
  <c r="G6" i="24"/>
  <c r="F6" i="24"/>
  <c r="E6" i="24"/>
  <c r="D6" i="24"/>
  <c r="C6" i="24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0" i="1"/>
  <c r="I59" i="1"/>
  <c r="I58" i="1"/>
  <c r="I57" i="1"/>
  <c r="I56" i="1"/>
  <c r="I55" i="1"/>
  <c r="I54" i="1"/>
  <c r="G74" i="1" l="1"/>
  <c r="G72" i="1"/>
  <c r="G71" i="1"/>
  <c r="G69" i="1"/>
  <c r="G66" i="1"/>
  <c r="G65" i="1"/>
  <c r="G64" i="1"/>
  <c r="G62" i="1"/>
  <c r="G76" i="1"/>
  <c r="F59" i="1" l="1"/>
  <c r="F58" i="1"/>
  <c r="F57" i="1"/>
  <c r="F56" i="1"/>
  <c r="F55" i="1"/>
  <c r="F54" i="1"/>
  <c r="E45" i="1"/>
  <c r="AV77" i="1" l="1"/>
  <c r="AV75" i="1"/>
  <c r="AV74" i="1"/>
  <c r="AV73" i="1"/>
  <c r="AV72" i="1"/>
  <c r="AV71" i="1"/>
  <c r="AV70" i="1"/>
  <c r="AV69" i="1"/>
  <c r="AV68" i="1"/>
  <c r="AV67" i="1"/>
  <c r="AV66" i="1"/>
  <c r="AV65" i="1"/>
  <c r="AV61" i="1"/>
  <c r="AV59" i="1"/>
  <c r="AV58" i="1"/>
  <c r="AV57" i="1"/>
  <c r="AV56" i="1"/>
  <c r="AV55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39" i="1"/>
  <c r="AV38" i="1"/>
  <c r="AV36" i="1"/>
  <c r="AV35" i="1"/>
  <c r="AV33" i="1"/>
  <c r="AV32" i="1"/>
  <c r="AV31" i="1"/>
  <c r="BZ74" i="1" l="1"/>
  <c r="BZ73" i="1"/>
  <c r="BT69" i="1" l="1"/>
  <c r="BE79" i="1" l="1"/>
  <c r="BE73" i="1"/>
  <c r="BE72" i="1"/>
  <c r="BN61" i="1" l="1"/>
  <c r="BN75" i="1"/>
  <c r="BN74" i="1"/>
  <c r="BN73" i="1"/>
  <c r="BN72" i="1"/>
  <c r="BH79" i="1" l="1"/>
  <c r="BH78" i="1"/>
  <c r="BH77" i="1"/>
  <c r="BH76" i="1"/>
  <c r="BH75" i="1"/>
  <c r="BH74" i="1"/>
  <c r="BH73" i="1"/>
  <c r="BH72" i="1"/>
  <c r="BH71" i="1"/>
  <c r="BH70" i="1"/>
  <c r="BH69" i="1"/>
  <c r="BG79" i="1"/>
  <c r="BG78" i="1"/>
  <c r="BG77" i="1"/>
  <c r="BG76" i="1"/>
  <c r="BG75" i="1"/>
  <c r="BG74" i="1"/>
  <c r="BG73" i="1"/>
  <c r="BG72" i="1"/>
  <c r="BG71" i="1"/>
  <c r="BG70" i="1"/>
  <c r="BG69" i="1"/>
  <c r="AY80" i="1" l="1"/>
  <c r="AY79" i="1"/>
  <c r="AY78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M79" i="1" l="1"/>
  <c r="AM78" i="1"/>
  <c r="AM73" i="1"/>
  <c r="AM60" i="1"/>
  <c r="AM59" i="1"/>
  <c r="AM58" i="1"/>
  <c r="AM56" i="1"/>
  <c r="AM54" i="1"/>
  <c r="AM53" i="1"/>
  <c r="AM52" i="1"/>
  <c r="AM48" i="1"/>
  <c r="AM74" i="1"/>
  <c r="AJ78" i="1"/>
  <c r="AJ67" i="1" l="1"/>
  <c r="AJ63" i="1"/>
  <c r="AJ62" i="1"/>
  <c r="AJ61" i="1"/>
  <c r="AJ60" i="1"/>
  <c r="AJ59" i="1"/>
  <c r="C6" i="1" l="1"/>
  <c r="D6" i="1"/>
  <c r="N6" i="1"/>
  <c r="O6" i="1"/>
  <c r="P6" i="1"/>
  <c r="CZ6" i="1"/>
  <c r="DA6" i="1"/>
  <c r="DB6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M6" i="1"/>
  <c r="L6" i="1"/>
  <c r="K6" i="1"/>
  <c r="J6" i="1"/>
  <c r="I6" i="1"/>
  <c r="H6" i="1"/>
  <c r="G6" i="1"/>
  <c r="F6" i="1"/>
  <c r="E6" i="1"/>
</calcChain>
</file>

<file path=xl/comments1.xml><?xml version="1.0" encoding="utf-8"?>
<comments xmlns="http://schemas.openxmlformats.org/spreadsheetml/2006/main">
  <authors>
    <author>Rai Ghulam Mustafa</author>
  </authors>
  <commentList>
    <comment ref="BE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opium, raw price.</t>
        </r>
      </text>
    </comment>
    <comment ref="AS6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AS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AS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AS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AS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AS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AS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AS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AS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AS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BH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Unusually high figure of quantity, quoted as 650,000 lbs. for 29,090, highly likely there is a suspectedly additional zero.</t>
        </r>
      </text>
    </comment>
    <comment ref="BE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opium, raw price.</t>
        </r>
      </text>
    </comment>
    <comment ref="BE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opium, raw price.</t>
        </r>
      </text>
    </comment>
    <comment ref="BG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increase in price has been confirmed from two reports.</t>
        </r>
      </text>
    </comment>
    <comment ref="BE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opium, raw price. 1.13553113553114 sterling/lbs. is opium, prepared price.</t>
        </r>
      </text>
    </comment>
  </commentList>
</comments>
</file>

<file path=xl/comments2.xml><?xml version="1.0" encoding="utf-8"?>
<comments xmlns="http://schemas.openxmlformats.org/spreadsheetml/2006/main">
  <authors>
    <author>Rai Ghulam Mustafa</author>
  </authors>
  <commentList>
    <comment ref="P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opium, raw price.</t>
        </r>
      </text>
    </comment>
    <comment ref="L6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L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L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L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L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L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L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L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L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L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cocoons and opium.</t>
        </r>
      </text>
    </comment>
    <comment ref="R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Unusually high figure of quantity, quoted as 650,000 lbs. for 29,090, highly likely there is a suspectedly additional zero.</t>
        </r>
      </text>
    </comment>
    <comment ref="P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opium, raw price.</t>
        </r>
      </text>
    </comment>
    <comment ref="P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opium, raw price.</t>
        </r>
      </text>
    </comment>
    <comment ref="Q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increase in price has been confirmed from two reports.</t>
        </r>
      </text>
    </comment>
    <comment ref="P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opium, raw price. 1.13553113553114 sterling/lbs. is opium, prepared price.</t>
        </r>
      </text>
    </comment>
  </commentList>
</comments>
</file>

<file path=xl/sharedStrings.xml><?xml version="1.0" encoding="utf-8"?>
<sst xmlns="http://schemas.openxmlformats.org/spreadsheetml/2006/main" count="537" uniqueCount="55">
  <si>
    <t>Baghdad</t>
  </si>
  <si>
    <t>UK</t>
  </si>
  <si>
    <t>Damascus</t>
  </si>
  <si>
    <t>Izmir</t>
  </si>
  <si>
    <t>Beirut</t>
  </si>
  <si>
    <t>Bahrain</t>
  </si>
  <si>
    <t>Bam</t>
  </si>
  <si>
    <t>Exports</t>
  </si>
  <si>
    <t>Imports</t>
  </si>
  <si>
    <t>Alexandretta</t>
  </si>
  <si>
    <t>Bazaar (Local)</t>
  </si>
  <si>
    <t>Turkey</t>
  </si>
  <si>
    <t>Constantinople</t>
  </si>
  <si>
    <t>Mohammerah</t>
  </si>
  <si>
    <t>Lingah</t>
  </si>
  <si>
    <t>Khorasan</t>
  </si>
  <si>
    <t>Kermanshah</t>
  </si>
  <si>
    <t>Kerman</t>
  </si>
  <si>
    <t>Sultanabad</t>
  </si>
  <si>
    <t>Resht</t>
  </si>
  <si>
    <t>Ispahan</t>
  </si>
  <si>
    <t>Ghilan &amp; Tunekabun</t>
  </si>
  <si>
    <t>Bender Gez &amp; Astarabad</t>
  </si>
  <si>
    <t>Astara</t>
  </si>
  <si>
    <t>Basrah</t>
  </si>
  <si>
    <t>Mosul</t>
  </si>
  <si>
    <t>Palestine</t>
  </si>
  <si>
    <t>Muscat</t>
  </si>
  <si>
    <t>Trebizond (Anatolia)</t>
  </si>
  <si>
    <t>City/Region</t>
  </si>
  <si>
    <t>Category</t>
  </si>
  <si>
    <t>Product</t>
  </si>
  <si>
    <t>Unit (Price)</t>
  </si>
  <si>
    <t>Year</t>
  </si>
  <si>
    <t>Yezd</t>
  </si>
  <si>
    <t>Mazandaran</t>
  </si>
  <si>
    <t>Shiraz</t>
  </si>
  <si>
    <t>Trebizond (Persia)</t>
  </si>
  <si>
    <t>Middle East imports and exports, 1824-1913</t>
  </si>
  <si>
    <t>Values are in pounds sterling.</t>
  </si>
  <si>
    <t>This spreadsheet was put together by Robert Allen in October 2018.</t>
  </si>
  <si>
    <t>Egypt</t>
  </si>
  <si>
    <t>Turkey &amp; Constantinople</t>
  </si>
  <si>
    <t>Opium</t>
  </si>
  <si>
    <t>Exports (foreign and colonial)</t>
  </si>
  <si>
    <t>Bengal</t>
  </si>
  <si>
    <t>pound/cwts.</t>
  </si>
  <si>
    <t>Converted unit into pound/cwts.</t>
  </si>
  <si>
    <t>Istanbul (Malatya)</t>
  </si>
  <si>
    <t>Istanbul (Geyve)</t>
  </si>
  <si>
    <t>Istanbul (Nallrihan)</t>
  </si>
  <si>
    <t>Resht &amp; Ghilan &amp; Tunekabun</t>
  </si>
  <si>
    <t>trade and were published in the British House of Commons papers in the diplomatic &amp; consular reports on trade and finance as well as in the administration reports on the Persian Gulf Political Residency.</t>
  </si>
  <si>
    <t>There are important issues regarding the accuracy of the returns in view of their provenance and the incentives to underreport values and evade taxation.</t>
  </si>
  <si>
    <r>
      <t xml:space="preserve">The spreadsheet shows the </t>
    </r>
    <r>
      <rPr>
        <b/>
        <i/>
        <sz val="10"/>
        <rFont val="Arial"/>
        <family val="2"/>
      </rPr>
      <t>Prices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>Imports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Exports</t>
    </r>
    <r>
      <rPr>
        <sz val="10"/>
        <rFont val="Arial"/>
        <family val="2"/>
      </rPr>
      <t xml:space="preserve"> of </t>
    </r>
    <r>
      <rPr>
        <b/>
        <sz val="10"/>
        <rFont val="Arial"/>
        <family val="2"/>
      </rPr>
      <t>Opium</t>
    </r>
    <r>
      <rPr>
        <sz val="10"/>
        <rFont val="Arial"/>
        <family val="2"/>
      </rPr>
      <t xml:space="preserve"> in leading </t>
    </r>
    <r>
      <rPr>
        <b/>
        <sz val="10"/>
        <rFont val="Arial"/>
        <family val="2"/>
      </rPr>
      <t>cities</t>
    </r>
    <r>
      <rPr>
        <sz val="10"/>
        <rFont val="Arial"/>
        <family val="2"/>
      </rPr>
      <t xml:space="preserve"> in the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Middle East, United Kingdom </t>
    </r>
    <r>
      <rPr>
        <sz val="10"/>
        <rFont val="Arial"/>
        <family val="2"/>
      </rPr>
      <t>&amp;</t>
    </r>
    <r>
      <rPr>
        <b/>
        <i/>
        <sz val="10"/>
        <rFont val="Arial"/>
        <family val="2"/>
      </rPr>
      <t xml:space="preserve"> Bengal</t>
    </r>
    <r>
      <rPr>
        <sz val="10"/>
        <rFont val="Arial"/>
        <family val="2"/>
      </rPr>
      <t xml:space="preserve">. The data were compiled by British consuls usually from figures collected by Ottoman customs houses that taxed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</si>
</sst>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&quot;?&quot;;\-#,##0&quot;?&quot;"/>
    <numFmt numFmtId="165" formatCode="0.0000"/>
  </numFmts>
  <fonts count="36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"/>
    </font>
    <font>
      <i/>
      <sz val="11"/>
      <color theme="1"/>
      <name val="Calibri"/>
      <family val="2"/>
      <scheme val="minor"/>
    </font>
    <font>
      <i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2"/>
      <color rgb="FF22222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34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32"/>
      <name val="Calibri"/>
      <family val="2"/>
    </font>
    <font>
      <b/>
      <sz val="13"/>
      <color indexed="32"/>
      <name val="Calibri"/>
      <family val="2"/>
    </font>
    <font>
      <b/>
      <sz val="11"/>
      <color indexed="32"/>
      <name val="Calibri"/>
      <family val="2"/>
    </font>
    <font>
      <sz val="11"/>
      <color indexed="32"/>
      <name val="Calibri"/>
      <family val="2"/>
    </font>
    <font>
      <sz val="11"/>
      <color indexed="34"/>
      <name val="Calibri"/>
      <family val="2"/>
    </font>
    <font>
      <sz val="11"/>
      <color indexed="37"/>
      <name val="Calibri"/>
      <family val="2"/>
    </font>
    <font>
      <b/>
      <sz val="11"/>
      <color indexed="22"/>
      <name val="Calibri"/>
      <family val="2"/>
    </font>
    <font>
      <b/>
      <sz val="18"/>
      <color indexed="32"/>
      <name val="Cambria"/>
      <family val="1"/>
    </font>
    <font>
      <sz val="11"/>
      <color indexed="10"/>
      <name val="Calibri"/>
      <family val="2"/>
    </font>
    <font>
      <sz val="8"/>
      <color indexed="9"/>
      <name val="Arial"/>
      <family val="2"/>
    </font>
    <font>
      <b/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8"/>
      </patternFill>
    </fill>
    <fill>
      <patternFill patternType="solid">
        <fgColor indexed="17"/>
      </patternFill>
    </fill>
    <fill>
      <patternFill patternType="solid">
        <fgColor indexed="8"/>
        <bgColor indexed="8"/>
      </patternFill>
    </fill>
    <fill>
      <patternFill patternType="solid">
        <fgColor indexed="11"/>
        <bgColor indexed="11"/>
      </patternFill>
    </fill>
    <fill>
      <patternFill patternType="solid">
        <fgColor indexed="52"/>
      </patternFill>
    </fill>
    <fill>
      <patternFill patternType="solid">
        <fgColor indexed="17"/>
        <bgColor indexed="17"/>
      </patternFill>
    </fill>
    <fill>
      <patternFill patternType="solid">
        <fgColor indexed="8"/>
      </patternFill>
    </fill>
    <fill>
      <patternFill patternType="solid">
        <fgColor indexed="19"/>
      </patternFill>
    </fill>
    <fill>
      <patternFill patternType="solid">
        <fgColor indexed="32"/>
      </patternFill>
    </fill>
    <fill>
      <patternFill patternType="solid">
        <fgColor indexed="38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/>
      <right/>
      <top/>
      <bottom style="thick">
        <color indexed="0"/>
      </bottom>
      <diagonal/>
    </border>
    <border>
      <left/>
      <right/>
      <top/>
      <bottom style="thick">
        <color indexed="17"/>
      </bottom>
      <diagonal/>
    </border>
    <border>
      <left/>
      <right/>
      <top/>
      <bottom style="double">
        <color indexed="1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double">
        <color indexed="0"/>
      </bottom>
      <diagonal/>
    </border>
  </borders>
  <cellStyleXfs count="60">
    <xf numFmtId="0" fontId="0" fillId="0" borderId="0">
      <alignment vertical="top"/>
    </xf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9" fillId="0" borderId="0">
      <alignment vertical="top"/>
    </xf>
    <xf numFmtId="0" fontId="9" fillId="0" borderId="0">
      <alignment vertical="top"/>
    </xf>
    <xf numFmtId="0" fontId="5" fillId="0" borderId="1" applyNumberFormat="0" applyFont="0" applyBorder="0" applyAlignment="0" applyProtection="0"/>
    <xf numFmtId="0" fontId="6" fillId="0" borderId="0">
      <alignment vertical="top"/>
    </xf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6" fillId="0" borderId="0">
      <alignment vertical="top"/>
    </xf>
    <xf numFmtId="0" fontId="17" fillId="0" borderId="0">
      <alignment vertical="top"/>
    </xf>
    <xf numFmtId="0" fontId="17" fillId="2" borderId="0" applyNumberFormat="0" applyFont="0" applyFill="0" applyProtection="0"/>
    <xf numFmtId="0" fontId="17" fillId="2" borderId="0" applyNumberFormat="0" applyFont="0" applyFill="0" applyProtection="0"/>
    <xf numFmtId="0" fontId="17" fillId="2" borderId="0" applyNumberFormat="0" applyFont="0" applyFill="0" applyProtection="0"/>
    <xf numFmtId="0" fontId="17" fillId="2" borderId="0" applyNumberFormat="0" applyFont="0" applyFill="0" applyProtection="0"/>
    <xf numFmtId="0" fontId="17" fillId="3" borderId="0" applyNumberFormat="0" applyFont="0" applyFill="0" applyProtection="0"/>
    <xf numFmtId="0" fontId="17" fillId="4" borderId="0" applyNumberFormat="0" applyFont="0" applyFill="0" applyProtection="0"/>
    <xf numFmtId="0" fontId="17" fillId="2" borderId="0" applyNumberFormat="0" applyFont="0" applyFill="0" applyProtection="0"/>
    <xf numFmtId="0" fontId="17" fillId="2" borderId="0" applyNumberFormat="0" applyFont="0" applyFill="0" applyProtection="0"/>
    <xf numFmtId="0" fontId="17" fillId="5" borderId="0" applyNumberFormat="0" applyFont="0" applyFill="0" applyProtection="0"/>
    <xf numFmtId="0" fontId="17" fillId="2" borderId="0" applyNumberFormat="0" applyFont="0" applyFill="0" applyProtection="0"/>
    <xf numFmtId="0" fontId="17" fillId="2" borderId="0" applyNumberFormat="0" applyFont="0" applyFill="0" applyProtection="0"/>
    <xf numFmtId="0" fontId="17" fillId="6" borderId="0" applyNumberFormat="0" applyFont="0" applyFill="0" applyProtection="0"/>
    <xf numFmtId="0" fontId="19" fillId="2" borderId="0" applyNumberFormat="0" applyFont="0" applyFill="0" applyProtection="0"/>
    <xf numFmtId="0" fontId="19" fillId="2" borderId="0" applyNumberFormat="0" applyFont="0" applyFill="0" applyProtection="0"/>
    <xf numFmtId="0" fontId="19" fillId="5" borderId="0" applyNumberFormat="0" applyFont="0" applyFill="0" applyProtection="0"/>
    <xf numFmtId="0" fontId="19" fillId="7" borderId="0" applyNumberFormat="0" applyFont="0" applyFill="0" applyProtection="0"/>
    <xf numFmtId="0" fontId="19" fillId="8" borderId="0" applyNumberFormat="0" applyFont="0" applyFill="0" applyProtection="0"/>
    <xf numFmtId="0" fontId="19" fillId="9" borderId="0" applyNumberFormat="0" applyFont="0" applyFill="0" applyProtection="0"/>
    <xf numFmtId="0" fontId="19" fillId="4" borderId="0" applyNumberFormat="0" applyFont="0" applyFill="0" applyProtection="0"/>
    <xf numFmtId="0" fontId="19" fillId="4" borderId="0" applyNumberFormat="0" applyFont="0" applyFill="0" applyProtection="0"/>
    <xf numFmtId="0" fontId="19" fillId="10" borderId="0" applyNumberFormat="0" applyFont="0" applyFill="0" applyProtection="0"/>
    <xf numFmtId="0" fontId="19" fillId="7" borderId="0" applyNumberFormat="0" applyFont="0" applyFill="0" applyProtection="0"/>
    <xf numFmtId="0" fontId="19" fillId="8" borderId="0" applyNumberFormat="0" applyFont="0" applyFill="0" applyProtection="0"/>
    <xf numFmtId="0" fontId="19" fillId="11" borderId="0" applyNumberFormat="0" applyFont="0" applyFill="0" applyProtection="0"/>
    <xf numFmtId="0" fontId="20" fillId="2" borderId="0" applyNumberFormat="0" applyFont="0" applyFill="0" applyProtection="0"/>
    <xf numFmtId="0" fontId="21" fillId="8" borderId="2" applyNumberFormat="0" applyFont="0" applyProtection="0"/>
    <xf numFmtId="0" fontId="22" fillId="11" borderId="3" applyNumberFormat="0" applyFont="0" applyProtection="0"/>
    <xf numFmtId="3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3" fillId="0" borderId="0" applyNumberFormat="0" applyFont="0" applyFill="0" applyAlignment="0" applyProtection="0"/>
    <xf numFmtId="0" fontId="24" fillId="2" borderId="0" applyNumberFormat="0" applyFont="0" applyFill="0" applyProtection="0"/>
    <xf numFmtId="0" fontId="25" fillId="0" borderId="4" applyNumberFormat="0" applyFont="0" applyAlignment="0" applyProtection="0"/>
    <xf numFmtId="0" fontId="26" fillId="0" borderId="4" applyNumberFormat="0" applyFont="0" applyAlignment="0" applyProtection="0"/>
    <xf numFmtId="0" fontId="27" fillId="0" borderId="5" applyNumberFormat="0" applyFont="0" applyAlignment="0" applyProtection="0"/>
    <xf numFmtId="0" fontId="27" fillId="0" borderId="0" applyNumberFormat="0" applyFont="0" applyFill="0" applyAlignment="0" applyProtection="0"/>
    <xf numFmtId="0" fontId="28" fillId="4" borderId="2" applyNumberFormat="0" applyFont="0" applyProtection="0"/>
    <xf numFmtId="0" fontId="29" fillId="0" borderId="6" applyNumberFormat="0" applyFont="0" applyAlignment="0" applyProtection="0"/>
    <xf numFmtId="0" fontId="30" fillId="2" borderId="0" applyNumberFormat="0" applyFont="0" applyFill="0" applyProtection="0"/>
    <xf numFmtId="0" fontId="17" fillId="4" borderId="7" applyNumberFormat="0" applyFont="0" applyBorder="0" applyProtection="0"/>
    <xf numFmtId="0" fontId="31" fillId="8" borderId="7" applyNumberFormat="0" applyFont="0" applyProtection="0"/>
    <xf numFmtId="0" fontId="32" fillId="0" borderId="0" applyNumberFormat="0" applyFont="0" applyFill="0" applyAlignment="0" applyProtection="0"/>
    <xf numFmtId="0" fontId="18" fillId="0" borderId="8" applyNumberFormat="0" applyFont="0" applyAlignment="0" applyProtection="0"/>
    <xf numFmtId="0" fontId="33" fillId="0" borderId="0" applyNumberFormat="0" applyFont="0" applyFill="0" applyAlignment="0" applyProtection="0"/>
  </cellStyleXfs>
  <cellXfs count="18">
    <xf numFmtId="0" fontId="0" fillId="0" borderId="0" xfId="0" applyAlignment="1"/>
    <xf numFmtId="165" fontId="0" fillId="0" borderId="0" xfId="0" applyNumberFormat="1" applyAlignment="1"/>
    <xf numFmtId="0" fontId="0" fillId="0" borderId="0" xfId="0" applyAlignment="1">
      <alignment wrapText="1"/>
    </xf>
    <xf numFmtId="165" fontId="0" fillId="0" borderId="0" xfId="0" applyNumberFormat="1" applyFill="1" applyAlignment="1"/>
    <xf numFmtId="0" fontId="10" fillId="0" borderId="0" xfId="0" applyFont="1" applyAlignment="1"/>
    <xf numFmtId="0" fontId="11" fillId="2" borderId="0" xfId="7" applyFont="1" applyFill="1" applyBorder="1" applyAlignment="1">
      <alignment horizontal="left"/>
    </xf>
    <xf numFmtId="0" fontId="11" fillId="2" borderId="0" xfId="7" applyFont="1" applyFill="1" applyBorder="1" applyAlignment="1">
      <alignment horizontal="left" wrapText="1"/>
    </xf>
    <xf numFmtId="0" fontId="12" fillId="2" borderId="0" xfId="7" applyFont="1" applyFill="1" applyBorder="1" applyAlignment="1">
      <alignment horizontal="left"/>
    </xf>
    <xf numFmtId="0" fontId="12" fillId="2" borderId="0" xfId="7" applyFont="1" applyFill="1" applyBorder="1" applyAlignment="1">
      <alignment horizontal="left" wrapText="1"/>
    </xf>
    <xf numFmtId="0" fontId="12" fillId="2" borderId="0" xfId="7" applyFont="1" applyFill="1" applyBorder="1" applyAlignment="1" applyProtection="1">
      <alignment horizontal="right"/>
    </xf>
    <xf numFmtId="0" fontId="0" fillId="0" borderId="0" xfId="0" applyAlignment="1">
      <alignment horizontal="left"/>
    </xf>
    <xf numFmtId="165" fontId="6" fillId="0" borderId="0" xfId="0" applyNumberFormat="1" applyFont="1" applyAlignment="1"/>
    <xf numFmtId="0" fontId="6" fillId="0" borderId="0" xfId="10" applyAlignment="1"/>
    <xf numFmtId="165" fontId="14" fillId="0" borderId="0" xfId="7" applyNumberFormat="1" applyFont="1" applyBorder="1" applyAlignment="1" applyProtection="1">
      <alignment horizontal="center"/>
    </xf>
    <xf numFmtId="0" fontId="13" fillId="0" borderId="0" xfId="0" applyFont="1" applyAlignment="1"/>
    <xf numFmtId="0" fontId="0" fillId="0" borderId="0" xfId="0" applyFill="1" applyAlignment="1"/>
    <xf numFmtId="0" fontId="16" fillId="0" borderId="0" xfId="0" applyFont="1" applyAlignment="1"/>
    <xf numFmtId="0" fontId="34" fillId="0" borderId="0" xfId="8" applyFont="1" applyFill="1" applyBorder="1" applyAlignment="1" applyProtection="1">
      <alignment horizontal="right"/>
    </xf>
  </cellXfs>
  <cellStyles count="60"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40% - Accent1 2" xfId="23"/>
    <cellStyle name="40% - Accent2 2" xfId="24"/>
    <cellStyle name="40% - Accent3 2" xfId="25"/>
    <cellStyle name="40% - Accent4 2" xfId="26"/>
    <cellStyle name="40% - Accent5 2" xfId="27"/>
    <cellStyle name="40% - Accent6 2" xfId="28"/>
    <cellStyle name="60% - Accent1 2" xfId="29"/>
    <cellStyle name="60% - Accent2 2" xfId="30"/>
    <cellStyle name="60% - Accent3 2" xfId="31"/>
    <cellStyle name="60% - Accent4 2" xfId="32"/>
    <cellStyle name="60% - Accent5 2" xfId="33"/>
    <cellStyle name="60% - Accent6 2" xfId="34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Bad 2" xfId="41"/>
    <cellStyle name="Calculation 2" xfId="42"/>
    <cellStyle name="Check Cell 2" xfId="43"/>
    <cellStyle name="Comma 2" xfId="13"/>
    <cellStyle name="Comma0" xfId="1"/>
    <cellStyle name="Comma0 2" xfId="44"/>
    <cellStyle name="Currency0" xfId="2"/>
    <cellStyle name="Currency0 2" xfId="45"/>
    <cellStyle name="Date" xfId="3"/>
    <cellStyle name="Explanatory Text 2" xfId="46"/>
    <cellStyle name="Fixed" xfId="4"/>
    <cellStyle name="Good 2" xfId="47"/>
    <cellStyle name="Heading 1" xfId="5" builtinId="16" customBuiltin="1"/>
    <cellStyle name="Heading 1 2" xfId="48"/>
    <cellStyle name="Heading 2" xfId="6" builtinId="17" customBuiltin="1"/>
    <cellStyle name="Heading 2 2" xfId="49"/>
    <cellStyle name="Heading 3 2" xfId="50"/>
    <cellStyle name="Heading 4 2" xfId="51"/>
    <cellStyle name="Input 2" xfId="52"/>
    <cellStyle name="Linked Cell 2" xfId="53"/>
    <cellStyle name="Neutral 2" xfId="54"/>
    <cellStyle name="Normal" xfId="0" builtinId="0"/>
    <cellStyle name="Normal 2" xfId="10"/>
    <cellStyle name="Normal 2 2" xfId="14"/>
    <cellStyle name="Normal 3" xfId="7"/>
    <cellStyle name="Normal 3 2" xfId="8"/>
    <cellStyle name="Normal 4" xfId="11"/>
    <cellStyle name="Normal 4 2" xfId="15"/>
    <cellStyle name="Normal 5" xfId="12"/>
    <cellStyle name="Normal 6" xfId="16"/>
    <cellStyle name="Note 2" xfId="55"/>
    <cellStyle name="Output 2" xfId="56"/>
    <cellStyle name="Title 2" xfId="57"/>
    <cellStyle name="Total" xfId="9" builtinId="25" customBuiltin="1"/>
    <cellStyle name="Total 2" xfId="58"/>
    <cellStyle name="Warning Text 2" xfId="5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Exports (foreign and colonial),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(All)'!$D$7:$D$107</c:f>
              <c:numCache>
                <c:formatCode>0.0000</c:formatCode>
                <c:ptCount val="76"/>
                <c:pt idx="4">
                  <c:v>86.333094524453543</c:v>
                </c:pt>
                <c:pt idx="5">
                  <c:v>76.999301996290612</c:v>
                </c:pt>
                <c:pt idx="6">
                  <c:v>83.999456088890625</c:v>
                </c:pt>
                <c:pt idx="7">
                  <c:v>83.532228784153318</c:v>
                </c:pt>
                <c:pt idx="8">
                  <c:v>106.95392487269686</c:v>
                </c:pt>
                <c:pt idx="9">
                  <c:v>107.33351041627139</c:v>
                </c:pt>
                <c:pt idx="10">
                  <c:v>104.06640019577453</c:v>
                </c:pt>
                <c:pt idx="11">
                  <c:v>90.066731007858806</c:v>
                </c:pt>
                <c:pt idx="12">
                  <c:v>95.199655589495478</c:v>
                </c:pt>
                <c:pt idx="13">
                  <c:v>102.19983469723253</c:v>
                </c:pt>
                <c:pt idx="14">
                  <c:v>92.400233976769442</c:v>
                </c:pt>
                <c:pt idx="15">
                  <c:v>80.266454545454536</c:v>
                </c:pt>
                <c:pt idx="16">
                  <c:v>93.333200882688928</c:v>
                </c:pt>
                <c:pt idx="17">
                  <c:v>91.467031154263097</c:v>
                </c:pt>
                <c:pt idx="18">
                  <c:v>139.9997741297947</c:v>
                </c:pt>
                <c:pt idx="19">
                  <c:v>180.60168346088238</c:v>
                </c:pt>
                <c:pt idx="20">
                  <c:v>146.06672251253207</c:v>
                </c:pt>
                <c:pt idx="21">
                  <c:v>111.91219229730741</c:v>
                </c:pt>
                <c:pt idx="22">
                  <c:v>112.30772724176299</c:v>
                </c:pt>
                <c:pt idx="23">
                  <c:v>119.72540177270858</c:v>
                </c:pt>
                <c:pt idx="24">
                  <c:v>121.91671617043222</c:v>
                </c:pt>
                <c:pt idx="25">
                  <c:v>117.26207478663969</c:v>
                </c:pt>
                <c:pt idx="26">
                  <c:v>105.81410267288926</c:v>
                </c:pt>
                <c:pt idx="27">
                  <c:v>108.18936032188867</c:v>
                </c:pt>
                <c:pt idx="28">
                  <c:v>91.329982823334817</c:v>
                </c:pt>
                <c:pt idx="29">
                  <c:v>90.370615224371392</c:v>
                </c:pt>
                <c:pt idx="30">
                  <c:v>109.56591478696743</c:v>
                </c:pt>
                <c:pt idx="31">
                  <c:v>94.463831513151845</c:v>
                </c:pt>
                <c:pt idx="32">
                  <c:v>86.587551485500427</c:v>
                </c:pt>
                <c:pt idx="33">
                  <c:v>81.846741708391377</c:v>
                </c:pt>
                <c:pt idx="34">
                  <c:v>88.166301579593579</c:v>
                </c:pt>
                <c:pt idx="35">
                  <c:v>70.928381264169943</c:v>
                </c:pt>
                <c:pt idx="36">
                  <c:v>65.679859388710355</c:v>
                </c:pt>
                <c:pt idx="37">
                  <c:v>76.374030475424547</c:v>
                </c:pt>
                <c:pt idx="38">
                  <c:v>69.34144195802368</c:v>
                </c:pt>
                <c:pt idx="39">
                  <c:v>62.686301978337369</c:v>
                </c:pt>
                <c:pt idx="40">
                  <c:v>69.497282099343963</c:v>
                </c:pt>
                <c:pt idx="41">
                  <c:v>60.112094752196384</c:v>
                </c:pt>
                <c:pt idx="42">
                  <c:v>52.264219353963696</c:v>
                </c:pt>
                <c:pt idx="43">
                  <c:v>59.781271464550102</c:v>
                </c:pt>
                <c:pt idx="44">
                  <c:v>57.687427290205811</c:v>
                </c:pt>
                <c:pt idx="45">
                  <c:v>58.564772162386085</c:v>
                </c:pt>
                <c:pt idx="46">
                  <c:v>57.142251532802597</c:v>
                </c:pt>
                <c:pt idx="47">
                  <c:v>53.822059992054029</c:v>
                </c:pt>
                <c:pt idx="48">
                  <c:v>60.197927349968886</c:v>
                </c:pt>
                <c:pt idx="49">
                  <c:v>56.611424941837967</c:v>
                </c:pt>
                <c:pt idx="50">
                  <c:v>58.035289850024135</c:v>
                </c:pt>
                <c:pt idx="51">
                  <c:v>59.968189976257882</c:v>
                </c:pt>
                <c:pt idx="52">
                  <c:v>56.6370877534602</c:v>
                </c:pt>
                <c:pt idx="53">
                  <c:v>58.06921445081214</c:v>
                </c:pt>
                <c:pt idx="54">
                  <c:v>63.016791905983482</c:v>
                </c:pt>
                <c:pt idx="55">
                  <c:v>57.73856392687653</c:v>
                </c:pt>
                <c:pt idx="56">
                  <c:v>57.733602229340974</c:v>
                </c:pt>
                <c:pt idx="57">
                  <c:v>76.178759534252862</c:v>
                </c:pt>
                <c:pt idx="58">
                  <c:v>73.780548203547966</c:v>
                </c:pt>
                <c:pt idx="59">
                  <c:v>78.002201905126611</c:v>
                </c:pt>
                <c:pt idx="60">
                  <c:v>90.153274838897588</c:v>
                </c:pt>
                <c:pt idx="61">
                  <c:v>102.57892958642208</c:v>
                </c:pt>
                <c:pt idx="62">
                  <c:v>128.15847786852652</c:v>
                </c:pt>
                <c:pt idx="63">
                  <c:v>113.55479301207045</c:v>
                </c:pt>
                <c:pt idx="64">
                  <c:v>106.20397161428826</c:v>
                </c:pt>
                <c:pt idx="65">
                  <c:v>120.19941627316517</c:v>
                </c:pt>
                <c:pt idx="66">
                  <c:v>137.28445804573309</c:v>
                </c:pt>
                <c:pt idx="67">
                  <c:v>232.39311380114344</c:v>
                </c:pt>
                <c:pt idx="68">
                  <c:v>333.87042645087627</c:v>
                </c:pt>
                <c:pt idx="69">
                  <c:v>255.21626912781176</c:v>
                </c:pt>
                <c:pt idx="70">
                  <c:v>135.02193606348729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(All)'!$D$7:$D$107</c:f>
              <c:numCache>
                <c:formatCode>0.0000</c:formatCode>
                <c:ptCount val="76"/>
                <c:pt idx="4">
                  <c:v>86.333094524453543</c:v>
                </c:pt>
                <c:pt idx="5">
                  <c:v>76.999301996290612</c:v>
                </c:pt>
                <c:pt idx="6">
                  <c:v>83.999456088890625</c:v>
                </c:pt>
                <c:pt idx="7">
                  <c:v>83.532228784153318</c:v>
                </c:pt>
                <c:pt idx="8">
                  <c:v>106.95392487269686</c:v>
                </c:pt>
                <c:pt idx="9">
                  <c:v>107.33351041627139</c:v>
                </c:pt>
                <c:pt idx="10">
                  <c:v>104.06640019577453</c:v>
                </c:pt>
                <c:pt idx="11">
                  <c:v>90.066731007858806</c:v>
                </c:pt>
                <c:pt idx="12">
                  <c:v>95.199655589495478</c:v>
                </c:pt>
                <c:pt idx="13">
                  <c:v>102.19983469723253</c:v>
                </c:pt>
                <c:pt idx="14">
                  <c:v>92.400233976769442</c:v>
                </c:pt>
                <c:pt idx="15">
                  <c:v>80.266454545454536</c:v>
                </c:pt>
                <c:pt idx="16">
                  <c:v>93.333200882688928</c:v>
                </c:pt>
                <c:pt idx="17">
                  <c:v>91.467031154263097</c:v>
                </c:pt>
                <c:pt idx="18">
                  <c:v>139.9997741297947</c:v>
                </c:pt>
                <c:pt idx="19">
                  <c:v>180.60168346088238</c:v>
                </c:pt>
                <c:pt idx="20">
                  <c:v>146.06672251253207</c:v>
                </c:pt>
                <c:pt idx="21">
                  <c:v>111.91219229730741</c:v>
                </c:pt>
                <c:pt idx="22">
                  <c:v>112.30772724176299</c:v>
                </c:pt>
                <c:pt idx="23">
                  <c:v>119.72540177270858</c:v>
                </c:pt>
                <c:pt idx="24">
                  <c:v>121.91671617043222</c:v>
                </c:pt>
                <c:pt idx="25">
                  <c:v>117.26207478663969</c:v>
                </c:pt>
                <c:pt idx="26">
                  <c:v>105.81410267288926</c:v>
                </c:pt>
                <c:pt idx="27">
                  <c:v>108.18936032188867</c:v>
                </c:pt>
                <c:pt idx="28">
                  <c:v>91.329982823334817</c:v>
                </c:pt>
                <c:pt idx="29">
                  <c:v>90.370615224371392</c:v>
                </c:pt>
                <c:pt idx="30">
                  <c:v>109.56591478696743</c:v>
                </c:pt>
                <c:pt idx="31">
                  <c:v>94.463831513151845</c:v>
                </c:pt>
                <c:pt idx="32">
                  <c:v>86.587551485500427</c:v>
                </c:pt>
                <c:pt idx="33">
                  <c:v>81.846741708391377</c:v>
                </c:pt>
                <c:pt idx="34">
                  <c:v>88.166301579593579</c:v>
                </c:pt>
                <c:pt idx="35">
                  <c:v>70.928381264169943</c:v>
                </c:pt>
                <c:pt idx="36">
                  <c:v>65.679859388710355</c:v>
                </c:pt>
                <c:pt idx="37">
                  <c:v>76.374030475424547</c:v>
                </c:pt>
                <c:pt idx="38">
                  <c:v>69.34144195802368</c:v>
                </c:pt>
                <c:pt idx="39">
                  <c:v>62.686301978337369</c:v>
                </c:pt>
                <c:pt idx="40">
                  <c:v>69.497282099343963</c:v>
                </c:pt>
                <c:pt idx="41">
                  <c:v>60.112094752196384</c:v>
                </c:pt>
                <c:pt idx="42">
                  <c:v>52.264219353963696</c:v>
                </c:pt>
                <c:pt idx="43">
                  <c:v>59.781271464550102</c:v>
                </c:pt>
                <c:pt idx="44">
                  <c:v>57.687427290205811</c:v>
                </c:pt>
                <c:pt idx="45">
                  <c:v>58.564772162386085</c:v>
                </c:pt>
                <c:pt idx="46">
                  <c:v>57.142251532802597</c:v>
                </c:pt>
                <c:pt idx="47">
                  <c:v>53.822059992054029</c:v>
                </c:pt>
                <c:pt idx="48">
                  <c:v>60.197927349968886</c:v>
                </c:pt>
                <c:pt idx="49">
                  <c:v>56.611424941837967</c:v>
                </c:pt>
                <c:pt idx="50">
                  <c:v>58.035289850024135</c:v>
                </c:pt>
                <c:pt idx="51">
                  <c:v>59.968189976257882</c:v>
                </c:pt>
                <c:pt idx="52">
                  <c:v>56.6370877534602</c:v>
                </c:pt>
                <c:pt idx="53">
                  <c:v>58.06921445081214</c:v>
                </c:pt>
                <c:pt idx="54">
                  <c:v>63.016791905983482</c:v>
                </c:pt>
                <c:pt idx="55">
                  <c:v>57.73856392687653</c:v>
                </c:pt>
                <c:pt idx="56">
                  <c:v>57.733602229340974</c:v>
                </c:pt>
                <c:pt idx="57">
                  <c:v>76.178759534252862</c:v>
                </c:pt>
                <c:pt idx="58">
                  <c:v>73.780548203547966</c:v>
                </c:pt>
                <c:pt idx="59">
                  <c:v>78.002201905126611</c:v>
                </c:pt>
                <c:pt idx="60">
                  <c:v>90.153274838897588</c:v>
                </c:pt>
                <c:pt idx="61">
                  <c:v>102.57892958642208</c:v>
                </c:pt>
                <c:pt idx="62">
                  <c:v>128.15847786852652</c:v>
                </c:pt>
                <c:pt idx="63">
                  <c:v>113.55479301207045</c:v>
                </c:pt>
                <c:pt idx="64">
                  <c:v>106.20397161428826</c:v>
                </c:pt>
                <c:pt idx="65">
                  <c:v>120.19941627316517</c:v>
                </c:pt>
                <c:pt idx="66">
                  <c:v>137.28445804573309</c:v>
                </c:pt>
                <c:pt idx="67">
                  <c:v>232.39311380114344</c:v>
                </c:pt>
                <c:pt idx="68">
                  <c:v>333.87042645087627</c:v>
                </c:pt>
                <c:pt idx="69">
                  <c:v>255.21626912781176</c:v>
                </c:pt>
                <c:pt idx="70">
                  <c:v>135.02193606348729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696544"/>
        <c:axId val="356697104"/>
      </c:scatterChart>
      <c:valAx>
        <c:axId val="3566965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697104"/>
        <c:crosses val="autoZero"/>
        <c:crossBetween val="midCat"/>
        <c:majorUnit val="5"/>
      </c:valAx>
      <c:valAx>
        <c:axId val="35669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6965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Imports,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(All)'!$E$7:$E$107</c:f>
              <c:numCache>
                <c:formatCode>0.0000</c:formatCode>
                <c:ptCount val="76"/>
                <c:pt idx="28">
                  <c:v>49.41176470588232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(All)'!$E$7:$E$107</c:f>
              <c:numCache>
                <c:formatCode>0.0000</c:formatCode>
                <c:ptCount val="76"/>
                <c:pt idx="28">
                  <c:v>49.41176470588232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12224"/>
        <c:axId val="356723424"/>
      </c:scatterChart>
      <c:valAx>
        <c:axId val="3567122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23424"/>
        <c:crosses val="autoZero"/>
        <c:crossBetween val="midCat"/>
        <c:majorUnit val="5"/>
      </c:valAx>
      <c:valAx>
        <c:axId val="35672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122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Bengal, Exports,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(All)'!$DA$7:$DA$107</c:f>
              <c:numCache>
                <c:formatCode>General</c:formatCode>
                <c:ptCount val="76"/>
                <c:pt idx="35">
                  <c:v>35.547428571428576</c:v>
                </c:pt>
                <c:pt idx="36">
                  <c:v>33.298285714285718</c:v>
                </c:pt>
                <c:pt idx="37">
                  <c:v>30.691764705882349</c:v>
                </c:pt>
                <c:pt idx="38">
                  <c:v>30.458181818181824</c:v>
                </c:pt>
                <c:pt idx="39">
                  <c:v>35.869090909090914</c:v>
                </c:pt>
                <c:pt idx="40">
                  <c:v>30.026666666666667</c:v>
                </c:pt>
                <c:pt idx="41">
                  <c:v>29.430447761194031</c:v>
                </c:pt>
                <c:pt idx="42" formatCode="0.0000">
                  <c:v>33.216000000000001</c:v>
                </c:pt>
                <c:pt idx="43">
                  <c:v>41.478620689655173</c:v>
                </c:pt>
                <c:pt idx="44">
                  <c:v>40.689230769230768</c:v>
                </c:pt>
                <c:pt idx="45">
                  <c:v>54.151111111111121</c:v>
                </c:pt>
                <c:pt idx="46">
                  <c:v>43.365517241379315</c:v>
                </c:pt>
                <c:pt idx="47">
                  <c:v>33.723870967741931</c:v>
                </c:pt>
                <c:pt idx="48" formatCode="0.0000">
                  <c:v>31.32</c:v>
                </c:pt>
                <c:pt idx="49" formatCode="0.0000">
                  <c:v>33.870000000000005</c:v>
                </c:pt>
                <c:pt idx="50" formatCode="0.0000">
                  <c:v>38.82</c:v>
                </c:pt>
                <c:pt idx="51" formatCode="0.0000">
                  <c:v>39.18</c:v>
                </c:pt>
                <c:pt idx="52" formatCode="0.0000">
                  <c:v>37.049999999999997</c:v>
                </c:pt>
                <c:pt idx="53" formatCode="0.0000">
                  <c:v>34.5</c:v>
                </c:pt>
                <c:pt idx="54" formatCode="0.0000">
                  <c:v>48.81</c:v>
                </c:pt>
                <c:pt idx="55" formatCode="0.0000">
                  <c:v>49.83</c:v>
                </c:pt>
                <c:pt idx="56" formatCode="0.0000">
                  <c:v>42.15</c:v>
                </c:pt>
                <c:pt idx="57" formatCode="0.0000">
                  <c:v>41.19</c:v>
                </c:pt>
                <c:pt idx="58" formatCode="0.0000">
                  <c:v>38.010000000000005</c:v>
                </c:pt>
                <c:pt idx="59" formatCode="0.0000">
                  <c:v>41.43</c:v>
                </c:pt>
                <c:pt idx="60" formatCode="0.0000">
                  <c:v>61.35</c:v>
                </c:pt>
                <c:pt idx="61" formatCode="0.0000">
                  <c:v>100.95</c:v>
                </c:pt>
                <c:pt idx="62" formatCode="0.0000">
                  <c:v>85.5</c:v>
                </c:pt>
                <c:pt idx="63" formatCode="0.0000">
                  <c:v>55.064999999999998</c:v>
                </c:pt>
                <c:pt idx="64" formatCode="0.0000">
                  <c:v>46.382031249999997</c:v>
                </c:pt>
                <c:pt idx="65" formatCode="0.0000">
                  <c:v>48.00078125000001</c:v>
                </c:pt>
                <c:pt idx="66" formatCode="0.0000">
                  <c:v>54.150781250000016</c:v>
                </c:pt>
                <c:pt idx="67" formatCode="0.0000">
                  <c:v>98.404062500000009</c:v>
                </c:pt>
                <c:pt idx="68" formatCode="0.0000">
                  <c:v>96.392031250000016</c:v>
                </c:pt>
                <c:pt idx="69" formatCode="0.0000">
                  <c:v>114.87250000000002</c:v>
                </c:pt>
                <c:pt idx="70" formatCode="0.0000">
                  <c:v>170.58249999999998</c:v>
                </c:pt>
                <c:pt idx="71" formatCode="0.0000">
                  <c:v>151.9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(All)'!$DA$7:$DA$107</c:f>
              <c:numCache>
                <c:formatCode>General</c:formatCode>
                <c:ptCount val="76"/>
                <c:pt idx="35">
                  <c:v>35.547428571428576</c:v>
                </c:pt>
                <c:pt idx="36">
                  <c:v>33.298285714285718</c:v>
                </c:pt>
                <c:pt idx="37">
                  <c:v>30.691764705882349</c:v>
                </c:pt>
                <c:pt idx="38">
                  <c:v>30.458181818181824</c:v>
                </c:pt>
                <c:pt idx="39">
                  <c:v>35.869090909090914</c:v>
                </c:pt>
                <c:pt idx="40">
                  <c:v>30.026666666666667</c:v>
                </c:pt>
                <c:pt idx="41">
                  <c:v>29.430447761194031</c:v>
                </c:pt>
                <c:pt idx="42" formatCode="0.0000">
                  <c:v>33.216000000000001</c:v>
                </c:pt>
                <c:pt idx="43">
                  <c:v>41.478620689655173</c:v>
                </c:pt>
                <c:pt idx="44">
                  <c:v>40.689230769230768</c:v>
                </c:pt>
                <c:pt idx="45">
                  <c:v>54.151111111111121</c:v>
                </c:pt>
                <c:pt idx="46">
                  <c:v>43.365517241379315</c:v>
                </c:pt>
                <c:pt idx="47">
                  <c:v>33.723870967741931</c:v>
                </c:pt>
                <c:pt idx="48" formatCode="0.0000">
                  <c:v>31.32</c:v>
                </c:pt>
                <c:pt idx="49" formatCode="0.0000">
                  <c:v>33.870000000000005</c:v>
                </c:pt>
                <c:pt idx="50" formatCode="0.0000">
                  <c:v>38.82</c:v>
                </c:pt>
                <c:pt idx="51" formatCode="0.0000">
                  <c:v>39.18</c:v>
                </c:pt>
                <c:pt idx="52" formatCode="0.0000">
                  <c:v>37.049999999999997</c:v>
                </c:pt>
                <c:pt idx="53" formatCode="0.0000">
                  <c:v>34.5</c:v>
                </c:pt>
                <c:pt idx="54" formatCode="0.0000">
                  <c:v>48.81</c:v>
                </c:pt>
                <c:pt idx="55" formatCode="0.0000">
                  <c:v>49.83</c:v>
                </c:pt>
                <c:pt idx="56" formatCode="0.0000">
                  <c:v>42.15</c:v>
                </c:pt>
                <c:pt idx="57" formatCode="0.0000">
                  <c:v>41.19</c:v>
                </c:pt>
                <c:pt idx="58" formatCode="0.0000">
                  <c:v>38.010000000000005</c:v>
                </c:pt>
                <c:pt idx="59" formatCode="0.0000">
                  <c:v>41.43</c:v>
                </c:pt>
                <c:pt idx="60" formatCode="0.0000">
                  <c:v>61.35</c:v>
                </c:pt>
                <c:pt idx="61" formatCode="0.0000">
                  <c:v>100.95</c:v>
                </c:pt>
                <c:pt idx="62" formatCode="0.0000">
                  <c:v>85.5</c:v>
                </c:pt>
                <c:pt idx="63" formatCode="0.0000">
                  <c:v>55.064999999999998</c:v>
                </c:pt>
                <c:pt idx="64" formatCode="0.0000">
                  <c:v>46.382031249999997</c:v>
                </c:pt>
                <c:pt idx="65" formatCode="0.0000">
                  <c:v>48.00078125000001</c:v>
                </c:pt>
                <c:pt idx="66" formatCode="0.0000">
                  <c:v>54.150781250000016</c:v>
                </c:pt>
                <c:pt idx="67" formatCode="0.0000">
                  <c:v>98.404062500000009</c:v>
                </c:pt>
                <c:pt idx="68" formatCode="0.0000">
                  <c:v>96.392031250000016</c:v>
                </c:pt>
                <c:pt idx="69" formatCode="0.0000">
                  <c:v>114.87250000000002</c:v>
                </c:pt>
                <c:pt idx="70" formatCode="0.0000">
                  <c:v>170.58249999999998</c:v>
                </c:pt>
                <c:pt idx="71" formatCode="0.0000">
                  <c:v>151.9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52256"/>
        <c:axId val="704703536"/>
      </c:scatterChart>
      <c:valAx>
        <c:axId val="7047522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03536"/>
        <c:crosses val="autoZero"/>
        <c:crossBetween val="midCat"/>
        <c:majorUnit val="5"/>
      </c:valAx>
      <c:valAx>
        <c:axId val="70470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522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Bengal, Bazaar (Local),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(All)'!$DB$7:$DB$107</c:f>
              <c:numCache>
                <c:formatCode>General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(All)'!$DB$7:$DB$107</c:f>
              <c:numCache>
                <c:formatCode>General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14176"/>
        <c:axId val="704713616"/>
      </c:scatterChart>
      <c:valAx>
        <c:axId val="7047141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13616"/>
        <c:crosses val="autoZero"/>
        <c:crossBetween val="midCat"/>
        <c:majorUnit val="5"/>
      </c:valAx>
      <c:valAx>
        <c:axId val="70471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141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(Nallrihan),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(All)'!$AF$7:$AF$107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(All)'!$AF$7:$AF$107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10816"/>
        <c:axId val="704710256"/>
      </c:scatterChart>
      <c:valAx>
        <c:axId val="7047108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10256"/>
        <c:crosses val="autoZero"/>
        <c:crossBetween val="midCat"/>
        <c:majorUnit val="5"/>
      </c:valAx>
      <c:valAx>
        <c:axId val="70471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108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(Nallrihan), Exports, in pound/cwts.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(All)'!$AG$7:$AG$107</c:f>
              <c:numCache>
                <c:formatCode>0.0000</c:formatCode>
                <c:ptCount val="76"/>
                <c:pt idx="35">
                  <c:v>52.31094480387835</c:v>
                </c:pt>
                <c:pt idx="36">
                  <c:v>42.010873402527714</c:v>
                </c:pt>
                <c:pt idx="37">
                  <c:v>70.728245282146062</c:v>
                </c:pt>
                <c:pt idx="38">
                  <c:v>44.298399356668476</c:v>
                </c:pt>
                <c:pt idx="39">
                  <c:v>48.303068815672084</c:v>
                </c:pt>
                <c:pt idx="40">
                  <c:v>57.512211716829384</c:v>
                </c:pt>
                <c:pt idx="41">
                  <c:v>39.462570222853692</c:v>
                </c:pt>
                <c:pt idx="42">
                  <c:v>38.583438288695639</c:v>
                </c:pt>
                <c:pt idx="43">
                  <c:v>49.02396360199613</c:v>
                </c:pt>
                <c:pt idx="44">
                  <c:v>35.420932476641021</c:v>
                </c:pt>
                <c:pt idx="45">
                  <c:v>38.331024864795907</c:v>
                </c:pt>
                <c:pt idx="46">
                  <c:v>42.738257553954455</c:v>
                </c:pt>
                <c:pt idx="52">
                  <c:v>33.166764607229503</c:v>
                </c:pt>
                <c:pt idx="53">
                  <c:v>42.338572060158526</c:v>
                </c:pt>
                <c:pt idx="54">
                  <c:v>33.835785503086541</c:v>
                </c:pt>
                <c:pt idx="55">
                  <c:v>39.120121227480972</c:v>
                </c:pt>
                <c:pt idx="56">
                  <c:v>38.180460917954484</c:v>
                </c:pt>
                <c:pt idx="57">
                  <c:v>51.502044077429581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(All)'!$AG$7:$AG$107</c:f>
              <c:numCache>
                <c:formatCode>0.0000</c:formatCode>
                <c:ptCount val="76"/>
                <c:pt idx="35">
                  <c:v>52.31094480387835</c:v>
                </c:pt>
                <c:pt idx="36">
                  <c:v>42.010873402527714</c:v>
                </c:pt>
                <c:pt idx="37">
                  <c:v>70.728245282146062</c:v>
                </c:pt>
                <c:pt idx="38">
                  <c:v>44.298399356668476</c:v>
                </c:pt>
                <c:pt idx="39">
                  <c:v>48.303068815672084</c:v>
                </c:pt>
                <c:pt idx="40">
                  <c:v>57.512211716829384</c:v>
                </c:pt>
                <c:pt idx="41">
                  <c:v>39.462570222853692</c:v>
                </c:pt>
                <c:pt idx="42">
                  <c:v>38.583438288695639</c:v>
                </c:pt>
                <c:pt idx="43">
                  <c:v>49.02396360199613</c:v>
                </c:pt>
                <c:pt idx="44">
                  <c:v>35.420932476641021</c:v>
                </c:pt>
                <c:pt idx="45">
                  <c:v>38.331024864795907</c:v>
                </c:pt>
                <c:pt idx="46">
                  <c:v>42.738257553954455</c:v>
                </c:pt>
                <c:pt idx="52">
                  <c:v>33.166764607229503</c:v>
                </c:pt>
                <c:pt idx="53">
                  <c:v>42.338572060158526</c:v>
                </c:pt>
                <c:pt idx="54">
                  <c:v>33.835785503086541</c:v>
                </c:pt>
                <c:pt idx="55">
                  <c:v>39.120121227480972</c:v>
                </c:pt>
                <c:pt idx="56">
                  <c:v>38.180460917954484</c:v>
                </c:pt>
                <c:pt idx="57">
                  <c:v>51.502044077429581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07456"/>
        <c:axId val="704706896"/>
      </c:scatterChart>
      <c:valAx>
        <c:axId val="7047074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06896"/>
        <c:crosses val="autoZero"/>
        <c:crossBetween val="midCat"/>
        <c:majorUnit val="5"/>
      </c:valAx>
      <c:valAx>
        <c:axId val="70470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074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(Nallrihan), Bazaar (Local), in pound/cwts.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(All)'!$AH$7:$AH$107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(All)'!$AH$7:$AH$107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16976"/>
        <c:axId val="704716416"/>
      </c:scatterChart>
      <c:valAx>
        <c:axId val="7047169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16416"/>
        <c:crosses val="autoZero"/>
        <c:crossBetween val="midCat"/>
        <c:majorUnit val="5"/>
      </c:valAx>
      <c:valAx>
        <c:axId val="70471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169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Opium, in</a:t>
            </a:r>
            <a:r>
              <a:rPr lang="en-US" sz="2000" b="1" baseline="0">
                <a:solidFill>
                  <a:schemeClr val="tx1"/>
                </a:solidFill>
              </a:rPr>
              <a:t> pound/cwts.</a:t>
            </a:r>
            <a:endParaRPr lang="en-US" sz="20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9568237258822105"/>
          <c:y val="3.45361710644537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1294848573010613E-2"/>
          <c:y val="3.7703768565431867E-2"/>
          <c:w val="0.51979701879312823"/>
          <c:h val="0.90432163943954558"/>
        </c:manualLayout>
      </c:layout>
      <c:lineChart>
        <c:grouping val="standard"/>
        <c:varyColors val="0"/>
        <c:ser>
          <c:idx val="1"/>
          <c:order val="0"/>
          <c:tx>
            <c:strRef>
              <c:f>'Opium (All)'!$D$6</c:f>
              <c:strCache>
                <c:ptCount val="1"/>
                <c:pt idx="0">
                  <c:v>UK, Exports (foreign and colonial), in pound/cwts.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(All)'!$D$7:$D$107</c:f>
              <c:numCache>
                <c:formatCode>0.0000</c:formatCode>
                <c:ptCount val="76"/>
                <c:pt idx="4">
                  <c:v>86.333094524453543</c:v>
                </c:pt>
                <c:pt idx="5">
                  <c:v>76.999301996290612</c:v>
                </c:pt>
                <c:pt idx="6">
                  <c:v>83.999456088890625</c:v>
                </c:pt>
                <c:pt idx="7">
                  <c:v>83.532228784153318</c:v>
                </c:pt>
                <c:pt idx="8">
                  <c:v>106.95392487269686</c:v>
                </c:pt>
                <c:pt idx="9">
                  <c:v>107.33351041627139</c:v>
                </c:pt>
                <c:pt idx="10">
                  <c:v>104.06640019577453</c:v>
                </c:pt>
                <c:pt idx="11">
                  <c:v>90.066731007858806</c:v>
                </c:pt>
                <c:pt idx="12">
                  <c:v>95.199655589495478</c:v>
                </c:pt>
                <c:pt idx="13">
                  <c:v>102.19983469723253</c:v>
                </c:pt>
                <c:pt idx="14">
                  <c:v>92.400233976769442</c:v>
                </c:pt>
                <c:pt idx="15">
                  <c:v>80.266454545454536</c:v>
                </c:pt>
                <c:pt idx="16">
                  <c:v>93.333200882688928</c:v>
                </c:pt>
                <c:pt idx="17">
                  <c:v>91.467031154263097</c:v>
                </c:pt>
                <c:pt idx="18">
                  <c:v>139.9997741297947</c:v>
                </c:pt>
                <c:pt idx="19">
                  <c:v>180.60168346088238</c:v>
                </c:pt>
                <c:pt idx="20">
                  <c:v>146.06672251253207</c:v>
                </c:pt>
                <c:pt idx="21">
                  <c:v>111.91219229730741</c:v>
                </c:pt>
                <c:pt idx="22">
                  <c:v>112.30772724176299</c:v>
                </c:pt>
                <c:pt idx="23">
                  <c:v>119.72540177270858</c:v>
                </c:pt>
                <c:pt idx="24">
                  <c:v>121.91671617043222</c:v>
                </c:pt>
                <c:pt idx="25">
                  <c:v>117.26207478663969</c:v>
                </c:pt>
                <c:pt idx="26">
                  <c:v>105.81410267288926</c:v>
                </c:pt>
                <c:pt idx="27">
                  <c:v>108.18936032188867</c:v>
                </c:pt>
                <c:pt idx="28">
                  <c:v>91.329982823334817</c:v>
                </c:pt>
                <c:pt idx="29">
                  <c:v>90.370615224371392</c:v>
                </c:pt>
                <c:pt idx="30">
                  <c:v>109.56591478696743</c:v>
                </c:pt>
                <c:pt idx="31">
                  <c:v>94.463831513151845</c:v>
                </c:pt>
                <c:pt idx="32">
                  <c:v>86.587551485500427</c:v>
                </c:pt>
                <c:pt idx="33">
                  <c:v>81.846741708391377</c:v>
                </c:pt>
                <c:pt idx="34">
                  <c:v>88.166301579593579</c:v>
                </c:pt>
                <c:pt idx="35">
                  <c:v>70.928381264169943</c:v>
                </c:pt>
                <c:pt idx="36">
                  <c:v>65.679859388710355</c:v>
                </c:pt>
                <c:pt idx="37">
                  <c:v>76.374030475424547</c:v>
                </c:pt>
                <c:pt idx="38">
                  <c:v>69.34144195802368</c:v>
                </c:pt>
                <c:pt idx="39">
                  <c:v>62.686301978337369</c:v>
                </c:pt>
                <c:pt idx="40">
                  <c:v>69.497282099343963</c:v>
                </c:pt>
                <c:pt idx="41">
                  <c:v>60.112094752196384</c:v>
                </c:pt>
                <c:pt idx="42">
                  <c:v>52.264219353963696</c:v>
                </c:pt>
                <c:pt idx="43">
                  <c:v>59.781271464550102</c:v>
                </c:pt>
                <c:pt idx="44">
                  <c:v>57.687427290205811</c:v>
                </c:pt>
                <c:pt idx="45">
                  <c:v>58.564772162386085</c:v>
                </c:pt>
                <c:pt idx="46">
                  <c:v>57.142251532802597</c:v>
                </c:pt>
                <c:pt idx="47">
                  <c:v>53.822059992054029</c:v>
                </c:pt>
                <c:pt idx="48">
                  <c:v>60.197927349968886</c:v>
                </c:pt>
                <c:pt idx="49">
                  <c:v>56.611424941837967</c:v>
                </c:pt>
                <c:pt idx="50">
                  <c:v>58.035289850024135</c:v>
                </c:pt>
                <c:pt idx="51">
                  <c:v>59.968189976257882</c:v>
                </c:pt>
                <c:pt idx="52">
                  <c:v>56.6370877534602</c:v>
                </c:pt>
                <c:pt idx="53">
                  <c:v>58.06921445081214</c:v>
                </c:pt>
                <c:pt idx="54">
                  <c:v>63.016791905983482</c:v>
                </c:pt>
                <c:pt idx="55">
                  <c:v>57.73856392687653</c:v>
                </c:pt>
                <c:pt idx="56">
                  <c:v>57.733602229340974</c:v>
                </c:pt>
                <c:pt idx="57">
                  <c:v>76.178759534252862</c:v>
                </c:pt>
                <c:pt idx="58">
                  <c:v>73.780548203547966</c:v>
                </c:pt>
                <c:pt idx="59">
                  <c:v>78.002201905126611</c:v>
                </c:pt>
                <c:pt idx="60">
                  <c:v>90.153274838897588</c:v>
                </c:pt>
                <c:pt idx="61">
                  <c:v>102.57892958642208</c:v>
                </c:pt>
                <c:pt idx="62">
                  <c:v>128.15847786852652</c:v>
                </c:pt>
                <c:pt idx="63">
                  <c:v>113.55479301207045</c:v>
                </c:pt>
                <c:pt idx="64">
                  <c:v>106.20397161428826</c:v>
                </c:pt>
                <c:pt idx="65">
                  <c:v>120.19941627316517</c:v>
                </c:pt>
                <c:pt idx="66">
                  <c:v>137.28445804573309</c:v>
                </c:pt>
                <c:pt idx="67">
                  <c:v>232.39311380114344</c:v>
                </c:pt>
                <c:pt idx="68">
                  <c:v>333.87042645087627</c:v>
                </c:pt>
                <c:pt idx="69">
                  <c:v>255.21626912781176</c:v>
                </c:pt>
                <c:pt idx="70">
                  <c:v>135.02193606348729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'Opium (All)'!$C$6</c:f>
              <c:strCache>
                <c:ptCount val="1"/>
                <c:pt idx="0">
                  <c:v>UK, Imports, in pound/cwts.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(All)'!$C$7:$C$107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4"/>
          <c:order val="2"/>
          <c:tx>
            <c:strRef>
              <c:f>'Opium (All)'!$E$6</c:f>
              <c:strCache>
                <c:ptCount val="1"/>
                <c:pt idx="0">
                  <c:v>Baghdad, Imports, in pound/cwts.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(All)'!$E$7:$E$107</c:f>
              <c:numCache>
                <c:formatCode>0.0000</c:formatCode>
                <c:ptCount val="76"/>
                <c:pt idx="28">
                  <c:v>49.41176470588232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'Opium (All)'!$F$6</c:f>
              <c:strCache>
                <c:ptCount val="1"/>
                <c:pt idx="0">
                  <c:v>Baghdad, Exports, in pound/cwts.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(All)'!$F$7:$F$107</c:f>
              <c:numCache>
                <c:formatCode>0.0000</c:formatCode>
                <c:ptCount val="76"/>
                <c:pt idx="37">
                  <c:v>28.4375</c:v>
                </c:pt>
                <c:pt idx="38">
                  <c:v>67.999999999999986</c:v>
                </c:pt>
                <c:pt idx="39">
                  <c:v>65.384615384615415</c:v>
                </c:pt>
                <c:pt idx="40">
                  <c:v>58.3333333333333</c:v>
                </c:pt>
                <c:pt idx="41">
                  <c:v>51.764705882352963</c:v>
                </c:pt>
                <c:pt idx="42">
                  <c:v>38.5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'Opium (All)'!$G$6</c:f>
              <c:strCache>
                <c:ptCount val="1"/>
                <c:pt idx="0">
                  <c:v>Baghdad, Bazaar (Local),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(All)'!$G$7:$G$107</c:f>
              <c:numCache>
                <c:formatCode>0.0000</c:formatCode>
                <c:ptCount val="76"/>
                <c:pt idx="45">
                  <c:v>56.38626182180186</c:v>
                </c:pt>
                <c:pt idx="47">
                  <c:v>41.820938198199443</c:v>
                </c:pt>
                <c:pt idx="48">
                  <c:v>52.491062944024655</c:v>
                </c:pt>
                <c:pt idx="49">
                  <c:v>59.126506648092573</c:v>
                </c:pt>
                <c:pt idx="52">
                  <c:v>44.001879246926158</c:v>
                </c:pt>
                <c:pt idx="54">
                  <c:v>61.516280187432343</c:v>
                </c:pt>
                <c:pt idx="55">
                  <c:v>74.592943973706028</c:v>
                </c:pt>
                <c:pt idx="57">
                  <c:v>65.603119296499131</c:v>
                </c:pt>
                <c:pt idx="59">
                  <c:v>71.677451468392221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'Opium (All)'!$H$6</c:f>
              <c:strCache>
                <c:ptCount val="1"/>
                <c:pt idx="0">
                  <c:v>Basrah, Imports,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(All)'!$H$7:$H$107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1"/>
          <c:order val="6"/>
          <c:tx>
            <c:strRef>
              <c:f>'Opium (All)'!$I$6</c:f>
              <c:strCache>
                <c:ptCount val="1"/>
                <c:pt idx="0">
                  <c:v>Basrah, Exports,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(All)'!$I$7:$I$107</c:f>
              <c:numCache>
                <c:formatCode>0.0000</c:formatCode>
                <c:ptCount val="76"/>
                <c:pt idx="37">
                  <c:v>56.123284147510716</c:v>
                </c:pt>
                <c:pt idx="38">
                  <c:v>81.600539507699409</c:v>
                </c:pt>
                <c:pt idx="39">
                  <c:v>81.776336383182894</c:v>
                </c:pt>
                <c:pt idx="40">
                  <c:v>81.458747578854357</c:v>
                </c:pt>
                <c:pt idx="41">
                  <c:v>30.622009569377965</c:v>
                </c:pt>
                <c:pt idx="42">
                  <c:v>79.641612742658054</c:v>
                </c:pt>
                <c:pt idx="43">
                  <c:v>79.641612742658054</c:v>
                </c:pt>
                <c:pt idx="46">
                  <c:v>79.641612742658054</c:v>
                </c:pt>
                <c:pt idx="47">
                  <c:v>79.641612742658054</c:v>
                </c:pt>
                <c:pt idx="48">
                  <c:v>79.641612742658054</c:v>
                </c:pt>
                <c:pt idx="49">
                  <c:v>79.641612742658054</c:v>
                </c:pt>
                <c:pt idx="50">
                  <c:v>79.641612742658054</c:v>
                </c:pt>
                <c:pt idx="51">
                  <c:v>79.641612742658054</c:v>
                </c:pt>
                <c:pt idx="52">
                  <c:v>79.641612742658054</c:v>
                </c:pt>
                <c:pt idx="53">
                  <c:v>79.641612742658054</c:v>
                </c:pt>
                <c:pt idx="54">
                  <c:v>79.641612742658054</c:v>
                </c:pt>
                <c:pt idx="55">
                  <c:v>79.641612742658054</c:v>
                </c:pt>
                <c:pt idx="56">
                  <c:v>79.641612742658054</c:v>
                </c:pt>
                <c:pt idx="57">
                  <c:v>79.641612742658054</c:v>
                </c:pt>
                <c:pt idx="58">
                  <c:v>79.641612742658054</c:v>
                </c:pt>
                <c:pt idx="59">
                  <c:v>79.641612742658054</c:v>
                </c:pt>
                <c:pt idx="60">
                  <c:v>79.641612742658054</c:v>
                </c:pt>
                <c:pt idx="61">
                  <c:v>79.641612742658054</c:v>
                </c:pt>
                <c:pt idx="62">
                  <c:v>79.641612742658054</c:v>
                </c:pt>
                <c:pt idx="63">
                  <c:v>79.641612742658054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'Opium (All)'!$J$6</c:f>
              <c:strCache>
                <c:ptCount val="1"/>
                <c:pt idx="0">
                  <c:v>Basrah, Bazaar (Local),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(All)'!$J$7:$J$107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5"/>
          <c:order val="8"/>
          <c:tx>
            <c:strRef>
              <c:f>'Opium (All)'!$K$6</c:f>
              <c:strCache>
                <c:ptCount val="1"/>
                <c:pt idx="0">
                  <c:v>Mosul, Imports,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(All)'!$K$7:$K$107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7"/>
          <c:order val="9"/>
          <c:tx>
            <c:strRef>
              <c:f>'Opium (All)'!$L$6</c:f>
              <c:strCache>
                <c:ptCount val="1"/>
                <c:pt idx="0">
                  <c:v>Mosul, Exports,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(All)'!$L$7:$L$107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9"/>
          <c:order val="10"/>
          <c:tx>
            <c:strRef>
              <c:f>'Opium (All)'!$M$6</c:f>
              <c:strCache>
                <c:ptCount val="1"/>
                <c:pt idx="0">
                  <c:v>Mosul, Bazaar (Local),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(All)'!$M$7:$M$107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21"/>
          <c:order val="11"/>
          <c:tx>
            <c:strRef>
              <c:f>'Opium (All)'!$Q$6</c:f>
              <c:strCache>
                <c:ptCount val="1"/>
                <c:pt idx="0">
                  <c:v>Palestine, Imports,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(All)'!$Q$7:$Q$107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23"/>
          <c:order val="12"/>
          <c:tx>
            <c:strRef>
              <c:f>'Opium (All)'!$R$6</c:f>
              <c:strCache>
                <c:ptCount val="1"/>
                <c:pt idx="0">
                  <c:v>Palestine, Exports,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(All)'!$R$7:$R$107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25"/>
          <c:order val="13"/>
          <c:tx>
            <c:strRef>
              <c:f>'Opium (All)'!$S$6</c:f>
              <c:strCache>
                <c:ptCount val="1"/>
                <c:pt idx="0">
                  <c:v>Palestine, Bazaar (Local),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(All)'!$S$7:$S$107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29"/>
          <c:order val="14"/>
          <c:tx>
            <c:strRef>
              <c:f>'Opium (All)'!$U$6</c:f>
              <c:strCache>
                <c:ptCount val="1"/>
                <c:pt idx="0">
                  <c:v>Damascus, Exports,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(All)'!$U$7:$U$107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31"/>
          <c:order val="15"/>
          <c:tx>
            <c:strRef>
              <c:f>'Opium (All)'!$V$6</c:f>
              <c:strCache>
                <c:ptCount val="1"/>
                <c:pt idx="0">
                  <c:v>Damascus, Bazaar (Local),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(All)'!$V$7:$V$107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33"/>
          <c:order val="16"/>
          <c:tx>
            <c:strRef>
              <c:f>'Opium (All)'!$W$6</c:f>
              <c:strCache>
                <c:ptCount val="1"/>
                <c:pt idx="0">
                  <c:v>Beirut, Imports,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(All)'!$W$7:$W$107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35"/>
          <c:order val="17"/>
          <c:tx>
            <c:strRef>
              <c:f>'Opium (All)'!$X$6</c:f>
              <c:strCache>
                <c:ptCount val="1"/>
                <c:pt idx="0">
                  <c:v>Beirut, Exports,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(All)'!$X$7:$X$107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37"/>
          <c:order val="18"/>
          <c:tx>
            <c:strRef>
              <c:f>'Opium (All)'!$Y$6</c:f>
              <c:strCache>
                <c:ptCount val="1"/>
                <c:pt idx="0">
                  <c:v>Beirut, Bazaar (Local),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(All)'!$Y$7:$Y$107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38"/>
          <c:order val="19"/>
          <c:tx>
            <c:strRef>
              <c:f>'Opium (All)'!$Z$6</c:f>
              <c:strCache>
                <c:ptCount val="1"/>
                <c:pt idx="0">
                  <c:v>Istanbul (Malatya), Imports, in pound/cwts.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(All)'!$Z$7:$Z$107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40"/>
          <c:order val="20"/>
          <c:tx>
            <c:strRef>
              <c:f>'Opium (All)'!$AA$6</c:f>
              <c:strCache>
                <c:ptCount val="1"/>
                <c:pt idx="0">
                  <c:v>Istanbul (Malatya), Exports, in pound/cwts.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(All)'!$AA$7:$AA$107</c:f>
              <c:numCache>
                <c:formatCode>0.0000</c:formatCode>
                <c:ptCount val="76"/>
                <c:pt idx="26">
                  <c:v>83.140533774268249</c:v>
                </c:pt>
                <c:pt idx="27">
                  <c:v>77.178936052942845</c:v>
                </c:pt>
                <c:pt idx="28">
                  <c:v>65.531256134515786</c:v>
                </c:pt>
                <c:pt idx="29">
                  <c:v>73.075122711499191</c:v>
                </c:pt>
                <c:pt idx="30">
                  <c:v>106.47234479809796</c:v>
                </c:pt>
                <c:pt idx="35">
                  <c:v>70.103783172544453</c:v>
                </c:pt>
                <c:pt idx="36">
                  <c:v>57.809079997175743</c:v>
                </c:pt>
                <c:pt idx="37">
                  <c:v>82.232236984663786</c:v>
                </c:pt>
                <c:pt idx="38">
                  <c:v>64.442624087817009</c:v>
                </c:pt>
                <c:pt idx="39">
                  <c:v>70.76877651755855</c:v>
                </c:pt>
                <c:pt idx="40">
                  <c:v>65.297927377995165</c:v>
                </c:pt>
                <c:pt idx="41">
                  <c:v>46.978075784045387</c:v>
                </c:pt>
                <c:pt idx="42">
                  <c:v>38.870214090429478</c:v>
                </c:pt>
                <c:pt idx="43">
                  <c:v>55.000383193052201</c:v>
                </c:pt>
                <c:pt idx="44">
                  <c:v>46.459083527501235</c:v>
                </c:pt>
                <c:pt idx="45">
                  <c:v>41.836870056610458</c:v>
                </c:pt>
                <c:pt idx="46">
                  <c:v>56.90372978807283</c:v>
                </c:pt>
                <c:pt idx="47">
                  <c:v>43.174121610931337</c:v>
                </c:pt>
                <c:pt idx="48">
                  <c:v>50.357914848673069</c:v>
                </c:pt>
                <c:pt idx="49">
                  <c:v>42.964286191225561</c:v>
                </c:pt>
                <c:pt idx="50">
                  <c:v>47.1807003502349</c:v>
                </c:pt>
                <c:pt idx="51">
                  <c:v>50.530176815088147</c:v>
                </c:pt>
                <c:pt idx="53">
                  <c:v>45.362755778741274</c:v>
                </c:pt>
                <c:pt idx="54">
                  <c:v>39.584445518998798</c:v>
                </c:pt>
                <c:pt idx="55">
                  <c:v>39.060299147705202</c:v>
                </c:pt>
                <c:pt idx="56">
                  <c:v>46.357442964549733</c:v>
                </c:pt>
                <c:pt idx="57">
                  <c:v>59.356775236552288</c:v>
                </c:pt>
                <c:pt idx="58">
                  <c:v>70.542322183923545</c:v>
                </c:pt>
              </c:numCache>
            </c:numRef>
          </c:val>
          <c:smooth val="0"/>
        </c:ser>
        <c:ser>
          <c:idx val="42"/>
          <c:order val="21"/>
          <c:tx>
            <c:strRef>
              <c:f>'Opium (All)'!$AB$6</c:f>
              <c:strCache>
                <c:ptCount val="1"/>
                <c:pt idx="0">
                  <c:v>Istanbul (Malatya), Bazaar (Local), in pound/cwts.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(All)'!$AB$7:$AB$107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43"/>
          <c:order val="22"/>
          <c:tx>
            <c:strRef>
              <c:f>'Opium (All)'!$AC$6</c:f>
              <c:strCache>
                <c:ptCount val="1"/>
                <c:pt idx="0">
                  <c:v>Istanbul (Geyve),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(All)'!$AC$7:$AC$107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45"/>
          <c:order val="23"/>
          <c:tx>
            <c:strRef>
              <c:f>'Opium (All)'!$AD$6</c:f>
              <c:strCache>
                <c:ptCount val="1"/>
                <c:pt idx="0">
                  <c:v>Istanbul (Geyve),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(All)'!$AD$7:$AD$107</c:f>
              <c:numCache>
                <c:formatCode>0.0000</c:formatCode>
                <c:ptCount val="76"/>
                <c:pt idx="26">
                  <c:v>75.287776261653505</c:v>
                </c:pt>
                <c:pt idx="27">
                  <c:v>71.661776208014444</c:v>
                </c:pt>
                <c:pt idx="28">
                  <c:v>61.113418642301248</c:v>
                </c:pt>
                <c:pt idx="29">
                  <c:v>63.116989756825959</c:v>
                </c:pt>
                <c:pt idx="30">
                  <c:v>97.61151129050225</c:v>
                </c:pt>
                <c:pt idx="35">
                  <c:v>51.777159652818369</c:v>
                </c:pt>
                <c:pt idx="36">
                  <c:v>40.821153710372094</c:v>
                </c:pt>
                <c:pt idx="37">
                  <c:v>69.238691393553395</c:v>
                </c:pt>
                <c:pt idx="38">
                  <c:v>42.513866681162874</c:v>
                </c:pt>
                <c:pt idx="39">
                  <c:v>46.728672019923877</c:v>
                </c:pt>
                <c:pt idx="40">
                  <c:v>57.810556315110446</c:v>
                </c:pt>
                <c:pt idx="41">
                  <c:v>39.610554861189392</c:v>
                </c:pt>
                <c:pt idx="42">
                  <c:v>36.278866484400844</c:v>
                </c:pt>
                <c:pt idx="43">
                  <c:v>48.157815835176415</c:v>
                </c:pt>
                <c:pt idx="44">
                  <c:v>41.351879309939044</c:v>
                </c:pt>
                <c:pt idx="45">
                  <c:v>38.314121078914447</c:v>
                </c:pt>
                <c:pt idx="46">
                  <c:v>43.655830196787129</c:v>
                </c:pt>
                <c:pt idx="47">
                  <c:v>38.422351620297917</c:v>
                </c:pt>
                <c:pt idx="48">
                  <c:v>44.888003408213756</c:v>
                </c:pt>
                <c:pt idx="49">
                  <c:v>40.139427860272107</c:v>
                </c:pt>
                <c:pt idx="50">
                  <c:v>44.007953062267475</c:v>
                </c:pt>
                <c:pt idx="51">
                  <c:v>43.560497254386334</c:v>
                </c:pt>
                <c:pt idx="52">
                  <c:v>35.858308331899963</c:v>
                </c:pt>
                <c:pt idx="53">
                  <c:v>42.811767865536758</c:v>
                </c:pt>
                <c:pt idx="54">
                  <c:v>34.056887811390858</c:v>
                </c:pt>
                <c:pt idx="55">
                  <c:v>35.013511398168177</c:v>
                </c:pt>
                <c:pt idx="56">
                  <c:v>38.622364400801182</c:v>
                </c:pt>
                <c:pt idx="57">
                  <c:v>55.072376422485362</c:v>
                </c:pt>
                <c:pt idx="58">
                  <c:v>62.903981565282145</c:v>
                </c:pt>
              </c:numCache>
            </c:numRef>
          </c:val>
          <c:smooth val="0"/>
        </c:ser>
        <c:ser>
          <c:idx val="47"/>
          <c:order val="24"/>
          <c:tx>
            <c:strRef>
              <c:f>'Opium (All)'!$AE$6</c:f>
              <c:strCache>
                <c:ptCount val="1"/>
                <c:pt idx="0">
                  <c:v>Istanbul (Geyve),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(All)'!$AE$7:$AE$107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49"/>
          <c:order val="25"/>
          <c:tx>
            <c:strRef>
              <c:f>'Opium (All)'!$AI$6</c:f>
              <c:strCache>
                <c:ptCount val="1"/>
                <c:pt idx="0">
                  <c:v>Turkey,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(All)'!$AI$7:$AI$107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51"/>
          <c:order val="26"/>
          <c:tx>
            <c:strRef>
              <c:f>'Opium (All)'!$AJ$6</c:f>
              <c:strCache>
                <c:ptCount val="1"/>
                <c:pt idx="0">
                  <c:v>Turkey,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(All)'!$AJ$7:$AJ$107</c:f>
              <c:numCache>
                <c:formatCode>0.0000</c:formatCode>
                <c:ptCount val="76"/>
                <c:pt idx="42">
                  <c:v>56.373754912555505</c:v>
                </c:pt>
                <c:pt idx="43">
                  <c:v>55.375434909965001</c:v>
                </c:pt>
                <c:pt idx="44">
                  <c:v>56.619352845779503</c:v>
                </c:pt>
                <c:pt idx="45">
                  <c:v>57.058057654723996</c:v>
                </c:pt>
                <c:pt idx="46">
                  <c:v>56.409279483037011</c:v>
                </c:pt>
                <c:pt idx="50">
                  <c:v>55.008849557522005</c:v>
                </c:pt>
                <c:pt idx="61">
                  <c:v>113.0718954248365</c:v>
                </c:pt>
              </c:numCache>
            </c:numRef>
          </c:val>
          <c:smooth val="0"/>
        </c:ser>
        <c:ser>
          <c:idx val="53"/>
          <c:order val="27"/>
          <c:tx>
            <c:strRef>
              <c:f>'Opium (All)'!$AK$6</c:f>
              <c:strCache>
                <c:ptCount val="1"/>
                <c:pt idx="0">
                  <c:v>Turkey,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(All)'!$AK$7:$AK$107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55"/>
          <c:order val="28"/>
          <c:tx>
            <c:strRef>
              <c:f>'Opium (All)'!$AL$6</c:f>
              <c:strCache>
                <c:ptCount val="1"/>
                <c:pt idx="0">
                  <c:v>Constantinople, Imports, in pound/cwts.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(All)'!$AL$7:$AL$107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57"/>
          <c:order val="29"/>
          <c:tx>
            <c:strRef>
              <c:f>'Opium (All)'!$AM$6</c:f>
              <c:strCache>
                <c:ptCount val="1"/>
                <c:pt idx="0">
                  <c:v>Constantinople, Exports, in pound/cwts.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(All)'!$AM$7:$AM$107</c:f>
              <c:numCache>
                <c:formatCode>0.0000</c:formatCode>
                <c:ptCount val="76"/>
                <c:pt idx="31">
                  <c:v>89.600000000000009</c:v>
                </c:pt>
                <c:pt idx="35">
                  <c:v>64.399999999999991</c:v>
                </c:pt>
                <c:pt idx="36">
                  <c:v>49.532974808944253</c:v>
                </c:pt>
                <c:pt idx="37">
                  <c:v>97.264750533926872</c:v>
                </c:pt>
                <c:pt idx="39">
                  <c:v>57.86666666666671</c:v>
                </c:pt>
                <c:pt idx="41">
                  <c:v>39.199999999999996</c:v>
                </c:pt>
                <c:pt idx="42">
                  <c:v>37.1</c:v>
                </c:pt>
                <c:pt idx="43">
                  <c:v>52.266666666666708</c:v>
                </c:pt>
                <c:pt idx="56">
                  <c:v>102.2</c:v>
                </c:pt>
                <c:pt idx="57">
                  <c:v>67.68292682926851</c:v>
                </c:pt>
                <c:pt idx="61">
                  <c:v>109.2</c:v>
                </c:pt>
                <c:pt idx="62">
                  <c:v>75.133333333333297</c:v>
                </c:pt>
              </c:numCache>
            </c:numRef>
          </c:val>
          <c:smooth val="0"/>
        </c:ser>
        <c:ser>
          <c:idx val="59"/>
          <c:order val="30"/>
          <c:tx>
            <c:strRef>
              <c:f>'Opium (All)'!$AN$6</c:f>
              <c:strCache>
                <c:ptCount val="1"/>
                <c:pt idx="0">
                  <c:v>Constantinople, Bazaar (Local), in pound/cwts.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(All)'!$AN$7:$AN$107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61"/>
          <c:order val="31"/>
          <c:tx>
            <c:strRef>
              <c:f>'Opium (All)'!$AO$6</c:f>
              <c:strCache>
                <c:ptCount val="1"/>
                <c:pt idx="0">
                  <c:v>Trebizond (Anatolia),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(All)'!$AO$7:$AO$107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63"/>
          <c:order val="32"/>
          <c:tx>
            <c:strRef>
              <c:f>'Opium (All)'!$AP$6</c:f>
              <c:strCache>
                <c:ptCount val="1"/>
                <c:pt idx="0">
                  <c:v>Trebizond (Anatolia),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(All)'!$AP$7:$AP$107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65"/>
          <c:order val="33"/>
          <c:tx>
            <c:strRef>
              <c:f>'Opium (All)'!$AQ$6</c:f>
              <c:strCache>
                <c:ptCount val="1"/>
                <c:pt idx="0">
                  <c:v>Trebizond (Anatolia),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(All)'!$AQ$7:$AQ$107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67"/>
          <c:order val="34"/>
          <c:tx>
            <c:strRef>
              <c:f>'Opium (All)'!$AR$6</c:f>
              <c:strCache>
                <c:ptCount val="1"/>
                <c:pt idx="0">
                  <c:v>Trebizond (Persia),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(All)'!$AR$7:$AR$107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69"/>
          <c:order val="35"/>
          <c:tx>
            <c:strRef>
              <c:f>'Opium (All)'!$AS$6</c:f>
              <c:strCache>
                <c:ptCount val="1"/>
                <c:pt idx="0">
                  <c:v>Trebizond (Persia),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(All)'!$AS$7:$AS$107</c:f>
              <c:numCache>
                <c:formatCode>0.0000</c:formatCode>
                <c:ptCount val="76"/>
                <c:pt idx="33">
                  <c:v>85.712500000000006</c:v>
                </c:pt>
                <c:pt idx="34">
                  <c:v>85.714285714285708</c:v>
                </c:pt>
                <c:pt idx="44">
                  <c:v>17.777777777777779</c:v>
                </c:pt>
                <c:pt idx="45">
                  <c:v>26.68</c:v>
                </c:pt>
                <c:pt idx="46">
                  <c:v>49.375</c:v>
                </c:pt>
                <c:pt idx="47">
                  <c:v>51.111111111111114</c:v>
                </c:pt>
                <c:pt idx="48">
                  <c:v>38.4</c:v>
                </c:pt>
                <c:pt idx="49">
                  <c:v>40</c:v>
                </c:pt>
                <c:pt idx="50">
                  <c:v>40</c:v>
                </c:pt>
                <c:pt idx="51">
                  <c:v>41.142857142857146</c:v>
                </c:pt>
                <c:pt idx="52">
                  <c:v>40</c:v>
                </c:pt>
                <c:pt idx="53">
                  <c:v>40</c:v>
                </c:pt>
              </c:numCache>
            </c:numRef>
          </c:val>
          <c:smooth val="0"/>
        </c:ser>
        <c:ser>
          <c:idx val="71"/>
          <c:order val="36"/>
          <c:tx>
            <c:strRef>
              <c:f>'Opium (All)'!$AT$6</c:f>
              <c:strCache>
                <c:ptCount val="1"/>
                <c:pt idx="0">
                  <c:v>Trebizond (Persia),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(All)'!$AT$7:$AT$107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73"/>
          <c:order val="37"/>
          <c:tx>
            <c:strRef>
              <c:f>'Opium (All)'!$AU$6</c:f>
              <c:strCache>
                <c:ptCount val="1"/>
                <c:pt idx="0">
                  <c:v>Izmir,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(All)'!$AU$7:$AU$107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75"/>
          <c:order val="38"/>
          <c:tx>
            <c:strRef>
              <c:f>'Opium (All)'!$AV$6</c:f>
              <c:strCache>
                <c:ptCount val="1"/>
                <c:pt idx="0">
                  <c:v>Izmir,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(All)'!$AV$7:$AV$107</c:f>
              <c:numCache>
                <c:formatCode>0.0000</c:formatCode>
                <c:ptCount val="76"/>
                <c:pt idx="14">
                  <c:v>75.600000000000009</c:v>
                </c:pt>
                <c:pt idx="15">
                  <c:v>6.5333333333333297</c:v>
                </c:pt>
                <c:pt idx="16">
                  <c:v>95.2</c:v>
                </c:pt>
                <c:pt idx="18">
                  <c:v>106.39999999999999</c:v>
                </c:pt>
                <c:pt idx="19">
                  <c:v>235.20000000000002</c:v>
                </c:pt>
                <c:pt idx="21">
                  <c:v>95.2</c:v>
                </c:pt>
                <c:pt idx="22">
                  <c:v>156.79999999999998</c:v>
                </c:pt>
                <c:pt idx="24">
                  <c:v>156.79999999999998</c:v>
                </c:pt>
                <c:pt idx="25">
                  <c:v>89.600000000000009</c:v>
                </c:pt>
                <c:pt idx="26">
                  <c:v>117.60000000000001</c:v>
                </c:pt>
                <c:pt idx="27">
                  <c:v>111.719875401682</c:v>
                </c:pt>
                <c:pt idx="28">
                  <c:v>95.569935291189495</c:v>
                </c:pt>
                <c:pt idx="29">
                  <c:v>100.33933223710851</c:v>
                </c:pt>
                <c:pt idx="30">
                  <c:v>131.962769852267</c:v>
                </c:pt>
                <c:pt idx="31">
                  <c:v>79.641612742658012</c:v>
                </c:pt>
                <c:pt idx="32">
                  <c:v>79.641612742658012</c:v>
                </c:pt>
                <c:pt idx="33">
                  <c:v>71.677451468391993</c:v>
                </c:pt>
                <c:pt idx="34">
                  <c:v>79.641612742658012</c:v>
                </c:pt>
                <c:pt idx="35">
                  <c:v>70.084619213539</c:v>
                </c:pt>
                <c:pt idx="36">
                  <c:v>81.035289742595012</c:v>
                </c:pt>
                <c:pt idx="38">
                  <c:v>63.7132901941265</c:v>
                </c:pt>
                <c:pt idx="39">
                  <c:v>62.056317043104507</c:v>
                </c:pt>
                <c:pt idx="40">
                  <c:v>54.15629666500751</c:v>
                </c:pt>
                <c:pt idx="41">
                  <c:v>50.970632155301004</c:v>
                </c:pt>
                <c:pt idx="42">
                  <c:v>50.970632155301004</c:v>
                </c:pt>
                <c:pt idx="44">
                  <c:v>59.606314189388506</c:v>
                </c:pt>
                <c:pt idx="48">
                  <c:v>68.027491408934495</c:v>
                </c:pt>
                <c:pt idx="49">
                  <c:v>104.18681856440952</c:v>
                </c:pt>
                <c:pt idx="50">
                  <c:v>66.103703703703502</c:v>
                </c:pt>
                <c:pt idx="51">
                  <c:v>66.761777777778008</c:v>
                </c:pt>
                <c:pt idx="52">
                  <c:v>66.896666666666505</c:v>
                </c:pt>
                <c:pt idx="53">
                  <c:v>53.326288659794002</c:v>
                </c:pt>
                <c:pt idx="54">
                  <c:v>59.541237113401998</c:v>
                </c:pt>
                <c:pt idx="55">
                  <c:v>54.513526570048498</c:v>
                </c:pt>
                <c:pt idx="56">
                  <c:v>54.913833992095</c:v>
                </c:pt>
                <c:pt idx="57">
                  <c:v>55.597000000000008</c:v>
                </c:pt>
                <c:pt idx="58">
                  <c:v>44.371341463414652</c:v>
                </c:pt>
                <c:pt idx="60">
                  <c:v>86.501666666666495</c:v>
                </c:pt>
              </c:numCache>
            </c:numRef>
          </c:val>
          <c:smooth val="0"/>
        </c:ser>
        <c:ser>
          <c:idx val="77"/>
          <c:order val="39"/>
          <c:tx>
            <c:strRef>
              <c:f>'Opium (All)'!$AW$6</c:f>
              <c:strCache>
                <c:ptCount val="1"/>
                <c:pt idx="0">
                  <c:v>Izmir,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(All)'!$AW$7:$AW$107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79"/>
          <c:order val="40"/>
          <c:tx>
            <c:strRef>
              <c:f>'Opium (All)'!$AX$6</c:f>
              <c:strCache>
                <c:ptCount val="1"/>
                <c:pt idx="0">
                  <c:v>Alexandretta,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(All)'!$AX$7:$AX$107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81"/>
          <c:order val="41"/>
          <c:tx>
            <c:strRef>
              <c:f>'Opium (All)'!$AY$6</c:f>
              <c:strCache>
                <c:ptCount val="1"/>
                <c:pt idx="0">
                  <c:v>Alexandretta,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(All)'!$AY$7:$AY$107</c:f>
              <c:numCache>
                <c:formatCode>0.0000</c:formatCode>
                <c:ptCount val="76"/>
                <c:pt idx="40">
                  <c:v>40.271428571428551</c:v>
                </c:pt>
                <c:pt idx="41">
                  <c:v>40.24999999999995</c:v>
                </c:pt>
                <c:pt idx="42">
                  <c:v>40.24999999999995</c:v>
                </c:pt>
                <c:pt idx="43">
                  <c:v>40.264285714285705</c:v>
                </c:pt>
                <c:pt idx="44">
                  <c:v>40.24999999999995</c:v>
                </c:pt>
                <c:pt idx="45">
                  <c:v>40.24999999999995</c:v>
                </c:pt>
                <c:pt idx="46">
                  <c:v>40.549999999999955</c:v>
                </c:pt>
                <c:pt idx="47">
                  <c:v>40.24999999999995</c:v>
                </c:pt>
                <c:pt idx="48">
                  <c:v>40.99999999999995</c:v>
                </c:pt>
                <c:pt idx="49">
                  <c:v>42.24999999999995</c:v>
                </c:pt>
                <c:pt idx="50">
                  <c:v>42.77777777777775</c:v>
                </c:pt>
                <c:pt idx="51">
                  <c:v>42.18749999999995</c:v>
                </c:pt>
                <c:pt idx="52">
                  <c:v>42.49999999999995</c:v>
                </c:pt>
                <c:pt idx="53">
                  <c:v>42.019230769230752</c:v>
                </c:pt>
                <c:pt idx="54">
                  <c:v>42.2222222222222</c:v>
                </c:pt>
                <c:pt idx="55">
                  <c:v>42.24999999999995</c:v>
                </c:pt>
                <c:pt idx="56">
                  <c:v>42.2222222222222</c:v>
                </c:pt>
                <c:pt idx="57">
                  <c:v>42.142857142857103</c:v>
                </c:pt>
                <c:pt idx="58">
                  <c:v>42.071428571428555</c:v>
                </c:pt>
                <c:pt idx="59">
                  <c:v>42.099999999999952</c:v>
                </c:pt>
                <c:pt idx="60">
                  <c:v>41.99999999999995</c:v>
                </c:pt>
                <c:pt idx="61">
                  <c:v>41.745000000000005</c:v>
                </c:pt>
                <c:pt idx="62">
                  <c:v>41.745000000000005</c:v>
                </c:pt>
                <c:pt idx="63">
                  <c:v>41.414999999999999</c:v>
                </c:pt>
              </c:numCache>
            </c:numRef>
          </c:val>
          <c:smooth val="0"/>
        </c:ser>
        <c:ser>
          <c:idx val="83"/>
          <c:order val="42"/>
          <c:tx>
            <c:strRef>
              <c:f>'Opium (All)'!$AZ$6</c:f>
              <c:strCache>
                <c:ptCount val="1"/>
                <c:pt idx="0">
                  <c:v>Alexandretta,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(All)'!$AZ$7:$AZ$107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85"/>
          <c:order val="43"/>
          <c:tx>
            <c:strRef>
              <c:f>'Opium (All)'!$BA$6</c:f>
              <c:strCache>
                <c:ptCount val="1"/>
                <c:pt idx="0">
                  <c:v>Ispahan,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(All)'!$BA$7:$BA$107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87"/>
          <c:order val="44"/>
          <c:tx>
            <c:strRef>
              <c:f>'Opium (All)'!$BB$6</c:f>
              <c:strCache>
                <c:ptCount val="1"/>
                <c:pt idx="0">
                  <c:v>Ispahan,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(All)'!$BB$7:$BB$107</c:f>
              <c:numCache>
                <c:formatCode>0.0000</c:formatCode>
                <c:ptCount val="76"/>
                <c:pt idx="44">
                  <c:v>62.030769230769231</c:v>
                </c:pt>
                <c:pt idx="45">
                  <c:v>49.107692307692304</c:v>
                </c:pt>
                <c:pt idx="48">
                  <c:v>50.051282051282044</c:v>
                </c:pt>
                <c:pt idx="51">
                  <c:v>40.743589743589745</c:v>
                </c:pt>
                <c:pt idx="52">
                  <c:v>48.533333333333324</c:v>
                </c:pt>
                <c:pt idx="55">
                  <c:v>73.34282861025163</c:v>
                </c:pt>
                <c:pt idx="60">
                  <c:v>80.84</c:v>
                </c:pt>
                <c:pt idx="61">
                  <c:v>113.75291375291376</c:v>
                </c:pt>
                <c:pt idx="62">
                  <c:v>85.256159561986706</c:v>
                </c:pt>
              </c:numCache>
            </c:numRef>
          </c:val>
          <c:smooth val="0"/>
        </c:ser>
        <c:ser>
          <c:idx val="89"/>
          <c:order val="45"/>
          <c:tx>
            <c:strRef>
              <c:f>'Opium (All)'!$BC$6</c:f>
              <c:strCache>
                <c:ptCount val="1"/>
                <c:pt idx="0">
                  <c:v>Ispahan,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(All)'!$BC$7:$BC$107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91"/>
          <c:order val="46"/>
          <c:tx>
            <c:strRef>
              <c:f>'Opium (All)'!$BD$6</c:f>
              <c:strCache>
                <c:ptCount val="1"/>
                <c:pt idx="0">
                  <c:v>Yezd,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(All)'!$BD$7:$BD$107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93"/>
          <c:order val="47"/>
          <c:tx>
            <c:strRef>
              <c:f>'Opium (All)'!$BE$6</c:f>
              <c:strCache>
                <c:ptCount val="1"/>
                <c:pt idx="0">
                  <c:v>Yezd,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(All)'!$BE$7:$BE$107</c:f>
              <c:numCache>
                <c:formatCode>0.0000</c:formatCode>
                <c:ptCount val="76"/>
                <c:pt idx="55">
                  <c:v>64.174975033970185</c:v>
                </c:pt>
                <c:pt idx="56">
                  <c:v>79.139880292618102</c:v>
                </c:pt>
                <c:pt idx="62">
                  <c:v>70.564102564102569</c:v>
                </c:pt>
              </c:numCache>
            </c:numRef>
          </c:val>
          <c:smooth val="0"/>
        </c:ser>
        <c:ser>
          <c:idx val="95"/>
          <c:order val="48"/>
          <c:tx>
            <c:strRef>
              <c:f>'Opium (All)'!$BF$6</c:f>
              <c:strCache>
                <c:ptCount val="1"/>
                <c:pt idx="0">
                  <c:v>Yezd,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(All)'!$BF$7:$BF$107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97"/>
          <c:order val="49"/>
          <c:tx>
            <c:strRef>
              <c:f>'Opium (All)'!$BG$6</c:f>
              <c:strCache>
                <c:ptCount val="1"/>
                <c:pt idx="0">
                  <c:v>Khorasan,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(All)'!$BG$7:$BG$107</c:f>
              <c:numCache>
                <c:formatCode>0.0000</c:formatCode>
                <c:ptCount val="76"/>
                <c:pt idx="52">
                  <c:v>42.349328214971237</c:v>
                </c:pt>
                <c:pt idx="53">
                  <c:v>49.538461538461505</c:v>
                </c:pt>
                <c:pt idx="54">
                  <c:v>47.38461538461538</c:v>
                </c:pt>
                <c:pt idx="55">
                  <c:v>53.694117647058782</c:v>
                </c:pt>
                <c:pt idx="56">
                  <c:v>65.790209790209744</c:v>
                </c:pt>
                <c:pt idx="57">
                  <c:v>44.800000000000004</c:v>
                </c:pt>
                <c:pt idx="58">
                  <c:v>46.735511064278178</c:v>
                </c:pt>
                <c:pt idx="59">
                  <c:v>40.669201520912495</c:v>
                </c:pt>
                <c:pt idx="60">
                  <c:v>48.415584415584405</c:v>
                </c:pt>
                <c:pt idx="61">
                  <c:v>305.67092568448459</c:v>
                </c:pt>
                <c:pt idx="62">
                  <c:v>135.31221719457008</c:v>
                </c:pt>
              </c:numCache>
            </c:numRef>
          </c:val>
          <c:smooth val="0"/>
        </c:ser>
        <c:ser>
          <c:idx val="99"/>
          <c:order val="50"/>
          <c:tx>
            <c:strRef>
              <c:f>'Opium (All)'!$BH$6</c:f>
              <c:strCache>
                <c:ptCount val="1"/>
                <c:pt idx="0">
                  <c:v>Khorasan,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(All)'!$BH$7:$BH$107</c:f>
              <c:numCache>
                <c:formatCode>0.0000</c:formatCode>
                <c:ptCount val="76"/>
                <c:pt idx="52">
                  <c:v>38.228545204222129</c:v>
                </c:pt>
                <c:pt idx="53">
                  <c:v>6.3063787522512005</c:v>
                </c:pt>
                <c:pt idx="54">
                  <c:v>60.715845874167897</c:v>
                </c:pt>
                <c:pt idx="55">
                  <c:v>33.781003417865755</c:v>
                </c:pt>
                <c:pt idx="56">
                  <c:v>66.357021788793674</c:v>
                </c:pt>
                <c:pt idx="57">
                  <c:v>55.693006500117505</c:v>
                </c:pt>
                <c:pt idx="58">
                  <c:v>69.039882499152654</c:v>
                </c:pt>
                <c:pt idx="59">
                  <c:v>70.866766741112272</c:v>
                </c:pt>
                <c:pt idx="60">
                  <c:v>73.235356762513334</c:v>
                </c:pt>
                <c:pt idx="61">
                  <c:v>180.01009251471791</c:v>
                </c:pt>
                <c:pt idx="62">
                  <c:v>92.556936141207899</c:v>
                </c:pt>
              </c:numCache>
            </c:numRef>
          </c:val>
          <c:smooth val="0"/>
        </c:ser>
        <c:ser>
          <c:idx val="101"/>
          <c:order val="51"/>
          <c:tx>
            <c:strRef>
              <c:f>'Opium (All)'!$BI$6</c:f>
              <c:strCache>
                <c:ptCount val="1"/>
                <c:pt idx="0">
                  <c:v>Khorasan,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(All)'!$BI$7:$BI$107</c:f>
              <c:numCache>
                <c:formatCode>0.0000</c:formatCode>
                <c:ptCount val="76"/>
                <c:pt idx="39">
                  <c:v>27.533333333333296</c:v>
                </c:pt>
              </c:numCache>
            </c:numRef>
          </c:val>
          <c:smooth val="0"/>
        </c:ser>
        <c:ser>
          <c:idx val="103"/>
          <c:order val="52"/>
          <c:tx>
            <c:strRef>
              <c:f>'Opium (All)'!$BJ$6</c:f>
              <c:strCache>
                <c:ptCount val="1"/>
                <c:pt idx="0">
                  <c:v>Kermanshah,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(All)'!$BJ$7:$BJ$107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05"/>
          <c:order val="53"/>
          <c:tx>
            <c:strRef>
              <c:f>'Opium (All)'!$BK$6</c:f>
              <c:strCache>
                <c:ptCount val="1"/>
                <c:pt idx="0">
                  <c:v>Kermanshah,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(All)'!$BK$7:$BK$107</c:f>
              <c:numCache>
                <c:formatCode>0.0000</c:formatCode>
                <c:ptCount val="76"/>
                <c:pt idx="46">
                  <c:v>25.84605461572129</c:v>
                </c:pt>
                <c:pt idx="50">
                  <c:v>46.041202628260429</c:v>
                </c:pt>
                <c:pt idx="51">
                  <c:v>54.63641825512223</c:v>
                </c:pt>
                <c:pt idx="52">
                  <c:v>33.594837191598323</c:v>
                </c:pt>
                <c:pt idx="53">
                  <c:v>42.481106718414772</c:v>
                </c:pt>
                <c:pt idx="54">
                  <c:v>49.136296649582661</c:v>
                </c:pt>
                <c:pt idx="55">
                  <c:v>67.478789974070878</c:v>
                </c:pt>
                <c:pt idx="57">
                  <c:v>52.564568462037641</c:v>
                </c:pt>
                <c:pt idx="58">
                  <c:v>58.023407022106632</c:v>
                </c:pt>
                <c:pt idx="59">
                  <c:v>65.857558139534888</c:v>
                </c:pt>
                <c:pt idx="60">
                  <c:v>65.274611398963728</c:v>
                </c:pt>
                <c:pt idx="61">
                  <c:v>71.698209718670071</c:v>
                </c:pt>
                <c:pt idx="62">
                  <c:v>100.81200289226319</c:v>
                </c:pt>
              </c:numCache>
            </c:numRef>
          </c:val>
          <c:smooth val="0"/>
        </c:ser>
        <c:ser>
          <c:idx val="107"/>
          <c:order val="54"/>
          <c:tx>
            <c:strRef>
              <c:f>'Opium (All)'!$BL$6</c:f>
              <c:strCache>
                <c:ptCount val="1"/>
                <c:pt idx="0">
                  <c:v>Kermanshah,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(All)'!$BL$7:$BL$107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09"/>
          <c:order val="55"/>
          <c:tx>
            <c:strRef>
              <c:f>'Opium (All)'!$BM$6</c:f>
              <c:strCache>
                <c:ptCount val="1"/>
                <c:pt idx="0">
                  <c:v>Kerman, Imports, in pound/cwts.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(All)'!$BM$7:$BM$107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11"/>
          <c:order val="56"/>
          <c:tx>
            <c:strRef>
              <c:f>'Opium (All)'!$BN$6</c:f>
              <c:strCache>
                <c:ptCount val="1"/>
                <c:pt idx="0">
                  <c:v>Kerman, Exports, in pound/cwts.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(All)'!$BN$7:$BN$107</c:f>
              <c:numCache>
                <c:formatCode>0.0000</c:formatCode>
                <c:ptCount val="76"/>
                <c:pt idx="44">
                  <c:v>31.015384615384622</c:v>
                </c:pt>
                <c:pt idx="55">
                  <c:v>53.28000000000003</c:v>
                </c:pt>
                <c:pt idx="56">
                  <c:v>44.373333333333306</c:v>
                </c:pt>
                <c:pt idx="57">
                  <c:v>69.119999999999976</c:v>
                </c:pt>
                <c:pt idx="58">
                  <c:v>76.80000000000004</c:v>
                </c:pt>
              </c:numCache>
            </c:numRef>
          </c:val>
          <c:smooth val="0"/>
        </c:ser>
        <c:ser>
          <c:idx val="113"/>
          <c:order val="57"/>
          <c:tx>
            <c:strRef>
              <c:f>'Opium (All)'!$BO$6</c:f>
              <c:strCache>
                <c:ptCount val="1"/>
                <c:pt idx="0">
                  <c:v>Kerman, Bazaar (Local), in pound/cwts.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(All)'!$BO$7:$BO$107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15"/>
          <c:order val="58"/>
          <c:tx>
            <c:strRef>
              <c:f>'Opium (All)'!$BP$6</c:f>
              <c:strCache>
                <c:ptCount val="1"/>
                <c:pt idx="0">
                  <c:v>Bam,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(All)'!$BP$7:$BP$107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17"/>
          <c:order val="59"/>
          <c:tx>
            <c:strRef>
              <c:f>'Opium (All)'!$BQ$6</c:f>
              <c:strCache>
                <c:ptCount val="1"/>
                <c:pt idx="0">
                  <c:v>Bam,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(All)'!$BQ$7:$BQ$107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19"/>
          <c:order val="60"/>
          <c:tx>
            <c:strRef>
              <c:f>'Opium (All)'!$BR$6</c:f>
              <c:strCache>
                <c:ptCount val="1"/>
                <c:pt idx="0">
                  <c:v>Bam,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(All)'!$BR$7:$BR$107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21"/>
          <c:order val="61"/>
          <c:tx>
            <c:strRef>
              <c:f>'Opium (All)'!$BS$6</c:f>
              <c:strCache>
                <c:ptCount val="1"/>
                <c:pt idx="0">
                  <c:v>Resht,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(All)'!$BS$7:$BS$107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23"/>
          <c:order val="62"/>
          <c:tx>
            <c:strRef>
              <c:f>'Opium (All)'!$BT$6</c:f>
              <c:strCache>
                <c:ptCount val="1"/>
                <c:pt idx="0">
                  <c:v>Resht,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(All)'!$BT$7:$BT$107</c:f>
              <c:numCache>
                <c:formatCode>0.0000</c:formatCode>
                <c:ptCount val="76"/>
                <c:pt idx="52">
                  <c:v>58.652173913043427</c:v>
                </c:pt>
              </c:numCache>
            </c:numRef>
          </c:val>
          <c:smooth val="0"/>
        </c:ser>
        <c:ser>
          <c:idx val="125"/>
          <c:order val="63"/>
          <c:tx>
            <c:strRef>
              <c:f>'Opium (All)'!$BU$6</c:f>
              <c:strCache>
                <c:ptCount val="1"/>
                <c:pt idx="0">
                  <c:v>Resht,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(All)'!$BU$7:$BU$107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27"/>
          <c:order val="64"/>
          <c:tx>
            <c:strRef>
              <c:f>'Opium (All)'!$BV$6</c:f>
              <c:strCache>
                <c:ptCount val="1"/>
                <c:pt idx="0">
                  <c:v>Mazandaran,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(All)'!$BV$7:$BV$107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29"/>
          <c:order val="65"/>
          <c:tx>
            <c:strRef>
              <c:f>'Opium (All)'!$BW$6</c:f>
              <c:strCache>
                <c:ptCount val="1"/>
                <c:pt idx="0">
                  <c:v>Mazandaran,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(All)'!$BW$7:$BW$107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31"/>
          <c:order val="66"/>
          <c:tx>
            <c:strRef>
              <c:f>'Opium (All)'!$BX$6</c:f>
              <c:strCache>
                <c:ptCount val="1"/>
                <c:pt idx="0">
                  <c:v>Mazandaran,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(All)'!$BX$7:$BX$107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33"/>
          <c:order val="67"/>
          <c:tx>
            <c:strRef>
              <c:f>'Opium (All)'!$BY$6</c:f>
              <c:strCache>
                <c:ptCount val="1"/>
                <c:pt idx="0">
                  <c:v>Ghilan &amp; Tunekabun,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(All)'!$BY$7:$BY$107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35"/>
          <c:order val="68"/>
          <c:tx>
            <c:strRef>
              <c:f>'Opium (All)'!$BZ$6</c:f>
              <c:strCache>
                <c:ptCount val="1"/>
                <c:pt idx="0">
                  <c:v>Ghilan &amp; Tunekabun,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(All)'!$BZ$7:$BZ$107</c:f>
              <c:numCache>
                <c:formatCode>0.0000</c:formatCode>
                <c:ptCount val="76"/>
                <c:pt idx="56">
                  <c:v>98.3934147033778</c:v>
                </c:pt>
                <c:pt idx="57">
                  <c:v>96.327332242225836</c:v>
                </c:pt>
              </c:numCache>
            </c:numRef>
          </c:val>
          <c:smooth val="0"/>
        </c:ser>
        <c:ser>
          <c:idx val="137"/>
          <c:order val="69"/>
          <c:tx>
            <c:strRef>
              <c:f>'Opium (All)'!$CA$6</c:f>
              <c:strCache>
                <c:ptCount val="1"/>
                <c:pt idx="0">
                  <c:v>Ghilan &amp; Tunekabun,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(All)'!$CA$7:$CA$107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39"/>
          <c:order val="70"/>
          <c:tx>
            <c:strRef>
              <c:f>'Opium (All)'!$CB$6</c:f>
              <c:strCache>
                <c:ptCount val="1"/>
                <c:pt idx="0">
                  <c:v>Bender Gez &amp; Astarabad,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(All)'!$CB$7:$CB$107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41"/>
          <c:order val="71"/>
          <c:tx>
            <c:strRef>
              <c:f>'Opium (All)'!$CC$6</c:f>
              <c:strCache>
                <c:ptCount val="1"/>
                <c:pt idx="0">
                  <c:v>Bender Gez &amp; Astarabad,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(All)'!$CC$7:$CC$107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43"/>
          <c:order val="72"/>
          <c:tx>
            <c:strRef>
              <c:f>'Opium (All)'!$CD$6</c:f>
              <c:strCache>
                <c:ptCount val="1"/>
                <c:pt idx="0">
                  <c:v>Bender Gez &amp; Astarabad,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(All)'!$CD$7:$CD$107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45"/>
          <c:order val="73"/>
          <c:tx>
            <c:strRef>
              <c:f>'Opium (All)'!$CE$6</c:f>
              <c:strCache>
                <c:ptCount val="1"/>
                <c:pt idx="0">
                  <c:v>Astara,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(All)'!$CE$7:$CE$107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47"/>
          <c:order val="74"/>
          <c:tx>
            <c:strRef>
              <c:f>'Opium (All)'!$CF$6</c:f>
              <c:strCache>
                <c:ptCount val="1"/>
                <c:pt idx="0">
                  <c:v>Astara,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(All)'!$CF$7:$CF$107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49"/>
          <c:order val="75"/>
          <c:tx>
            <c:strRef>
              <c:f>'Opium (All)'!$CG$6</c:f>
              <c:strCache>
                <c:ptCount val="1"/>
                <c:pt idx="0">
                  <c:v>Astara,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(All)'!$CG$7:$CG$107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51"/>
          <c:order val="76"/>
          <c:tx>
            <c:strRef>
              <c:f>'Opium (All)'!$CH$6</c:f>
              <c:strCache>
                <c:ptCount val="1"/>
                <c:pt idx="0">
                  <c:v>Sultanabad, Imports,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(All)'!$CH$7:$CH$107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53"/>
          <c:order val="77"/>
          <c:tx>
            <c:strRef>
              <c:f>'Opium (All)'!$CI$6</c:f>
              <c:strCache>
                <c:ptCount val="1"/>
                <c:pt idx="0">
                  <c:v>Sultanabad, Exports, in pound/cwts.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(All)'!$CI$7:$CI$107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55"/>
          <c:order val="78"/>
          <c:tx>
            <c:strRef>
              <c:f>'Opium (All)'!$CJ$6</c:f>
              <c:strCache>
                <c:ptCount val="1"/>
                <c:pt idx="0">
                  <c:v>Sultanabad, Bazaar (Local), in pound/cwts.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(All)'!$CJ$7:$CJ$107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56"/>
          <c:order val="79"/>
          <c:tx>
            <c:strRef>
              <c:f>'Opium (All)'!$CK$6</c:f>
              <c:strCache>
                <c:ptCount val="1"/>
                <c:pt idx="0">
                  <c:v>Bahrain, Imports, in pound/cwts.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(All)'!$CK$7:$CK$107</c:f>
              <c:numCache>
                <c:formatCode>0.0000</c:formatCode>
                <c:ptCount val="76"/>
                <c:pt idx="58">
                  <c:v>89.600000000000009</c:v>
                </c:pt>
              </c:numCache>
            </c:numRef>
          </c:val>
          <c:smooth val="0"/>
        </c:ser>
        <c:ser>
          <c:idx val="157"/>
          <c:order val="80"/>
          <c:tx>
            <c:strRef>
              <c:f>'Opium (All)'!$CL$6</c:f>
              <c:strCache>
                <c:ptCount val="1"/>
                <c:pt idx="0">
                  <c:v>Bahrain, Exports, in pound/cwts.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(All)'!$CL$7:$CL$107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58"/>
          <c:order val="81"/>
          <c:tx>
            <c:strRef>
              <c:f>'Opium (All)'!$CM$6</c:f>
              <c:strCache>
                <c:ptCount val="1"/>
                <c:pt idx="0">
                  <c:v>Bahrain, Bazaar (Local), in pound/cwts.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(All)'!$CM$7:$CM$107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60"/>
          <c:order val="82"/>
          <c:tx>
            <c:strRef>
              <c:f>'Opium (All)'!$CN$6</c:f>
              <c:strCache>
                <c:ptCount val="1"/>
                <c:pt idx="0">
                  <c:v>Muscat, Imports, in pound/cwts.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(All)'!$CN$7:$CN$107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62"/>
          <c:order val="83"/>
          <c:tx>
            <c:strRef>
              <c:f>'Opium (All)'!$CO$6</c:f>
              <c:strCache>
                <c:ptCount val="1"/>
                <c:pt idx="0">
                  <c:v>Muscat, Exports, in pound/cwts.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(All)'!$CO$7:$CO$107</c:f>
              <c:numCache>
                <c:formatCode>0.0000</c:formatCode>
                <c:ptCount val="76"/>
                <c:pt idx="25">
                  <c:v>45.874401330591034</c:v>
                </c:pt>
                <c:pt idx="27">
                  <c:v>55.263530174352113</c:v>
                </c:pt>
                <c:pt idx="28">
                  <c:v>70.660021097119142</c:v>
                </c:pt>
                <c:pt idx="29">
                  <c:v>68.89562104594259</c:v>
                </c:pt>
                <c:pt idx="30">
                  <c:v>122.91987023196832</c:v>
                </c:pt>
                <c:pt idx="31">
                  <c:v>69.483754396334788</c:v>
                </c:pt>
                <c:pt idx="32">
                  <c:v>90.219655950162377</c:v>
                </c:pt>
                <c:pt idx="33">
                  <c:v>60.419032440290017</c:v>
                </c:pt>
                <c:pt idx="34">
                  <c:v>68.055430545382308</c:v>
                </c:pt>
                <c:pt idx="35">
                  <c:v>32.641400946766701</c:v>
                </c:pt>
                <c:pt idx="36">
                  <c:v>97.596528545081611</c:v>
                </c:pt>
                <c:pt idx="37">
                  <c:v>100.12270131676613</c:v>
                </c:pt>
                <c:pt idx="38">
                  <c:v>92.219309341495858</c:v>
                </c:pt>
                <c:pt idx="39">
                  <c:v>8.6077516782400227</c:v>
                </c:pt>
                <c:pt idx="40">
                  <c:v>64.190554242805035</c:v>
                </c:pt>
                <c:pt idx="41">
                  <c:v>60.577735090395862</c:v>
                </c:pt>
                <c:pt idx="42">
                  <c:v>53.436115835633515</c:v>
                </c:pt>
                <c:pt idx="43">
                  <c:v>48.260542352182213</c:v>
                </c:pt>
                <c:pt idx="44">
                  <c:v>39.212026737348275</c:v>
                </c:pt>
              </c:numCache>
            </c:numRef>
          </c:val>
          <c:smooth val="0"/>
        </c:ser>
        <c:ser>
          <c:idx val="164"/>
          <c:order val="84"/>
          <c:tx>
            <c:strRef>
              <c:f>'Opium (All)'!$CP$6</c:f>
              <c:strCache>
                <c:ptCount val="1"/>
                <c:pt idx="0">
                  <c:v>Muscat, Bazaar (Local), in pound/cwts.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(All)'!$CP$7:$CP$107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66"/>
          <c:order val="85"/>
          <c:tx>
            <c:strRef>
              <c:f>'Opium (All)'!$CQ$6</c:f>
              <c:strCache>
                <c:ptCount val="1"/>
                <c:pt idx="0">
                  <c:v>Mohammerah, Imports, in pound/cwts.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(All)'!$CQ$7:$CQ$107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68"/>
          <c:order val="86"/>
          <c:tx>
            <c:strRef>
              <c:f>'Opium (All)'!$CR$6</c:f>
              <c:strCache>
                <c:ptCount val="1"/>
                <c:pt idx="0">
                  <c:v>Mohammerah, Exports, in pound/cwts.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(All)'!$CR$7:$CR$107</c:f>
              <c:numCache>
                <c:formatCode>0.0000</c:formatCode>
                <c:ptCount val="76"/>
                <c:pt idx="42">
                  <c:v>60.876780108390349</c:v>
                </c:pt>
                <c:pt idx="44">
                  <c:v>47.784967645594826</c:v>
                </c:pt>
                <c:pt idx="45">
                  <c:v>16.525634644101544</c:v>
                </c:pt>
                <c:pt idx="46">
                  <c:v>55.136501129532483</c:v>
                </c:pt>
                <c:pt idx="47">
                  <c:v>46.192135390741669</c:v>
                </c:pt>
                <c:pt idx="48">
                  <c:v>46.192135390741662</c:v>
                </c:pt>
                <c:pt idx="50">
                  <c:v>47.784967645594826</c:v>
                </c:pt>
                <c:pt idx="51">
                  <c:v>69.573462981017542</c:v>
                </c:pt>
                <c:pt idx="52">
                  <c:v>63.757083664139806</c:v>
                </c:pt>
              </c:numCache>
            </c:numRef>
          </c:val>
          <c:smooth val="0"/>
        </c:ser>
        <c:ser>
          <c:idx val="170"/>
          <c:order val="87"/>
          <c:tx>
            <c:strRef>
              <c:f>'Opium (All)'!$CS$6</c:f>
              <c:strCache>
                <c:ptCount val="1"/>
                <c:pt idx="0">
                  <c:v>Mohammerah, Bazaar (Local), in pound/cwts.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(All)'!$CS$7:$CS$107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72"/>
          <c:order val="88"/>
          <c:tx>
            <c:strRef>
              <c:f>'Opium (All)'!$CT$6</c:f>
              <c:strCache>
                <c:ptCount val="1"/>
                <c:pt idx="0">
                  <c:v>Lingah, Imports, in pound/cwts.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(All)'!$CT$7:$CT$107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74"/>
          <c:order val="89"/>
          <c:tx>
            <c:strRef>
              <c:f>'Opium (All)'!$CU$6</c:f>
              <c:strCache>
                <c:ptCount val="1"/>
                <c:pt idx="0">
                  <c:v>Lingah, Exports, in pound/cwts.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(All)'!$CU$7:$CU$107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76"/>
          <c:order val="90"/>
          <c:tx>
            <c:strRef>
              <c:f>'Opium (All)'!$CV$6</c:f>
              <c:strCache>
                <c:ptCount val="1"/>
                <c:pt idx="0">
                  <c:v>Lingah, Bazaar (Local), in pound/cwts.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(All)'!$CV$7:$CV$107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78"/>
          <c:order val="91"/>
          <c:tx>
            <c:strRef>
              <c:f>'Opium (All)'!$CW$6</c:f>
              <c:strCache>
                <c:ptCount val="1"/>
                <c:pt idx="0">
                  <c:v>Shiraz, Imports, in pound/cwts.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(All)'!$CW$7:$CW$107</c:f>
              <c:numCache>
                <c:formatCode>General</c:formatCode>
                <c:ptCount val="76"/>
              </c:numCache>
            </c:numRef>
          </c:val>
          <c:smooth val="0"/>
        </c:ser>
        <c:ser>
          <c:idx val="180"/>
          <c:order val="92"/>
          <c:tx>
            <c:strRef>
              <c:f>'Opium (All)'!$CX$6</c:f>
              <c:strCache>
                <c:ptCount val="1"/>
                <c:pt idx="0">
                  <c:v>Shiraz, Exports, in pound/cwts.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(All)'!$CX$7:$CX$107</c:f>
              <c:numCache>
                <c:formatCode>General</c:formatCode>
                <c:ptCount val="76"/>
                <c:pt idx="37">
                  <c:v>41.776129445389266</c:v>
                </c:pt>
                <c:pt idx="38">
                  <c:v>41.593435001750528</c:v>
                </c:pt>
                <c:pt idx="39">
                  <c:v>69.381153040345183</c:v>
                </c:pt>
                <c:pt idx="40">
                  <c:v>64.192345937389504</c:v>
                </c:pt>
                <c:pt idx="41">
                  <c:v>38.937735275282769</c:v>
                </c:pt>
                <c:pt idx="42">
                  <c:v>38.227108720243343</c:v>
                </c:pt>
                <c:pt idx="43">
                  <c:v>53.518033580812002</c:v>
                </c:pt>
                <c:pt idx="44">
                  <c:v>62.809425228793422</c:v>
                </c:pt>
                <c:pt idx="45">
                  <c:v>61.19895876004091</c:v>
                </c:pt>
                <c:pt idx="46">
                  <c:v>47.746419598761904</c:v>
                </c:pt>
                <c:pt idx="47">
                  <c:v>45.225269282122582</c:v>
                </c:pt>
                <c:pt idx="48">
                  <c:v>49.376515177207267</c:v>
                </c:pt>
                <c:pt idx="49">
                  <c:v>53.237936690037358</c:v>
                </c:pt>
                <c:pt idx="50">
                  <c:v>67.475203838484489</c:v>
                </c:pt>
                <c:pt idx="51">
                  <c:v>58.441708904054735</c:v>
                </c:pt>
              </c:numCache>
            </c:numRef>
          </c:val>
          <c:smooth val="0"/>
        </c:ser>
        <c:ser>
          <c:idx val="182"/>
          <c:order val="93"/>
          <c:tx>
            <c:strRef>
              <c:f>'Opium (All)'!$CY$6</c:f>
              <c:strCache>
                <c:ptCount val="1"/>
                <c:pt idx="0">
                  <c:v>Shiraz, Bazaar (Local), in pound/cwts.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(All)'!$CY$7:$CY$107</c:f>
              <c:numCache>
                <c:formatCode>General</c:formatCode>
                <c:ptCount val="76"/>
              </c:numCache>
            </c:numRef>
          </c:val>
          <c:smooth val="0"/>
        </c:ser>
        <c:ser>
          <c:idx val="0"/>
          <c:order val="94"/>
          <c:tx>
            <c:strRef>
              <c:f>'Opium (All)'!$CZ$6</c:f>
              <c:strCache>
                <c:ptCount val="1"/>
                <c:pt idx="0">
                  <c:v>Bengal, Imports, in pound/cwts.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(All)'!$CZ$7:$CZ$107</c:f>
              <c:numCache>
                <c:formatCode>General</c:formatCode>
                <c:ptCount val="76"/>
              </c:numCache>
            </c:numRef>
          </c:val>
          <c:smooth val="0"/>
        </c:ser>
        <c:ser>
          <c:idx val="3"/>
          <c:order val="95"/>
          <c:tx>
            <c:strRef>
              <c:f>'Opium (All)'!$DA$6</c:f>
              <c:strCache>
                <c:ptCount val="1"/>
                <c:pt idx="0">
                  <c:v>Bengal, Exports, in pound/cwts.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(All)'!$DA$7:$DA$107</c:f>
              <c:numCache>
                <c:formatCode>General</c:formatCode>
                <c:ptCount val="76"/>
                <c:pt idx="35">
                  <c:v>35.547428571428576</c:v>
                </c:pt>
                <c:pt idx="36">
                  <c:v>33.298285714285718</c:v>
                </c:pt>
                <c:pt idx="37">
                  <c:v>30.691764705882349</c:v>
                </c:pt>
                <c:pt idx="38">
                  <c:v>30.458181818181824</c:v>
                </c:pt>
                <c:pt idx="39">
                  <c:v>35.869090909090914</c:v>
                </c:pt>
                <c:pt idx="40">
                  <c:v>30.026666666666667</c:v>
                </c:pt>
                <c:pt idx="41">
                  <c:v>29.430447761194031</c:v>
                </c:pt>
                <c:pt idx="42" formatCode="0.0000">
                  <c:v>33.216000000000001</c:v>
                </c:pt>
                <c:pt idx="43">
                  <c:v>41.478620689655173</c:v>
                </c:pt>
                <c:pt idx="44">
                  <c:v>40.689230769230768</c:v>
                </c:pt>
                <c:pt idx="45">
                  <c:v>54.151111111111121</c:v>
                </c:pt>
                <c:pt idx="46">
                  <c:v>43.365517241379315</c:v>
                </c:pt>
                <c:pt idx="47">
                  <c:v>33.723870967741931</c:v>
                </c:pt>
                <c:pt idx="48" formatCode="0.0000">
                  <c:v>31.32</c:v>
                </c:pt>
                <c:pt idx="49" formatCode="0.0000">
                  <c:v>33.870000000000005</c:v>
                </c:pt>
                <c:pt idx="50" formatCode="0.0000">
                  <c:v>38.82</c:v>
                </c:pt>
                <c:pt idx="51" formatCode="0.0000">
                  <c:v>39.18</c:v>
                </c:pt>
                <c:pt idx="52" formatCode="0.0000">
                  <c:v>37.049999999999997</c:v>
                </c:pt>
                <c:pt idx="53" formatCode="0.0000">
                  <c:v>34.5</c:v>
                </c:pt>
                <c:pt idx="54" formatCode="0.0000">
                  <c:v>48.81</c:v>
                </c:pt>
                <c:pt idx="55" formatCode="0.0000">
                  <c:v>49.83</c:v>
                </c:pt>
                <c:pt idx="56" formatCode="0.0000">
                  <c:v>42.15</c:v>
                </c:pt>
                <c:pt idx="57" formatCode="0.0000">
                  <c:v>41.19</c:v>
                </c:pt>
                <c:pt idx="58" formatCode="0.0000">
                  <c:v>38.010000000000005</c:v>
                </c:pt>
                <c:pt idx="59" formatCode="0.0000">
                  <c:v>41.43</c:v>
                </c:pt>
                <c:pt idx="60" formatCode="0.0000">
                  <c:v>61.35</c:v>
                </c:pt>
                <c:pt idx="61" formatCode="0.0000">
                  <c:v>100.95</c:v>
                </c:pt>
                <c:pt idx="62" formatCode="0.0000">
                  <c:v>85.5</c:v>
                </c:pt>
                <c:pt idx="63" formatCode="0.0000">
                  <c:v>55.064999999999998</c:v>
                </c:pt>
                <c:pt idx="64" formatCode="0.0000">
                  <c:v>46.382031249999997</c:v>
                </c:pt>
                <c:pt idx="65" formatCode="0.0000">
                  <c:v>48.00078125000001</c:v>
                </c:pt>
                <c:pt idx="66" formatCode="0.0000">
                  <c:v>54.150781250000016</c:v>
                </c:pt>
                <c:pt idx="67" formatCode="0.0000">
                  <c:v>98.404062500000009</c:v>
                </c:pt>
                <c:pt idx="68" formatCode="0.0000">
                  <c:v>96.392031250000016</c:v>
                </c:pt>
                <c:pt idx="69" formatCode="0.0000">
                  <c:v>114.87250000000002</c:v>
                </c:pt>
                <c:pt idx="70" formatCode="0.0000">
                  <c:v>170.58249999999998</c:v>
                </c:pt>
                <c:pt idx="71" formatCode="0.0000">
                  <c:v>151.9</c:v>
                </c:pt>
              </c:numCache>
            </c:numRef>
          </c:val>
          <c:smooth val="0"/>
        </c:ser>
        <c:ser>
          <c:idx val="6"/>
          <c:order val="96"/>
          <c:tx>
            <c:strRef>
              <c:f>'Opium (All)'!$DB$6</c:f>
              <c:strCache>
                <c:ptCount val="1"/>
                <c:pt idx="0">
                  <c:v>Bengal, Bazaar (Local), in pound/cwts.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(All)'!$DB$7:$DB$107</c:f>
              <c:numCache>
                <c:formatCode>General</c:formatCode>
                <c:ptCount val="76"/>
              </c:numCache>
            </c:numRef>
          </c:val>
          <c:smooth val="0"/>
        </c:ser>
        <c:ser>
          <c:idx val="8"/>
          <c:order val="97"/>
          <c:tx>
            <c:strRef>
              <c:f>'Opium (All)'!$AF$6</c:f>
              <c:strCache>
                <c:ptCount val="1"/>
                <c:pt idx="0">
                  <c:v>Istanbul (Nallrihan), Imports, in pound/cwts.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'Opium (All)'!$AF$7:$AF$107</c:f>
              <c:numCache>
                <c:formatCode>0.0000</c:formatCode>
                <c:ptCount val="76"/>
              </c:numCache>
            </c:numRef>
          </c:val>
          <c:smooth val="0"/>
        </c:ser>
        <c:ser>
          <c:idx val="10"/>
          <c:order val="98"/>
          <c:tx>
            <c:strRef>
              <c:f>'Opium (All)'!$AG$6</c:f>
              <c:strCache>
                <c:ptCount val="1"/>
                <c:pt idx="0">
                  <c:v>Istanbul (Nallrihan), Exports, in pound/cwts.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'Opium (All)'!$AG$7:$AG$107</c:f>
              <c:numCache>
                <c:formatCode>0.0000</c:formatCode>
                <c:ptCount val="76"/>
                <c:pt idx="35">
                  <c:v>52.31094480387835</c:v>
                </c:pt>
                <c:pt idx="36">
                  <c:v>42.010873402527714</c:v>
                </c:pt>
                <c:pt idx="37">
                  <c:v>70.728245282146062</c:v>
                </c:pt>
                <c:pt idx="38">
                  <c:v>44.298399356668476</c:v>
                </c:pt>
                <c:pt idx="39">
                  <c:v>48.303068815672084</c:v>
                </c:pt>
                <c:pt idx="40">
                  <c:v>57.512211716829384</c:v>
                </c:pt>
                <c:pt idx="41">
                  <c:v>39.462570222853692</c:v>
                </c:pt>
                <c:pt idx="42">
                  <c:v>38.583438288695639</c:v>
                </c:pt>
                <c:pt idx="43">
                  <c:v>49.02396360199613</c:v>
                </c:pt>
                <c:pt idx="44">
                  <c:v>35.420932476641021</c:v>
                </c:pt>
                <c:pt idx="45">
                  <c:v>38.331024864795907</c:v>
                </c:pt>
                <c:pt idx="46">
                  <c:v>42.738257553954455</c:v>
                </c:pt>
                <c:pt idx="52">
                  <c:v>33.166764607229503</c:v>
                </c:pt>
                <c:pt idx="53">
                  <c:v>42.338572060158526</c:v>
                </c:pt>
                <c:pt idx="54">
                  <c:v>33.835785503086541</c:v>
                </c:pt>
                <c:pt idx="55">
                  <c:v>39.120121227480972</c:v>
                </c:pt>
                <c:pt idx="56">
                  <c:v>38.180460917954484</c:v>
                </c:pt>
                <c:pt idx="57">
                  <c:v>51.502044077429581</c:v>
                </c:pt>
              </c:numCache>
            </c:numRef>
          </c:val>
          <c:smooth val="0"/>
        </c:ser>
        <c:ser>
          <c:idx val="12"/>
          <c:order val="99"/>
          <c:tx>
            <c:strRef>
              <c:f>'Opium (All)'!$AH$6</c:f>
              <c:strCache>
                <c:ptCount val="1"/>
                <c:pt idx="0">
                  <c:v>Istanbul (Nallrihan), Bazaar (Local), in pound/cwts.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'Opium (All)'!$AH$7:$AH$107</c:f>
              <c:numCache>
                <c:formatCode>0.0000</c:formatCode>
                <c:ptCount val="76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648096"/>
        <c:axId val="704647536"/>
      </c:lineChart>
      <c:catAx>
        <c:axId val="70464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647536"/>
        <c:crosses val="autoZero"/>
        <c:auto val="1"/>
        <c:lblAlgn val="ctr"/>
        <c:lblOffset val="100"/>
        <c:noMultiLvlLbl val="0"/>
      </c:catAx>
      <c:valAx>
        <c:axId val="704647536"/>
        <c:scaling>
          <c:orientation val="minMax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6480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480540778341336"/>
          <c:y val="2.7022325866908663E-2"/>
          <c:w val="0.42450218554367336"/>
          <c:h val="0.84973665489717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Opium,</a:t>
            </a:r>
            <a:r>
              <a:rPr lang="en-US" b="1" baseline="0">
                <a:solidFill>
                  <a:schemeClr val="tx1"/>
                </a:solidFill>
              </a:rPr>
              <a:t> </a:t>
            </a:r>
            <a:r>
              <a:rPr lang="en-US" b="1">
                <a:solidFill>
                  <a:schemeClr val="tx1"/>
                </a:solidFill>
              </a:rPr>
              <a:t>UK &amp;</a:t>
            </a:r>
            <a:r>
              <a:rPr lang="en-US" b="1" baseline="0">
                <a:solidFill>
                  <a:schemeClr val="tx1"/>
                </a:solidFill>
              </a:rPr>
              <a:t> Ottomon Empire, in pound/cwts. </a:t>
            </a:r>
            <a:endParaRPr lang="en-US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'Opium (Adjusted)'!$C$6</c:f>
              <c:strCache>
                <c:ptCount val="1"/>
                <c:pt idx="0">
                  <c:v>UK, Exports (foreign and colonial), in pound/cwts.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3175">
                <a:solidFill>
                  <a:schemeClr val="accent6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(Adjusted)'!$C$7:$C$107</c:f>
              <c:numCache>
                <c:formatCode>0.0000</c:formatCode>
                <c:ptCount val="76"/>
                <c:pt idx="4">
                  <c:v>86.333094524453543</c:v>
                </c:pt>
                <c:pt idx="5">
                  <c:v>76.999301996290612</c:v>
                </c:pt>
                <c:pt idx="6">
                  <c:v>83.999456088890625</c:v>
                </c:pt>
                <c:pt idx="7">
                  <c:v>83.532228784153318</c:v>
                </c:pt>
                <c:pt idx="8">
                  <c:v>106.95392487269686</c:v>
                </c:pt>
                <c:pt idx="9">
                  <c:v>107.33351041627139</c:v>
                </c:pt>
                <c:pt idx="10">
                  <c:v>104.06640019577453</c:v>
                </c:pt>
                <c:pt idx="11">
                  <c:v>90.066731007858806</c:v>
                </c:pt>
                <c:pt idx="12">
                  <c:v>95.199655589495478</c:v>
                </c:pt>
                <c:pt idx="13">
                  <c:v>102.19983469723253</c:v>
                </c:pt>
                <c:pt idx="14">
                  <c:v>92.400233976769442</c:v>
                </c:pt>
                <c:pt idx="15">
                  <c:v>80.266454545454536</c:v>
                </c:pt>
                <c:pt idx="16">
                  <c:v>93.333200882688928</c:v>
                </c:pt>
                <c:pt idx="17">
                  <c:v>91.467031154263097</c:v>
                </c:pt>
                <c:pt idx="18">
                  <c:v>139.9997741297947</c:v>
                </c:pt>
                <c:pt idx="19">
                  <c:v>180.60168346088238</c:v>
                </c:pt>
                <c:pt idx="20">
                  <c:v>146.06672251253207</c:v>
                </c:pt>
                <c:pt idx="21">
                  <c:v>111.91219229730741</c:v>
                </c:pt>
                <c:pt idx="22">
                  <c:v>112.30772724176299</c:v>
                </c:pt>
                <c:pt idx="23">
                  <c:v>119.72540177270858</c:v>
                </c:pt>
                <c:pt idx="24">
                  <c:v>121.91671617043222</c:v>
                </c:pt>
                <c:pt idx="25">
                  <c:v>117.26207478663969</c:v>
                </c:pt>
                <c:pt idx="26">
                  <c:v>105.81410267288926</c:v>
                </c:pt>
                <c:pt idx="27">
                  <c:v>108.18936032188867</c:v>
                </c:pt>
                <c:pt idx="28">
                  <c:v>91.329982823334817</c:v>
                </c:pt>
                <c:pt idx="29">
                  <c:v>90.370615224371392</c:v>
                </c:pt>
                <c:pt idx="30">
                  <c:v>109.56591478696743</c:v>
                </c:pt>
                <c:pt idx="31">
                  <c:v>94.463831513151845</c:v>
                </c:pt>
                <c:pt idx="32">
                  <c:v>86.587551485500427</c:v>
                </c:pt>
                <c:pt idx="33">
                  <c:v>81.846741708391377</c:v>
                </c:pt>
                <c:pt idx="34">
                  <c:v>88.166301579593579</c:v>
                </c:pt>
                <c:pt idx="35">
                  <c:v>70.928381264169943</c:v>
                </c:pt>
                <c:pt idx="36">
                  <c:v>65.679859388710355</c:v>
                </c:pt>
                <c:pt idx="37">
                  <c:v>76.374030475424547</c:v>
                </c:pt>
                <c:pt idx="38">
                  <c:v>69.34144195802368</c:v>
                </c:pt>
                <c:pt idx="39">
                  <c:v>62.686301978337369</c:v>
                </c:pt>
                <c:pt idx="40">
                  <c:v>69.497282099343963</c:v>
                </c:pt>
                <c:pt idx="41">
                  <c:v>60.112094752196384</c:v>
                </c:pt>
                <c:pt idx="42">
                  <c:v>52.264219353963696</c:v>
                </c:pt>
                <c:pt idx="43">
                  <c:v>59.781271464550102</c:v>
                </c:pt>
                <c:pt idx="44">
                  <c:v>57.687427290205811</c:v>
                </c:pt>
                <c:pt idx="45">
                  <c:v>58.564772162386085</c:v>
                </c:pt>
                <c:pt idx="46">
                  <c:v>57.142251532802597</c:v>
                </c:pt>
                <c:pt idx="47">
                  <c:v>53.822059992054029</c:v>
                </c:pt>
                <c:pt idx="48">
                  <c:v>60.197927349968886</c:v>
                </c:pt>
                <c:pt idx="49">
                  <c:v>56.611424941837967</c:v>
                </c:pt>
                <c:pt idx="50">
                  <c:v>58.035289850024135</c:v>
                </c:pt>
                <c:pt idx="51">
                  <c:v>59.968189976257882</c:v>
                </c:pt>
                <c:pt idx="52">
                  <c:v>56.6370877534602</c:v>
                </c:pt>
                <c:pt idx="53">
                  <c:v>58.06921445081214</c:v>
                </c:pt>
                <c:pt idx="54">
                  <c:v>63.016791905983482</c:v>
                </c:pt>
                <c:pt idx="55">
                  <c:v>57.73856392687653</c:v>
                </c:pt>
                <c:pt idx="56">
                  <c:v>57.733602229340974</c:v>
                </c:pt>
                <c:pt idx="57">
                  <c:v>76.178759534252862</c:v>
                </c:pt>
                <c:pt idx="58">
                  <c:v>73.780548203547966</c:v>
                </c:pt>
                <c:pt idx="59">
                  <c:v>78.002201905126611</c:v>
                </c:pt>
                <c:pt idx="60">
                  <c:v>90.153274838897588</c:v>
                </c:pt>
                <c:pt idx="61">
                  <c:v>102.57892958642208</c:v>
                </c:pt>
                <c:pt idx="62">
                  <c:v>128.15847786852652</c:v>
                </c:pt>
                <c:pt idx="63">
                  <c:v>113.55479301207045</c:v>
                </c:pt>
                <c:pt idx="64">
                  <c:v>106.20397161428826</c:v>
                </c:pt>
                <c:pt idx="65">
                  <c:v>120.19941627316517</c:v>
                </c:pt>
                <c:pt idx="66">
                  <c:v>137.28445804573309</c:v>
                </c:pt>
                <c:pt idx="67">
                  <c:v>232.39311380114344</c:v>
                </c:pt>
                <c:pt idx="68">
                  <c:v>333.87042645087627</c:v>
                </c:pt>
                <c:pt idx="69">
                  <c:v>255.21626912781176</c:v>
                </c:pt>
                <c:pt idx="70">
                  <c:v>135.02193606348729</c:v>
                </c:pt>
              </c:numCache>
            </c:numRef>
          </c:val>
          <c:smooth val="0"/>
        </c:ser>
        <c:ser>
          <c:idx val="9"/>
          <c:order val="1"/>
          <c:tx>
            <c:strRef>
              <c:f>'Opium (Adjusted)'!$E$6</c:f>
              <c:strCache>
                <c:ptCount val="1"/>
                <c:pt idx="0">
                  <c:v>Baghdad, Exports, in pound/cwts.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(Adjusted)'!$E$7:$E$107</c:f>
              <c:numCache>
                <c:formatCode>0.0000</c:formatCode>
                <c:ptCount val="76"/>
                <c:pt idx="37">
                  <c:v>28.4375</c:v>
                </c:pt>
                <c:pt idx="38">
                  <c:v>67.999999999999986</c:v>
                </c:pt>
                <c:pt idx="39">
                  <c:v>65.384615384615415</c:v>
                </c:pt>
                <c:pt idx="40">
                  <c:v>58.3333333333333</c:v>
                </c:pt>
                <c:pt idx="41">
                  <c:v>51.764705882352963</c:v>
                </c:pt>
                <c:pt idx="42">
                  <c:v>38.5</c:v>
                </c:pt>
              </c:numCache>
            </c:numRef>
          </c:val>
          <c:smooth val="0"/>
        </c:ser>
        <c:ser>
          <c:idx val="11"/>
          <c:order val="2"/>
          <c:tx>
            <c:strRef>
              <c:f>'Opium (Adjusted)'!$G$6</c:f>
              <c:strCache>
                <c:ptCount val="1"/>
                <c:pt idx="0">
                  <c:v>Basrah, Exports, in pound/cwts.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317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(Adjusted)'!$G$7:$G$107</c:f>
              <c:numCache>
                <c:formatCode>0.0000</c:formatCode>
                <c:ptCount val="76"/>
                <c:pt idx="37">
                  <c:v>56.123284147510716</c:v>
                </c:pt>
                <c:pt idx="38">
                  <c:v>81.600539507699409</c:v>
                </c:pt>
                <c:pt idx="39">
                  <c:v>81.776336383182894</c:v>
                </c:pt>
                <c:pt idx="40">
                  <c:v>81.458747578854357</c:v>
                </c:pt>
                <c:pt idx="41">
                  <c:v>30.622009569377965</c:v>
                </c:pt>
                <c:pt idx="42">
                  <c:v>79.641612742658054</c:v>
                </c:pt>
                <c:pt idx="43">
                  <c:v>79.641612742658054</c:v>
                </c:pt>
                <c:pt idx="46">
                  <c:v>79.641612742658054</c:v>
                </c:pt>
                <c:pt idx="47">
                  <c:v>79.641612742658054</c:v>
                </c:pt>
                <c:pt idx="48">
                  <c:v>79.641612742658054</c:v>
                </c:pt>
                <c:pt idx="49">
                  <c:v>79.641612742658054</c:v>
                </c:pt>
                <c:pt idx="50">
                  <c:v>79.641612742658054</c:v>
                </c:pt>
                <c:pt idx="51">
                  <c:v>79.641612742658054</c:v>
                </c:pt>
                <c:pt idx="52">
                  <c:v>79.641612742658054</c:v>
                </c:pt>
                <c:pt idx="53">
                  <c:v>79.641612742658054</c:v>
                </c:pt>
                <c:pt idx="54">
                  <c:v>79.641612742658054</c:v>
                </c:pt>
                <c:pt idx="55">
                  <c:v>79.641612742658054</c:v>
                </c:pt>
                <c:pt idx="56">
                  <c:v>79.641612742658054</c:v>
                </c:pt>
                <c:pt idx="57">
                  <c:v>79.641612742658054</c:v>
                </c:pt>
                <c:pt idx="58">
                  <c:v>79.641612742658054</c:v>
                </c:pt>
                <c:pt idx="59">
                  <c:v>79.641612742658054</c:v>
                </c:pt>
                <c:pt idx="60">
                  <c:v>79.641612742658054</c:v>
                </c:pt>
                <c:pt idx="61">
                  <c:v>79.641612742658054</c:v>
                </c:pt>
                <c:pt idx="62">
                  <c:v>79.641612742658054</c:v>
                </c:pt>
                <c:pt idx="63">
                  <c:v>79.641612742658054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'Opium (Adjusted)'!$H$6</c:f>
              <c:strCache>
                <c:ptCount val="1"/>
                <c:pt idx="0">
                  <c:v>Turkey &amp; Constantinople, Exports, in pound/cwts.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(Adjusted)'!$H$7:$H$107</c:f>
              <c:numCache>
                <c:formatCode>0.0000</c:formatCode>
                <c:ptCount val="76"/>
                <c:pt idx="31">
                  <c:v>89.600000000000009</c:v>
                </c:pt>
                <c:pt idx="35">
                  <c:v>64.399999999999991</c:v>
                </c:pt>
                <c:pt idx="36">
                  <c:v>49.532974808944253</c:v>
                </c:pt>
                <c:pt idx="37">
                  <c:v>97.264750533926872</c:v>
                </c:pt>
                <c:pt idx="39">
                  <c:v>57.86666666666671</c:v>
                </c:pt>
                <c:pt idx="41">
                  <c:v>39.199999999999996</c:v>
                </c:pt>
                <c:pt idx="42">
                  <c:v>46.736877456277753</c:v>
                </c:pt>
                <c:pt idx="43">
                  <c:v>53.821050788315858</c:v>
                </c:pt>
                <c:pt idx="44">
                  <c:v>56.619352845779503</c:v>
                </c:pt>
                <c:pt idx="45">
                  <c:v>57.058057654723996</c:v>
                </c:pt>
                <c:pt idx="46">
                  <c:v>56.409279483037011</c:v>
                </c:pt>
                <c:pt idx="50">
                  <c:v>55.008849557522005</c:v>
                </c:pt>
                <c:pt idx="56">
                  <c:v>102.2</c:v>
                </c:pt>
                <c:pt idx="57">
                  <c:v>67.68292682926851</c:v>
                </c:pt>
                <c:pt idx="61">
                  <c:v>111.13594771241824</c:v>
                </c:pt>
                <c:pt idx="62">
                  <c:v>75.133333333333297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'Opium (Adjusted)'!$I$6</c:f>
              <c:strCache>
                <c:ptCount val="1"/>
                <c:pt idx="0">
                  <c:v>Istanbul (Malatya), Exports, in pound/cwts.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3175">
                <a:solidFill>
                  <a:schemeClr val="accent4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(Adjusted)'!$I$7:$I$107</c:f>
              <c:numCache>
                <c:formatCode>0.0000</c:formatCode>
                <c:ptCount val="76"/>
                <c:pt idx="26">
                  <c:v>83.140533774268249</c:v>
                </c:pt>
                <c:pt idx="27">
                  <c:v>77.178936052942845</c:v>
                </c:pt>
                <c:pt idx="28">
                  <c:v>65.531256134515786</c:v>
                </c:pt>
                <c:pt idx="29">
                  <c:v>73.075122711499191</c:v>
                </c:pt>
                <c:pt idx="30">
                  <c:v>106.47234479809796</c:v>
                </c:pt>
                <c:pt idx="35">
                  <c:v>70.103783172544453</c:v>
                </c:pt>
                <c:pt idx="36">
                  <c:v>57.809079997175743</c:v>
                </c:pt>
                <c:pt idx="37">
                  <c:v>82.232236984663786</c:v>
                </c:pt>
                <c:pt idx="38">
                  <c:v>64.442624087817009</c:v>
                </c:pt>
                <c:pt idx="39">
                  <c:v>70.76877651755855</c:v>
                </c:pt>
                <c:pt idx="40">
                  <c:v>65.297927377995165</c:v>
                </c:pt>
                <c:pt idx="41">
                  <c:v>46.978075784045387</c:v>
                </c:pt>
                <c:pt idx="42">
                  <c:v>38.870214090429478</c:v>
                </c:pt>
                <c:pt idx="43">
                  <c:v>55.000383193052201</c:v>
                </c:pt>
                <c:pt idx="44">
                  <c:v>46.459083527501235</c:v>
                </c:pt>
                <c:pt idx="45">
                  <c:v>41.836870056610458</c:v>
                </c:pt>
                <c:pt idx="46">
                  <c:v>56.90372978807283</c:v>
                </c:pt>
                <c:pt idx="47">
                  <c:v>43.174121610931337</c:v>
                </c:pt>
                <c:pt idx="48">
                  <c:v>50.357914848673069</c:v>
                </c:pt>
                <c:pt idx="49">
                  <c:v>42.964286191225561</c:v>
                </c:pt>
                <c:pt idx="50">
                  <c:v>47.1807003502349</c:v>
                </c:pt>
                <c:pt idx="51">
                  <c:v>50.530176815088147</c:v>
                </c:pt>
                <c:pt idx="53">
                  <c:v>45.362755778741274</c:v>
                </c:pt>
                <c:pt idx="54">
                  <c:v>39.584445518998798</c:v>
                </c:pt>
                <c:pt idx="55">
                  <c:v>39.060299147705202</c:v>
                </c:pt>
                <c:pt idx="56">
                  <c:v>46.357442964549733</c:v>
                </c:pt>
                <c:pt idx="57">
                  <c:v>59.356775236552288</c:v>
                </c:pt>
                <c:pt idx="58">
                  <c:v>70.542322183923545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'Opium (Adjusted)'!$J$6</c:f>
              <c:strCache>
                <c:ptCount val="1"/>
                <c:pt idx="0">
                  <c:v>Istanbul (Geyve), Exports, in pound/cwts.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(Adjusted)'!$J$7:$J$107</c:f>
              <c:numCache>
                <c:formatCode>0.0000</c:formatCode>
                <c:ptCount val="76"/>
                <c:pt idx="26">
                  <c:v>75.287776261653505</c:v>
                </c:pt>
                <c:pt idx="27">
                  <c:v>71.661776208014444</c:v>
                </c:pt>
                <c:pt idx="28">
                  <c:v>61.113418642301248</c:v>
                </c:pt>
                <c:pt idx="29">
                  <c:v>63.116989756825959</c:v>
                </c:pt>
                <c:pt idx="30">
                  <c:v>97.61151129050225</c:v>
                </c:pt>
                <c:pt idx="35">
                  <c:v>51.777159652818369</c:v>
                </c:pt>
                <c:pt idx="36">
                  <c:v>40.821153710372094</c:v>
                </c:pt>
                <c:pt idx="37">
                  <c:v>69.238691393553395</c:v>
                </c:pt>
                <c:pt idx="38">
                  <c:v>42.513866681162874</c:v>
                </c:pt>
                <c:pt idx="39">
                  <c:v>46.728672019923877</c:v>
                </c:pt>
                <c:pt idx="40">
                  <c:v>57.810556315110446</c:v>
                </c:pt>
                <c:pt idx="41">
                  <c:v>39.610554861189392</c:v>
                </c:pt>
                <c:pt idx="42">
                  <c:v>36.278866484400844</c:v>
                </c:pt>
                <c:pt idx="43">
                  <c:v>48.157815835176415</c:v>
                </c:pt>
                <c:pt idx="44">
                  <c:v>41.351879309939044</c:v>
                </c:pt>
                <c:pt idx="45">
                  <c:v>38.314121078914447</c:v>
                </c:pt>
                <c:pt idx="46">
                  <c:v>43.655830196787129</c:v>
                </c:pt>
                <c:pt idx="47">
                  <c:v>38.422351620297917</c:v>
                </c:pt>
                <c:pt idx="48">
                  <c:v>44.888003408213756</c:v>
                </c:pt>
                <c:pt idx="49">
                  <c:v>40.139427860272107</c:v>
                </c:pt>
                <c:pt idx="50">
                  <c:v>44.007953062267475</c:v>
                </c:pt>
                <c:pt idx="51">
                  <c:v>43.560497254386334</c:v>
                </c:pt>
                <c:pt idx="52">
                  <c:v>35.858308331899963</c:v>
                </c:pt>
                <c:pt idx="53">
                  <c:v>42.811767865536758</c:v>
                </c:pt>
                <c:pt idx="54">
                  <c:v>34.056887811390858</c:v>
                </c:pt>
                <c:pt idx="55">
                  <c:v>35.013511398168177</c:v>
                </c:pt>
                <c:pt idx="56">
                  <c:v>38.622364400801182</c:v>
                </c:pt>
                <c:pt idx="57">
                  <c:v>55.072376422485362</c:v>
                </c:pt>
                <c:pt idx="58">
                  <c:v>62.903981565282145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'Opium (Adjusted)'!$K$6</c:f>
              <c:strCache>
                <c:ptCount val="1"/>
                <c:pt idx="0">
                  <c:v>Istanbul (Nallrihan), Exports, in pound/cwts.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(Adjusted)'!$K$7:$K$107</c:f>
              <c:numCache>
                <c:formatCode>0.0000</c:formatCode>
                <c:ptCount val="76"/>
                <c:pt idx="35">
                  <c:v>52.31094480387835</c:v>
                </c:pt>
                <c:pt idx="36">
                  <c:v>42.010873402527714</c:v>
                </c:pt>
                <c:pt idx="37">
                  <c:v>70.728245282146062</c:v>
                </c:pt>
                <c:pt idx="38">
                  <c:v>44.298399356668476</c:v>
                </c:pt>
                <c:pt idx="39">
                  <c:v>48.303068815672084</c:v>
                </c:pt>
                <c:pt idx="40">
                  <c:v>57.512211716829384</c:v>
                </c:pt>
                <c:pt idx="41">
                  <c:v>39.462570222853692</c:v>
                </c:pt>
                <c:pt idx="42">
                  <c:v>38.583438288695639</c:v>
                </c:pt>
                <c:pt idx="43">
                  <c:v>49.02396360199613</c:v>
                </c:pt>
                <c:pt idx="44">
                  <c:v>35.420932476641021</c:v>
                </c:pt>
                <c:pt idx="45">
                  <c:v>38.331024864795907</c:v>
                </c:pt>
                <c:pt idx="46">
                  <c:v>42.738257553954455</c:v>
                </c:pt>
                <c:pt idx="52">
                  <c:v>33.166764607229503</c:v>
                </c:pt>
                <c:pt idx="53">
                  <c:v>42.338572060158526</c:v>
                </c:pt>
                <c:pt idx="54">
                  <c:v>33.835785503086541</c:v>
                </c:pt>
                <c:pt idx="55">
                  <c:v>39.120121227480972</c:v>
                </c:pt>
                <c:pt idx="56">
                  <c:v>38.180460917954484</c:v>
                </c:pt>
                <c:pt idx="57">
                  <c:v>51.502044077429581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'Opium (Adjusted)'!$L$6</c:f>
              <c:strCache>
                <c:ptCount val="1"/>
                <c:pt idx="0">
                  <c:v>Trebizond (Persia), Exports, in pound/cwts.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3175">
                <a:solidFill>
                  <a:schemeClr val="accent2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(Adjusted)'!$L$7:$L$107</c:f>
              <c:numCache>
                <c:formatCode>0.0000</c:formatCode>
                <c:ptCount val="76"/>
                <c:pt idx="33">
                  <c:v>85.712500000000006</c:v>
                </c:pt>
                <c:pt idx="34">
                  <c:v>85.714285714285708</c:v>
                </c:pt>
                <c:pt idx="44">
                  <c:v>17.777777777777779</c:v>
                </c:pt>
                <c:pt idx="45">
                  <c:v>26.68</c:v>
                </c:pt>
                <c:pt idx="46">
                  <c:v>49.375</c:v>
                </c:pt>
                <c:pt idx="47">
                  <c:v>51.111111111111114</c:v>
                </c:pt>
                <c:pt idx="48">
                  <c:v>38.4</c:v>
                </c:pt>
                <c:pt idx="49">
                  <c:v>40</c:v>
                </c:pt>
                <c:pt idx="50">
                  <c:v>40</c:v>
                </c:pt>
                <c:pt idx="51">
                  <c:v>41.142857142857146</c:v>
                </c:pt>
                <c:pt idx="52">
                  <c:v>40</c:v>
                </c:pt>
                <c:pt idx="53">
                  <c:v>40</c:v>
                </c:pt>
              </c:numCache>
            </c:numRef>
          </c:val>
          <c:smooth val="0"/>
        </c:ser>
        <c:ser>
          <c:idx val="2"/>
          <c:order val="8"/>
          <c:tx>
            <c:strRef>
              <c:f>'Opium (Adjusted)'!$M$6</c:f>
              <c:strCache>
                <c:ptCount val="1"/>
                <c:pt idx="0">
                  <c:v>Izmir, Exports, in pound/cwts.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3175">
                <a:solidFill>
                  <a:schemeClr val="accent3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(Adjusted)'!$M$7:$M$107</c:f>
              <c:numCache>
                <c:formatCode>0.0000</c:formatCode>
                <c:ptCount val="76"/>
                <c:pt idx="14">
                  <c:v>75.600000000000009</c:v>
                </c:pt>
                <c:pt idx="15">
                  <c:v>6.5333333333333297</c:v>
                </c:pt>
                <c:pt idx="16">
                  <c:v>95.2</c:v>
                </c:pt>
                <c:pt idx="18">
                  <c:v>106.39999999999999</c:v>
                </c:pt>
                <c:pt idx="19">
                  <c:v>235.20000000000002</c:v>
                </c:pt>
                <c:pt idx="21">
                  <c:v>95.2</c:v>
                </c:pt>
                <c:pt idx="22">
                  <c:v>156.79999999999998</c:v>
                </c:pt>
                <c:pt idx="24">
                  <c:v>156.79999999999998</c:v>
                </c:pt>
                <c:pt idx="25">
                  <c:v>89.600000000000009</c:v>
                </c:pt>
                <c:pt idx="26">
                  <c:v>117.60000000000001</c:v>
                </c:pt>
                <c:pt idx="27">
                  <c:v>111.719875401682</c:v>
                </c:pt>
                <c:pt idx="28">
                  <c:v>95.569935291189495</c:v>
                </c:pt>
                <c:pt idx="29">
                  <c:v>100.33933223710851</c:v>
                </c:pt>
                <c:pt idx="30">
                  <c:v>131.962769852267</c:v>
                </c:pt>
                <c:pt idx="31">
                  <c:v>79.641612742658012</c:v>
                </c:pt>
                <c:pt idx="32">
                  <c:v>79.641612742658012</c:v>
                </c:pt>
                <c:pt idx="33">
                  <c:v>71.677451468391993</c:v>
                </c:pt>
                <c:pt idx="34">
                  <c:v>79.641612742658012</c:v>
                </c:pt>
                <c:pt idx="35">
                  <c:v>70.084619213539</c:v>
                </c:pt>
                <c:pt idx="36">
                  <c:v>81.035289742595012</c:v>
                </c:pt>
                <c:pt idx="38">
                  <c:v>63.7132901941265</c:v>
                </c:pt>
                <c:pt idx="39">
                  <c:v>62.056317043104507</c:v>
                </c:pt>
                <c:pt idx="40">
                  <c:v>54.15629666500751</c:v>
                </c:pt>
                <c:pt idx="41">
                  <c:v>50.970632155301004</c:v>
                </c:pt>
                <c:pt idx="42">
                  <c:v>50.970632155301004</c:v>
                </c:pt>
                <c:pt idx="44">
                  <c:v>59.606314189388506</c:v>
                </c:pt>
                <c:pt idx="48">
                  <c:v>68.027491408934495</c:v>
                </c:pt>
                <c:pt idx="49">
                  <c:v>104.18681856440952</c:v>
                </c:pt>
                <c:pt idx="50">
                  <c:v>66.103703703703502</c:v>
                </c:pt>
                <c:pt idx="51">
                  <c:v>66.761777777778008</c:v>
                </c:pt>
                <c:pt idx="52">
                  <c:v>66.896666666666505</c:v>
                </c:pt>
                <c:pt idx="53">
                  <c:v>53.326288659794002</c:v>
                </c:pt>
                <c:pt idx="54">
                  <c:v>59.541237113401998</c:v>
                </c:pt>
                <c:pt idx="55">
                  <c:v>54.513526570048498</c:v>
                </c:pt>
                <c:pt idx="56">
                  <c:v>54.913833992095</c:v>
                </c:pt>
                <c:pt idx="57">
                  <c:v>55.597000000000008</c:v>
                </c:pt>
                <c:pt idx="58">
                  <c:v>44.371341463414652</c:v>
                </c:pt>
                <c:pt idx="60">
                  <c:v>86.501666666666495</c:v>
                </c:pt>
              </c:numCache>
            </c:numRef>
          </c:val>
          <c:smooth val="0"/>
        </c:ser>
        <c:ser>
          <c:idx val="4"/>
          <c:order val="9"/>
          <c:tx>
            <c:strRef>
              <c:f>'Opium (Adjusted)'!$N$6</c:f>
              <c:strCache>
                <c:ptCount val="1"/>
                <c:pt idx="0">
                  <c:v>Alexandretta, Exports, in pound/cwts.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3175">
                <a:solidFill>
                  <a:schemeClr val="accent5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(Adjusted)'!$N$7:$N$13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770176"/>
        <c:axId val="704770736"/>
      </c:lineChart>
      <c:catAx>
        <c:axId val="70477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70736"/>
        <c:crosses val="autoZero"/>
        <c:auto val="1"/>
        <c:lblAlgn val="ctr"/>
        <c:lblOffset val="100"/>
        <c:noMultiLvlLbl val="0"/>
      </c:catAx>
      <c:valAx>
        <c:axId val="70477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7017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Opium, UK, Mediterranean Sea, Caspian Sea, Persian Gulf &amp; Bengal, in pound/cwts. </a:t>
            </a:r>
            <a:endParaRPr lang="en-US" sz="1100" b="1">
              <a:solidFill>
                <a:schemeClr val="tx1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806045795999641E-2"/>
          <c:y val="9.8121693121693124E-2"/>
          <c:w val="0.6974356044611143"/>
          <c:h val="0.82131421072365951"/>
        </c:manualLayout>
      </c:layout>
      <c:lineChart>
        <c:grouping val="standard"/>
        <c:varyColors val="0"/>
        <c:ser>
          <c:idx val="4"/>
          <c:order val="0"/>
          <c:tx>
            <c:strRef>
              <c:f>'Opium (Adjusted)'!$C$6</c:f>
              <c:strCache>
                <c:ptCount val="1"/>
                <c:pt idx="0">
                  <c:v>UK, Exports (foreign and colonial), in pound/cwts.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3175">
                <a:solidFill>
                  <a:schemeClr val="accent5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(Adjusted)'!$C$7:$C$107</c:f>
              <c:numCache>
                <c:formatCode>0.0000</c:formatCode>
                <c:ptCount val="76"/>
                <c:pt idx="4">
                  <c:v>86.333094524453543</c:v>
                </c:pt>
                <c:pt idx="5">
                  <c:v>76.999301996290612</c:v>
                </c:pt>
                <c:pt idx="6">
                  <c:v>83.999456088890625</c:v>
                </c:pt>
                <c:pt idx="7">
                  <c:v>83.532228784153318</c:v>
                </c:pt>
                <c:pt idx="8">
                  <c:v>106.95392487269686</c:v>
                </c:pt>
                <c:pt idx="9">
                  <c:v>107.33351041627139</c:v>
                </c:pt>
                <c:pt idx="10">
                  <c:v>104.06640019577453</c:v>
                </c:pt>
                <c:pt idx="11">
                  <c:v>90.066731007858806</c:v>
                </c:pt>
                <c:pt idx="12">
                  <c:v>95.199655589495478</c:v>
                </c:pt>
                <c:pt idx="13">
                  <c:v>102.19983469723253</c:v>
                </c:pt>
                <c:pt idx="14">
                  <c:v>92.400233976769442</c:v>
                </c:pt>
                <c:pt idx="15">
                  <c:v>80.266454545454536</c:v>
                </c:pt>
                <c:pt idx="16">
                  <c:v>93.333200882688928</c:v>
                </c:pt>
                <c:pt idx="17">
                  <c:v>91.467031154263097</c:v>
                </c:pt>
                <c:pt idx="18">
                  <c:v>139.9997741297947</c:v>
                </c:pt>
                <c:pt idx="19">
                  <c:v>180.60168346088238</c:v>
                </c:pt>
                <c:pt idx="20">
                  <c:v>146.06672251253207</c:v>
                </c:pt>
                <c:pt idx="21">
                  <c:v>111.91219229730741</c:v>
                </c:pt>
                <c:pt idx="22">
                  <c:v>112.30772724176299</c:v>
                </c:pt>
                <c:pt idx="23">
                  <c:v>119.72540177270858</c:v>
                </c:pt>
                <c:pt idx="24">
                  <c:v>121.91671617043222</c:v>
                </c:pt>
                <c:pt idx="25">
                  <c:v>117.26207478663969</c:v>
                </c:pt>
                <c:pt idx="26">
                  <c:v>105.81410267288926</c:v>
                </c:pt>
                <c:pt idx="27">
                  <c:v>108.18936032188867</c:v>
                </c:pt>
                <c:pt idx="28">
                  <c:v>91.329982823334817</c:v>
                </c:pt>
                <c:pt idx="29">
                  <c:v>90.370615224371392</c:v>
                </c:pt>
                <c:pt idx="30">
                  <c:v>109.56591478696743</c:v>
                </c:pt>
                <c:pt idx="31">
                  <c:v>94.463831513151845</c:v>
                </c:pt>
                <c:pt idx="32">
                  <c:v>86.587551485500427</c:v>
                </c:pt>
                <c:pt idx="33">
                  <c:v>81.846741708391377</c:v>
                </c:pt>
                <c:pt idx="34">
                  <c:v>88.166301579593579</c:v>
                </c:pt>
                <c:pt idx="35">
                  <c:v>70.928381264169943</c:v>
                </c:pt>
                <c:pt idx="36">
                  <c:v>65.679859388710355</c:v>
                </c:pt>
                <c:pt idx="37">
                  <c:v>76.374030475424547</c:v>
                </c:pt>
                <c:pt idx="38">
                  <c:v>69.34144195802368</c:v>
                </c:pt>
                <c:pt idx="39">
                  <c:v>62.686301978337369</c:v>
                </c:pt>
                <c:pt idx="40">
                  <c:v>69.497282099343963</c:v>
                </c:pt>
                <c:pt idx="41">
                  <c:v>60.112094752196384</c:v>
                </c:pt>
                <c:pt idx="42">
                  <c:v>52.264219353963696</c:v>
                </c:pt>
                <c:pt idx="43">
                  <c:v>59.781271464550102</c:v>
                </c:pt>
                <c:pt idx="44">
                  <c:v>57.687427290205811</c:v>
                </c:pt>
                <c:pt idx="45">
                  <c:v>58.564772162386085</c:v>
                </c:pt>
                <c:pt idx="46">
                  <c:v>57.142251532802597</c:v>
                </c:pt>
                <c:pt idx="47">
                  <c:v>53.822059992054029</c:v>
                </c:pt>
                <c:pt idx="48">
                  <c:v>60.197927349968886</c:v>
                </c:pt>
                <c:pt idx="49">
                  <c:v>56.611424941837967</c:v>
                </c:pt>
                <c:pt idx="50">
                  <c:v>58.035289850024135</c:v>
                </c:pt>
                <c:pt idx="51">
                  <c:v>59.968189976257882</c:v>
                </c:pt>
                <c:pt idx="52">
                  <c:v>56.6370877534602</c:v>
                </c:pt>
                <c:pt idx="53">
                  <c:v>58.06921445081214</c:v>
                </c:pt>
                <c:pt idx="54">
                  <c:v>63.016791905983482</c:v>
                </c:pt>
                <c:pt idx="55">
                  <c:v>57.73856392687653</c:v>
                </c:pt>
                <c:pt idx="56">
                  <c:v>57.733602229340974</c:v>
                </c:pt>
                <c:pt idx="57">
                  <c:v>76.178759534252862</c:v>
                </c:pt>
                <c:pt idx="58">
                  <c:v>73.780548203547966</c:v>
                </c:pt>
                <c:pt idx="59">
                  <c:v>78.002201905126611</c:v>
                </c:pt>
                <c:pt idx="60">
                  <c:v>90.153274838897588</c:v>
                </c:pt>
                <c:pt idx="61">
                  <c:v>102.57892958642208</c:v>
                </c:pt>
                <c:pt idx="62">
                  <c:v>128.15847786852652</c:v>
                </c:pt>
                <c:pt idx="63">
                  <c:v>113.55479301207045</c:v>
                </c:pt>
                <c:pt idx="64">
                  <c:v>106.20397161428826</c:v>
                </c:pt>
                <c:pt idx="65">
                  <c:v>120.19941627316517</c:v>
                </c:pt>
                <c:pt idx="66">
                  <c:v>137.28445804573309</c:v>
                </c:pt>
                <c:pt idx="67">
                  <c:v>232.39311380114344</c:v>
                </c:pt>
                <c:pt idx="68">
                  <c:v>333.87042645087627</c:v>
                </c:pt>
                <c:pt idx="69">
                  <c:v>255.21626912781176</c:v>
                </c:pt>
                <c:pt idx="70">
                  <c:v>135.02193606348729</c:v>
                </c:pt>
              </c:numCache>
            </c:numRef>
          </c:val>
          <c:smooth val="0"/>
        </c:ser>
        <c:ser>
          <c:idx val="9"/>
          <c:order val="1"/>
          <c:tx>
            <c:strRef>
              <c:f>'Opium (Adjusted)'!$H$6</c:f>
              <c:strCache>
                <c:ptCount val="1"/>
                <c:pt idx="0">
                  <c:v>Turkey &amp; Constantinople, Exports, in pound/cwts.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(Adjusted)'!$H$7:$H$107</c:f>
              <c:numCache>
                <c:formatCode>0.0000</c:formatCode>
                <c:ptCount val="76"/>
                <c:pt idx="31">
                  <c:v>89.600000000000009</c:v>
                </c:pt>
                <c:pt idx="35">
                  <c:v>64.399999999999991</c:v>
                </c:pt>
                <c:pt idx="36">
                  <c:v>49.532974808944253</c:v>
                </c:pt>
                <c:pt idx="37">
                  <c:v>97.264750533926872</c:v>
                </c:pt>
                <c:pt idx="39">
                  <c:v>57.86666666666671</c:v>
                </c:pt>
                <c:pt idx="41">
                  <c:v>39.199999999999996</c:v>
                </c:pt>
                <c:pt idx="42">
                  <c:v>46.736877456277753</c:v>
                </c:pt>
                <c:pt idx="43">
                  <c:v>53.821050788315858</c:v>
                </c:pt>
                <c:pt idx="44">
                  <c:v>56.619352845779503</c:v>
                </c:pt>
                <c:pt idx="45">
                  <c:v>57.058057654723996</c:v>
                </c:pt>
                <c:pt idx="46">
                  <c:v>56.409279483037011</c:v>
                </c:pt>
                <c:pt idx="50">
                  <c:v>55.008849557522005</c:v>
                </c:pt>
                <c:pt idx="56">
                  <c:v>102.2</c:v>
                </c:pt>
                <c:pt idx="57">
                  <c:v>67.68292682926851</c:v>
                </c:pt>
                <c:pt idx="61">
                  <c:v>111.13594771241824</c:v>
                </c:pt>
                <c:pt idx="62">
                  <c:v>75.133333333333297</c:v>
                </c:pt>
              </c:numCache>
            </c:numRef>
          </c:val>
          <c:smooth val="0"/>
        </c:ser>
        <c:ser>
          <c:idx val="10"/>
          <c:order val="2"/>
          <c:tx>
            <c:strRef>
              <c:f>'Opium (Adjusted)'!$I$6</c:f>
              <c:strCache>
                <c:ptCount val="1"/>
                <c:pt idx="0">
                  <c:v>Istanbul (Malatya), Exports, in pound/cwts.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(Adjusted)'!$I$7:$I$107</c:f>
              <c:numCache>
                <c:formatCode>0.0000</c:formatCode>
                <c:ptCount val="76"/>
                <c:pt idx="26">
                  <c:v>83.140533774268249</c:v>
                </c:pt>
                <c:pt idx="27">
                  <c:v>77.178936052942845</c:v>
                </c:pt>
                <c:pt idx="28">
                  <c:v>65.531256134515786</c:v>
                </c:pt>
                <c:pt idx="29">
                  <c:v>73.075122711499191</c:v>
                </c:pt>
                <c:pt idx="30">
                  <c:v>106.47234479809796</c:v>
                </c:pt>
                <c:pt idx="35">
                  <c:v>70.103783172544453</c:v>
                </c:pt>
                <c:pt idx="36">
                  <c:v>57.809079997175743</c:v>
                </c:pt>
                <c:pt idx="37">
                  <c:v>82.232236984663786</c:v>
                </c:pt>
                <c:pt idx="38">
                  <c:v>64.442624087817009</c:v>
                </c:pt>
                <c:pt idx="39">
                  <c:v>70.76877651755855</c:v>
                </c:pt>
                <c:pt idx="40">
                  <c:v>65.297927377995165</c:v>
                </c:pt>
                <c:pt idx="41">
                  <c:v>46.978075784045387</c:v>
                </c:pt>
                <c:pt idx="42">
                  <c:v>38.870214090429478</c:v>
                </c:pt>
                <c:pt idx="43">
                  <c:v>55.000383193052201</c:v>
                </c:pt>
                <c:pt idx="44">
                  <c:v>46.459083527501235</c:v>
                </c:pt>
                <c:pt idx="45">
                  <c:v>41.836870056610458</c:v>
                </c:pt>
                <c:pt idx="46">
                  <c:v>56.90372978807283</c:v>
                </c:pt>
                <c:pt idx="47">
                  <c:v>43.174121610931337</c:v>
                </c:pt>
                <c:pt idx="48">
                  <c:v>50.357914848673069</c:v>
                </c:pt>
                <c:pt idx="49">
                  <c:v>42.964286191225561</c:v>
                </c:pt>
                <c:pt idx="50">
                  <c:v>47.1807003502349</c:v>
                </c:pt>
                <c:pt idx="51">
                  <c:v>50.530176815088147</c:v>
                </c:pt>
                <c:pt idx="53">
                  <c:v>45.362755778741274</c:v>
                </c:pt>
                <c:pt idx="54">
                  <c:v>39.584445518998798</c:v>
                </c:pt>
                <c:pt idx="55">
                  <c:v>39.060299147705202</c:v>
                </c:pt>
                <c:pt idx="56">
                  <c:v>46.357442964549733</c:v>
                </c:pt>
                <c:pt idx="57">
                  <c:v>59.356775236552288</c:v>
                </c:pt>
                <c:pt idx="58">
                  <c:v>70.542322183923545</c:v>
                </c:pt>
              </c:numCache>
            </c:numRef>
          </c:val>
          <c:smooth val="0"/>
        </c:ser>
        <c:ser>
          <c:idx val="11"/>
          <c:order val="3"/>
          <c:tx>
            <c:strRef>
              <c:f>'Opium (Adjusted)'!$J$6</c:f>
              <c:strCache>
                <c:ptCount val="1"/>
                <c:pt idx="0">
                  <c:v>Istanbul (Geyve), Exports, in pound/cwts.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317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(Adjusted)'!$J$7:$J$107</c:f>
              <c:numCache>
                <c:formatCode>0.0000</c:formatCode>
                <c:ptCount val="76"/>
                <c:pt idx="26">
                  <c:v>75.287776261653505</c:v>
                </c:pt>
                <c:pt idx="27">
                  <c:v>71.661776208014444</c:v>
                </c:pt>
                <c:pt idx="28">
                  <c:v>61.113418642301248</c:v>
                </c:pt>
                <c:pt idx="29">
                  <c:v>63.116989756825959</c:v>
                </c:pt>
                <c:pt idx="30">
                  <c:v>97.61151129050225</c:v>
                </c:pt>
                <c:pt idx="35">
                  <c:v>51.777159652818369</c:v>
                </c:pt>
                <c:pt idx="36">
                  <c:v>40.821153710372094</c:v>
                </c:pt>
                <c:pt idx="37">
                  <c:v>69.238691393553395</c:v>
                </c:pt>
                <c:pt idx="38">
                  <c:v>42.513866681162874</c:v>
                </c:pt>
                <c:pt idx="39">
                  <c:v>46.728672019923877</c:v>
                </c:pt>
                <c:pt idx="40">
                  <c:v>57.810556315110446</c:v>
                </c:pt>
                <c:pt idx="41">
                  <c:v>39.610554861189392</c:v>
                </c:pt>
                <c:pt idx="42">
                  <c:v>36.278866484400844</c:v>
                </c:pt>
                <c:pt idx="43">
                  <c:v>48.157815835176415</c:v>
                </c:pt>
                <c:pt idx="44">
                  <c:v>41.351879309939044</c:v>
                </c:pt>
                <c:pt idx="45">
                  <c:v>38.314121078914447</c:v>
                </c:pt>
                <c:pt idx="46">
                  <c:v>43.655830196787129</c:v>
                </c:pt>
                <c:pt idx="47">
                  <c:v>38.422351620297917</c:v>
                </c:pt>
                <c:pt idx="48">
                  <c:v>44.888003408213756</c:v>
                </c:pt>
                <c:pt idx="49">
                  <c:v>40.139427860272107</c:v>
                </c:pt>
                <c:pt idx="50">
                  <c:v>44.007953062267475</c:v>
                </c:pt>
                <c:pt idx="51">
                  <c:v>43.560497254386334</c:v>
                </c:pt>
                <c:pt idx="52">
                  <c:v>35.858308331899963</c:v>
                </c:pt>
                <c:pt idx="53">
                  <c:v>42.811767865536758</c:v>
                </c:pt>
                <c:pt idx="54">
                  <c:v>34.056887811390858</c:v>
                </c:pt>
                <c:pt idx="55">
                  <c:v>35.013511398168177</c:v>
                </c:pt>
                <c:pt idx="56">
                  <c:v>38.622364400801182</c:v>
                </c:pt>
                <c:pt idx="57">
                  <c:v>55.072376422485362</c:v>
                </c:pt>
                <c:pt idx="58">
                  <c:v>62.903981565282145</c:v>
                </c:pt>
              </c:numCache>
            </c:numRef>
          </c:val>
          <c:smooth val="0"/>
        </c:ser>
        <c:ser>
          <c:idx val="12"/>
          <c:order val="4"/>
          <c:tx>
            <c:strRef>
              <c:f>'Opium (Adjusted)'!$K$6</c:f>
              <c:strCache>
                <c:ptCount val="1"/>
                <c:pt idx="0">
                  <c:v>Istanbul (Nallrihan), Exports, in pound/cwts.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317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(Adjusted)'!$K$7:$K$107</c:f>
              <c:numCache>
                <c:formatCode>0.0000</c:formatCode>
                <c:ptCount val="76"/>
                <c:pt idx="35">
                  <c:v>52.31094480387835</c:v>
                </c:pt>
                <c:pt idx="36">
                  <c:v>42.010873402527714</c:v>
                </c:pt>
                <c:pt idx="37">
                  <c:v>70.728245282146062</c:v>
                </c:pt>
                <c:pt idx="38">
                  <c:v>44.298399356668476</c:v>
                </c:pt>
                <c:pt idx="39">
                  <c:v>48.303068815672084</c:v>
                </c:pt>
                <c:pt idx="40">
                  <c:v>57.512211716829384</c:v>
                </c:pt>
                <c:pt idx="41">
                  <c:v>39.462570222853692</c:v>
                </c:pt>
                <c:pt idx="42">
                  <c:v>38.583438288695639</c:v>
                </c:pt>
                <c:pt idx="43">
                  <c:v>49.02396360199613</c:v>
                </c:pt>
                <c:pt idx="44">
                  <c:v>35.420932476641021</c:v>
                </c:pt>
                <c:pt idx="45">
                  <c:v>38.331024864795907</c:v>
                </c:pt>
                <c:pt idx="46">
                  <c:v>42.738257553954455</c:v>
                </c:pt>
                <c:pt idx="52">
                  <c:v>33.166764607229503</c:v>
                </c:pt>
                <c:pt idx="53">
                  <c:v>42.338572060158526</c:v>
                </c:pt>
                <c:pt idx="54">
                  <c:v>33.835785503086541</c:v>
                </c:pt>
                <c:pt idx="55">
                  <c:v>39.120121227480972</c:v>
                </c:pt>
                <c:pt idx="56">
                  <c:v>38.180460917954484</c:v>
                </c:pt>
                <c:pt idx="57">
                  <c:v>51.502044077429581</c:v>
                </c:pt>
              </c:numCache>
            </c:numRef>
          </c:val>
          <c:smooth val="0"/>
        </c:ser>
        <c:ser>
          <c:idx val="14"/>
          <c:order val="5"/>
          <c:tx>
            <c:strRef>
              <c:f>'Opium (Adjusted)'!$M$6</c:f>
              <c:strCache>
                <c:ptCount val="1"/>
                <c:pt idx="0">
                  <c:v>Izmir, Exports, in pound/cwts.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317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(Adjusted)'!$M$7:$M$107</c:f>
              <c:numCache>
                <c:formatCode>0.0000</c:formatCode>
                <c:ptCount val="76"/>
                <c:pt idx="14">
                  <c:v>75.600000000000009</c:v>
                </c:pt>
                <c:pt idx="15">
                  <c:v>6.5333333333333297</c:v>
                </c:pt>
                <c:pt idx="16">
                  <c:v>95.2</c:v>
                </c:pt>
                <c:pt idx="18">
                  <c:v>106.39999999999999</c:v>
                </c:pt>
                <c:pt idx="19">
                  <c:v>235.20000000000002</c:v>
                </c:pt>
                <c:pt idx="21">
                  <c:v>95.2</c:v>
                </c:pt>
                <c:pt idx="22">
                  <c:v>156.79999999999998</c:v>
                </c:pt>
                <c:pt idx="24">
                  <c:v>156.79999999999998</c:v>
                </c:pt>
                <c:pt idx="25">
                  <c:v>89.600000000000009</c:v>
                </c:pt>
                <c:pt idx="26">
                  <c:v>117.60000000000001</c:v>
                </c:pt>
                <c:pt idx="27">
                  <c:v>111.719875401682</c:v>
                </c:pt>
                <c:pt idx="28">
                  <c:v>95.569935291189495</c:v>
                </c:pt>
                <c:pt idx="29">
                  <c:v>100.33933223710851</c:v>
                </c:pt>
                <c:pt idx="30">
                  <c:v>131.962769852267</c:v>
                </c:pt>
                <c:pt idx="31">
                  <c:v>79.641612742658012</c:v>
                </c:pt>
                <c:pt idx="32">
                  <c:v>79.641612742658012</c:v>
                </c:pt>
                <c:pt idx="33">
                  <c:v>71.677451468391993</c:v>
                </c:pt>
                <c:pt idx="34">
                  <c:v>79.641612742658012</c:v>
                </c:pt>
                <c:pt idx="35">
                  <c:v>70.084619213539</c:v>
                </c:pt>
                <c:pt idx="36">
                  <c:v>81.035289742595012</c:v>
                </c:pt>
                <c:pt idx="38">
                  <c:v>63.7132901941265</c:v>
                </c:pt>
                <c:pt idx="39">
                  <c:v>62.056317043104507</c:v>
                </c:pt>
                <c:pt idx="40">
                  <c:v>54.15629666500751</c:v>
                </c:pt>
                <c:pt idx="41">
                  <c:v>50.970632155301004</c:v>
                </c:pt>
                <c:pt idx="42">
                  <c:v>50.970632155301004</c:v>
                </c:pt>
                <c:pt idx="44">
                  <c:v>59.606314189388506</c:v>
                </c:pt>
                <c:pt idx="48">
                  <c:v>68.027491408934495</c:v>
                </c:pt>
                <c:pt idx="49">
                  <c:v>104.18681856440952</c:v>
                </c:pt>
                <c:pt idx="50">
                  <c:v>66.103703703703502</c:v>
                </c:pt>
                <c:pt idx="51">
                  <c:v>66.761777777778008</c:v>
                </c:pt>
                <c:pt idx="52">
                  <c:v>66.896666666666505</c:v>
                </c:pt>
                <c:pt idx="53">
                  <c:v>53.326288659794002</c:v>
                </c:pt>
                <c:pt idx="54">
                  <c:v>59.541237113401998</c:v>
                </c:pt>
                <c:pt idx="55">
                  <c:v>54.513526570048498</c:v>
                </c:pt>
                <c:pt idx="56">
                  <c:v>54.913833992095</c:v>
                </c:pt>
                <c:pt idx="57">
                  <c:v>55.597000000000008</c:v>
                </c:pt>
                <c:pt idx="58">
                  <c:v>44.371341463414652</c:v>
                </c:pt>
                <c:pt idx="60">
                  <c:v>86.501666666666495</c:v>
                </c:pt>
              </c:numCache>
            </c:numRef>
          </c:val>
          <c:smooth val="0"/>
        </c:ser>
        <c:ser>
          <c:idx val="15"/>
          <c:order val="6"/>
          <c:tx>
            <c:strRef>
              <c:f>'Opium (Adjusted)'!$N$6</c:f>
              <c:strCache>
                <c:ptCount val="1"/>
                <c:pt idx="0">
                  <c:v>Alexandretta, Exports, in pound/cwts.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317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(Adjusted)'!$N$7:$N$107</c:f>
              <c:numCache>
                <c:formatCode>0.0000</c:formatCode>
                <c:ptCount val="76"/>
                <c:pt idx="40">
                  <c:v>40.271428571428551</c:v>
                </c:pt>
                <c:pt idx="41">
                  <c:v>40.24999999999995</c:v>
                </c:pt>
                <c:pt idx="42">
                  <c:v>40.24999999999995</c:v>
                </c:pt>
                <c:pt idx="43">
                  <c:v>40.264285714285705</c:v>
                </c:pt>
                <c:pt idx="44">
                  <c:v>40.24999999999995</c:v>
                </c:pt>
                <c:pt idx="45">
                  <c:v>40.24999999999995</c:v>
                </c:pt>
                <c:pt idx="46">
                  <c:v>40.549999999999955</c:v>
                </c:pt>
                <c:pt idx="47">
                  <c:v>40.24999999999995</c:v>
                </c:pt>
                <c:pt idx="48">
                  <c:v>40.99999999999995</c:v>
                </c:pt>
                <c:pt idx="49">
                  <c:v>42.24999999999995</c:v>
                </c:pt>
                <c:pt idx="50">
                  <c:v>42.77777777777775</c:v>
                </c:pt>
                <c:pt idx="51">
                  <c:v>42.18749999999995</c:v>
                </c:pt>
                <c:pt idx="52">
                  <c:v>42.49999999999995</c:v>
                </c:pt>
                <c:pt idx="53">
                  <c:v>42.019230769230752</c:v>
                </c:pt>
                <c:pt idx="54">
                  <c:v>42.2222222222222</c:v>
                </c:pt>
                <c:pt idx="55">
                  <c:v>42.24999999999995</c:v>
                </c:pt>
                <c:pt idx="56">
                  <c:v>42.2222222222222</c:v>
                </c:pt>
                <c:pt idx="57">
                  <c:v>42.142857142857103</c:v>
                </c:pt>
                <c:pt idx="58">
                  <c:v>42.071428571428555</c:v>
                </c:pt>
                <c:pt idx="59">
                  <c:v>42.099999999999952</c:v>
                </c:pt>
                <c:pt idx="60">
                  <c:v>41.99999999999995</c:v>
                </c:pt>
                <c:pt idx="61">
                  <c:v>41.745000000000005</c:v>
                </c:pt>
                <c:pt idx="62">
                  <c:v>41.745000000000005</c:v>
                </c:pt>
                <c:pt idx="63">
                  <c:v>41.414999999999999</c:v>
                </c:pt>
              </c:numCache>
            </c:numRef>
          </c:val>
          <c:smooth val="0"/>
        </c:ser>
        <c:ser>
          <c:idx val="23"/>
          <c:order val="13"/>
          <c:tx>
            <c:strRef>
              <c:f>'Opium (Adjusted)'!$V$6</c:f>
              <c:strCache>
                <c:ptCount val="1"/>
                <c:pt idx="0">
                  <c:v>Resht &amp; Ghilan &amp; Tunekabun, Exports, in pound/cwts.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317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(Adjusted)'!$V$7:$V$107</c:f>
              <c:numCache>
                <c:formatCode>0.0000</c:formatCode>
                <c:ptCount val="76"/>
                <c:pt idx="52">
                  <c:v>58.652173913043427</c:v>
                </c:pt>
                <c:pt idx="56">
                  <c:v>98.3934147033778</c:v>
                </c:pt>
                <c:pt idx="57">
                  <c:v>96.327332242225836</c:v>
                </c:pt>
              </c:numCache>
            </c:numRef>
          </c:val>
          <c:smooth val="0"/>
        </c:ser>
        <c:ser>
          <c:idx val="24"/>
          <c:order val="14"/>
          <c:tx>
            <c:strRef>
              <c:f>'Opium (Adjusted)'!$W$6</c:f>
              <c:strCache>
                <c:ptCount val="1"/>
                <c:pt idx="0">
                  <c:v>Bahrain, Imports, in pound/cwts.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(Adjusted)'!$W$7:$W$107</c:f>
              <c:numCache>
                <c:formatCode>0.0000</c:formatCode>
                <c:ptCount val="76"/>
                <c:pt idx="58">
                  <c:v>89.600000000000009</c:v>
                </c:pt>
              </c:numCache>
            </c:numRef>
          </c:val>
          <c:smooth val="0"/>
        </c:ser>
        <c:ser>
          <c:idx val="0"/>
          <c:order val="15"/>
          <c:tx>
            <c:strRef>
              <c:f>'Opium (Adjusted)'!$X$6</c:f>
              <c:strCache>
                <c:ptCount val="1"/>
                <c:pt idx="0">
                  <c:v>Muscat, Exports, in pound/cwts.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(Adjusted)'!$X$7:$X$107</c:f>
              <c:numCache>
                <c:formatCode>0.0000</c:formatCode>
                <c:ptCount val="76"/>
                <c:pt idx="25">
                  <c:v>45.874401330591034</c:v>
                </c:pt>
                <c:pt idx="27">
                  <c:v>55.263530174352113</c:v>
                </c:pt>
                <c:pt idx="28">
                  <c:v>70.660021097119142</c:v>
                </c:pt>
                <c:pt idx="29">
                  <c:v>68.89562104594259</c:v>
                </c:pt>
                <c:pt idx="30">
                  <c:v>122.91987023196832</c:v>
                </c:pt>
                <c:pt idx="31">
                  <c:v>69.483754396334788</c:v>
                </c:pt>
                <c:pt idx="32">
                  <c:v>90.219655950162377</c:v>
                </c:pt>
                <c:pt idx="33">
                  <c:v>60.419032440290017</c:v>
                </c:pt>
                <c:pt idx="34">
                  <c:v>68.055430545382308</c:v>
                </c:pt>
                <c:pt idx="35">
                  <c:v>32.641400946766701</c:v>
                </c:pt>
                <c:pt idx="36">
                  <c:v>97.596528545081611</c:v>
                </c:pt>
                <c:pt idx="37">
                  <c:v>100.12270131676613</c:v>
                </c:pt>
                <c:pt idx="38">
                  <c:v>92.219309341495858</c:v>
                </c:pt>
                <c:pt idx="39">
                  <c:v>8.6077516782400227</c:v>
                </c:pt>
                <c:pt idx="40">
                  <c:v>64.190554242805035</c:v>
                </c:pt>
                <c:pt idx="41">
                  <c:v>60.577735090395862</c:v>
                </c:pt>
                <c:pt idx="42">
                  <c:v>53.436115835633515</c:v>
                </c:pt>
                <c:pt idx="43">
                  <c:v>48.260542352182213</c:v>
                </c:pt>
                <c:pt idx="44">
                  <c:v>39.212026737348275</c:v>
                </c:pt>
              </c:numCache>
            </c:numRef>
          </c:val>
          <c:smooth val="0"/>
        </c:ser>
        <c:ser>
          <c:idx val="1"/>
          <c:order val="16"/>
          <c:tx>
            <c:strRef>
              <c:f>'Opium (Adjusted)'!$Y$6</c:f>
              <c:strCache>
                <c:ptCount val="1"/>
                <c:pt idx="0">
                  <c:v>Mohammerah, Exports, in pound/cwts.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3175">
                <a:solidFill>
                  <a:schemeClr val="accent2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(Adjusted)'!$Y$7:$Y$107</c:f>
              <c:numCache>
                <c:formatCode>0.0000</c:formatCode>
                <c:ptCount val="76"/>
                <c:pt idx="42">
                  <c:v>60.876780108390349</c:v>
                </c:pt>
                <c:pt idx="44">
                  <c:v>47.784967645594826</c:v>
                </c:pt>
                <c:pt idx="45">
                  <c:v>16.525634644101544</c:v>
                </c:pt>
                <c:pt idx="46">
                  <c:v>55.136501129532483</c:v>
                </c:pt>
                <c:pt idx="47">
                  <c:v>46.192135390741669</c:v>
                </c:pt>
                <c:pt idx="48">
                  <c:v>46.192135390741662</c:v>
                </c:pt>
                <c:pt idx="50">
                  <c:v>47.784967645594826</c:v>
                </c:pt>
                <c:pt idx="51">
                  <c:v>69.573462981017542</c:v>
                </c:pt>
                <c:pt idx="52">
                  <c:v>63.757083664139806</c:v>
                </c:pt>
              </c:numCache>
            </c:numRef>
          </c:val>
          <c:smooth val="0"/>
        </c:ser>
        <c:ser>
          <c:idx val="25"/>
          <c:order val="17"/>
          <c:tx>
            <c:strRef>
              <c:f>'Opium (Adjusted)'!$Z$6</c:f>
              <c:strCache>
                <c:ptCount val="1"/>
                <c:pt idx="0">
                  <c:v>Shiraz, Exports, in pound/cwts.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317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(Adjusted)'!$Z$7:$Z$107</c:f>
              <c:numCache>
                <c:formatCode>General</c:formatCode>
                <c:ptCount val="76"/>
                <c:pt idx="37" formatCode="0.0000">
                  <c:v>41.776129445389266</c:v>
                </c:pt>
                <c:pt idx="38" formatCode="0.0000">
                  <c:v>41.593435001750528</c:v>
                </c:pt>
                <c:pt idx="39" formatCode="0.0000">
                  <c:v>69.381153040345183</c:v>
                </c:pt>
                <c:pt idx="40" formatCode="0.0000">
                  <c:v>64.192345937389504</c:v>
                </c:pt>
                <c:pt idx="41" formatCode="0.0000">
                  <c:v>38.937735275282769</c:v>
                </c:pt>
                <c:pt idx="42" formatCode="0.0000">
                  <c:v>38.227108720243343</c:v>
                </c:pt>
                <c:pt idx="43" formatCode="0.0000">
                  <c:v>53.518033580812002</c:v>
                </c:pt>
                <c:pt idx="44" formatCode="0.0000">
                  <c:v>62.809425228793422</c:v>
                </c:pt>
                <c:pt idx="45" formatCode="0.0000">
                  <c:v>61.19895876004091</c:v>
                </c:pt>
                <c:pt idx="46" formatCode="0.0000">
                  <c:v>47.746419598761904</c:v>
                </c:pt>
                <c:pt idx="47" formatCode="0.0000">
                  <c:v>45.225269282122582</c:v>
                </c:pt>
                <c:pt idx="48" formatCode="0.0000">
                  <c:v>49.376515177207267</c:v>
                </c:pt>
                <c:pt idx="49" formatCode="0.0000">
                  <c:v>53.237936690037358</c:v>
                </c:pt>
                <c:pt idx="50" formatCode="0.0000">
                  <c:v>67.475203838484489</c:v>
                </c:pt>
                <c:pt idx="51" formatCode="0.0000">
                  <c:v>58.441708904054735</c:v>
                </c:pt>
              </c:numCache>
            </c:numRef>
          </c:val>
          <c:smooth val="0"/>
        </c:ser>
        <c:ser>
          <c:idx val="26"/>
          <c:order val="18"/>
          <c:tx>
            <c:strRef>
              <c:f>'Opium (Adjusted)'!$AA$6</c:f>
              <c:strCache>
                <c:ptCount val="1"/>
                <c:pt idx="0">
                  <c:v>Bengal, Exports, in pound/cwts.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(Adjusted)'!$AA$7:$AA$107</c:f>
              <c:numCache>
                <c:formatCode>General</c:formatCode>
                <c:ptCount val="76"/>
                <c:pt idx="35" formatCode="0.0000">
                  <c:v>35.547428571428576</c:v>
                </c:pt>
                <c:pt idx="36" formatCode="0.0000">
                  <c:v>33.298285714285718</c:v>
                </c:pt>
                <c:pt idx="37" formatCode="0.0000">
                  <c:v>30.691764705882349</c:v>
                </c:pt>
                <c:pt idx="38" formatCode="0.0000">
                  <c:v>30.458181818181824</c:v>
                </c:pt>
                <c:pt idx="39" formatCode="0.0000">
                  <c:v>35.869090909090914</c:v>
                </c:pt>
                <c:pt idx="40" formatCode="0.0000">
                  <c:v>30.026666666666667</c:v>
                </c:pt>
                <c:pt idx="41" formatCode="0.0000">
                  <c:v>29.430447761194031</c:v>
                </c:pt>
                <c:pt idx="42" formatCode="0.0000">
                  <c:v>33.216000000000001</c:v>
                </c:pt>
                <c:pt idx="43" formatCode="0.0000">
                  <c:v>41.478620689655173</c:v>
                </c:pt>
                <c:pt idx="44" formatCode="0.0000">
                  <c:v>40.689230769230768</c:v>
                </c:pt>
                <c:pt idx="45" formatCode="0.0000">
                  <c:v>54.151111111111121</c:v>
                </c:pt>
                <c:pt idx="46" formatCode="0.0000">
                  <c:v>43.365517241379315</c:v>
                </c:pt>
                <c:pt idx="47" formatCode="0.0000">
                  <c:v>33.723870967741931</c:v>
                </c:pt>
                <c:pt idx="48" formatCode="0.0000">
                  <c:v>31.32</c:v>
                </c:pt>
                <c:pt idx="49" formatCode="0.0000">
                  <c:v>33.870000000000005</c:v>
                </c:pt>
                <c:pt idx="50" formatCode="0.0000">
                  <c:v>38.82</c:v>
                </c:pt>
                <c:pt idx="51" formatCode="0.0000">
                  <c:v>39.18</c:v>
                </c:pt>
                <c:pt idx="52" formatCode="0.0000">
                  <c:v>37.049999999999997</c:v>
                </c:pt>
                <c:pt idx="53" formatCode="0.0000">
                  <c:v>34.5</c:v>
                </c:pt>
                <c:pt idx="54" formatCode="0.0000">
                  <c:v>48.81</c:v>
                </c:pt>
                <c:pt idx="55" formatCode="0.0000">
                  <c:v>49.83</c:v>
                </c:pt>
                <c:pt idx="56" formatCode="0.0000">
                  <c:v>42.15</c:v>
                </c:pt>
                <c:pt idx="57" formatCode="0.0000">
                  <c:v>41.19</c:v>
                </c:pt>
                <c:pt idx="58" formatCode="0.0000">
                  <c:v>38.010000000000005</c:v>
                </c:pt>
                <c:pt idx="59" formatCode="0.0000">
                  <c:v>41.43</c:v>
                </c:pt>
                <c:pt idx="60" formatCode="0.0000">
                  <c:v>61.35</c:v>
                </c:pt>
                <c:pt idx="61" formatCode="0.0000">
                  <c:v>100.95</c:v>
                </c:pt>
                <c:pt idx="62" formatCode="0.0000">
                  <c:v>85.5</c:v>
                </c:pt>
                <c:pt idx="63" formatCode="0.0000">
                  <c:v>55.064999999999998</c:v>
                </c:pt>
                <c:pt idx="64" formatCode="0.0000">
                  <c:v>46.382031249999997</c:v>
                </c:pt>
                <c:pt idx="65" formatCode="0.0000">
                  <c:v>48.00078125000001</c:v>
                </c:pt>
                <c:pt idx="66" formatCode="0.0000">
                  <c:v>54.150781250000016</c:v>
                </c:pt>
                <c:pt idx="67" formatCode="0.0000">
                  <c:v>98.404062500000009</c:v>
                </c:pt>
                <c:pt idx="68" formatCode="0.0000">
                  <c:v>96.392031250000016</c:v>
                </c:pt>
                <c:pt idx="69" formatCode="0.0000">
                  <c:v>114.87250000000002</c:v>
                </c:pt>
                <c:pt idx="70" formatCode="0.0000">
                  <c:v>170.58249999999998</c:v>
                </c:pt>
                <c:pt idx="71" formatCode="0.0000">
                  <c:v>151.9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756176"/>
        <c:axId val="704755056"/>
        <c:extLst>
          <c:ext xmlns:c15="http://schemas.microsoft.com/office/drawing/2012/chart" uri="{02D57815-91ED-43cb-92C2-25804820EDAC}">
            <c15:filteredLineSeries>
              <c15:ser>
                <c:idx val="16"/>
                <c:order val="7"/>
                <c:tx>
                  <c:strRef>
                    <c:extLst>
                      <c:ext uri="{02D57815-91ED-43cb-92C2-25804820EDAC}">
                        <c15:formulaRef>
                          <c15:sqref>'Opium (Adjusted)'!$O$6</c15:sqref>
                        </c15:formulaRef>
                      </c:ext>
                    </c:extLst>
                    <c:strCache>
                      <c:ptCount val="1"/>
                      <c:pt idx="0">
                        <c:v>Ispahan, Exports, in pound/cwts.</c:v>
                      </c:pt>
                    </c:strCache>
                  </c:strRef>
                </c:tx>
                <c:spPr>
                  <a:ln w="158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 w="3175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'Opium (Adjusted)'!$A$7:$A$107</c15:sqref>
                        </c15:formulaRef>
                      </c:ext>
                    </c:extLst>
                    <c:numCache>
                      <c:formatCode>General</c:formatCode>
                      <c:ptCount val="76"/>
                      <c:pt idx="0">
                        <c:v>1850</c:v>
                      </c:pt>
                      <c:pt idx="1">
                        <c:v>1851</c:v>
                      </c:pt>
                      <c:pt idx="2">
                        <c:v>1852</c:v>
                      </c:pt>
                      <c:pt idx="3">
                        <c:v>1853</c:v>
                      </c:pt>
                      <c:pt idx="4">
                        <c:v>1854</c:v>
                      </c:pt>
                      <c:pt idx="5">
                        <c:v>1855</c:v>
                      </c:pt>
                      <c:pt idx="6">
                        <c:v>1856</c:v>
                      </c:pt>
                      <c:pt idx="7">
                        <c:v>1857</c:v>
                      </c:pt>
                      <c:pt idx="8">
                        <c:v>1858</c:v>
                      </c:pt>
                      <c:pt idx="9">
                        <c:v>1859</c:v>
                      </c:pt>
                      <c:pt idx="10">
                        <c:v>1860</c:v>
                      </c:pt>
                      <c:pt idx="11">
                        <c:v>1861</c:v>
                      </c:pt>
                      <c:pt idx="12">
                        <c:v>1862</c:v>
                      </c:pt>
                      <c:pt idx="13">
                        <c:v>1863</c:v>
                      </c:pt>
                      <c:pt idx="14">
                        <c:v>1864</c:v>
                      </c:pt>
                      <c:pt idx="15">
                        <c:v>1865</c:v>
                      </c:pt>
                      <c:pt idx="16">
                        <c:v>1866</c:v>
                      </c:pt>
                      <c:pt idx="17">
                        <c:v>1867</c:v>
                      </c:pt>
                      <c:pt idx="18">
                        <c:v>1868</c:v>
                      </c:pt>
                      <c:pt idx="19">
                        <c:v>1869</c:v>
                      </c:pt>
                      <c:pt idx="20">
                        <c:v>1870</c:v>
                      </c:pt>
                      <c:pt idx="21">
                        <c:v>1871</c:v>
                      </c:pt>
                      <c:pt idx="22">
                        <c:v>1872</c:v>
                      </c:pt>
                      <c:pt idx="23">
                        <c:v>1873</c:v>
                      </c:pt>
                      <c:pt idx="24">
                        <c:v>1874</c:v>
                      </c:pt>
                      <c:pt idx="25">
                        <c:v>1875</c:v>
                      </c:pt>
                      <c:pt idx="26">
                        <c:v>1876</c:v>
                      </c:pt>
                      <c:pt idx="27">
                        <c:v>1877</c:v>
                      </c:pt>
                      <c:pt idx="28">
                        <c:v>1878</c:v>
                      </c:pt>
                      <c:pt idx="29">
                        <c:v>1879</c:v>
                      </c:pt>
                      <c:pt idx="30">
                        <c:v>1880</c:v>
                      </c:pt>
                      <c:pt idx="31">
                        <c:v>1881</c:v>
                      </c:pt>
                      <c:pt idx="32">
                        <c:v>1882</c:v>
                      </c:pt>
                      <c:pt idx="33">
                        <c:v>1883</c:v>
                      </c:pt>
                      <c:pt idx="34">
                        <c:v>1884</c:v>
                      </c:pt>
                      <c:pt idx="35">
                        <c:v>1885</c:v>
                      </c:pt>
                      <c:pt idx="36">
                        <c:v>1886</c:v>
                      </c:pt>
                      <c:pt idx="37">
                        <c:v>1887</c:v>
                      </c:pt>
                      <c:pt idx="38">
                        <c:v>1888</c:v>
                      </c:pt>
                      <c:pt idx="39">
                        <c:v>1889</c:v>
                      </c:pt>
                      <c:pt idx="40">
                        <c:v>1890</c:v>
                      </c:pt>
                      <c:pt idx="41">
                        <c:v>1891</c:v>
                      </c:pt>
                      <c:pt idx="42">
                        <c:v>1892</c:v>
                      </c:pt>
                      <c:pt idx="43">
                        <c:v>1893</c:v>
                      </c:pt>
                      <c:pt idx="44">
                        <c:v>1894</c:v>
                      </c:pt>
                      <c:pt idx="45">
                        <c:v>1895</c:v>
                      </c:pt>
                      <c:pt idx="46">
                        <c:v>1896</c:v>
                      </c:pt>
                      <c:pt idx="47">
                        <c:v>1897</c:v>
                      </c:pt>
                      <c:pt idx="48">
                        <c:v>1898</c:v>
                      </c:pt>
                      <c:pt idx="49">
                        <c:v>1899</c:v>
                      </c:pt>
                      <c:pt idx="50">
                        <c:v>1900</c:v>
                      </c:pt>
                      <c:pt idx="51">
                        <c:v>1901</c:v>
                      </c:pt>
                      <c:pt idx="52">
                        <c:v>1902</c:v>
                      </c:pt>
                      <c:pt idx="53">
                        <c:v>1903</c:v>
                      </c:pt>
                      <c:pt idx="54">
                        <c:v>1904</c:v>
                      </c:pt>
                      <c:pt idx="55">
                        <c:v>1905</c:v>
                      </c:pt>
                      <c:pt idx="56">
                        <c:v>1906</c:v>
                      </c:pt>
                      <c:pt idx="57">
                        <c:v>1907</c:v>
                      </c:pt>
                      <c:pt idx="58">
                        <c:v>1908</c:v>
                      </c:pt>
                      <c:pt idx="59">
                        <c:v>1909</c:v>
                      </c:pt>
                      <c:pt idx="60">
                        <c:v>1910</c:v>
                      </c:pt>
                      <c:pt idx="61">
                        <c:v>1911</c:v>
                      </c:pt>
                      <c:pt idx="62">
                        <c:v>1912</c:v>
                      </c:pt>
                      <c:pt idx="63">
                        <c:v>1913</c:v>
                      </c:pt>
                      <c:pt idx="64">
                        <c:v>1914</c:v>
                      </c:pt>
                      <c:pt idx="65">
                        <c:v>1915</c:v>
                      </c:pt>
                      <c:pt idx="66">
                        <c:v>1916</c:v>
                      </c:pt>
                      <c:pt idx="67">
                        <c:v>1917</c:v>
                      </c:pt>
                      <c:pt idx="68">
                        <c:v>1918</c:v>
                      </c:pt>
                      <c:pt idx="69">
                        <c:v>1919</c:v>
                      </c:pt>
                      <c:pt idx="70">
                        <c:v>1920</c:v>
                      </c:pt>
                      <c:pt idx="71">
                        <c:v>1921</c:v>
                      </c:pt>
                      <c:pt idx="72">
                        <c:v>1922</c:v>
                      </c:pt>
                      <c:pt idx="73">
                        <c:v>1923</c:v>
                      </c:pt>
                      <c:pt idx="74">
                        <c:v>1924</c:v>
                      </c:pt>
                      <c:pt idx="75">
                        <c:v>1925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'Opium (Adjusted)'!$O$7:$O$107</c15:sqref>
                        </c15:formulaRef>
                      </c:ext>
                    </c:extLst>
                    <c:numCache>
                      <c:formatCode>0.0000</c:formatCode>
                      <c:ptCount val="76"/>
                      <c:pt idx="44">
                        <c:v>62.030769230769231</c:v>
                      </c:pt>
                      <c:pt idx="45">
                        <c:v>49.107692307692304</c:v>
                      </c:pt>
                      <c:pt idx="48">
                        <c:v>50.051282051282044</c:v>
                      </c:pt>
                      <c:pt idx="51">
                        <c:v>40.743589743589745</c:v>
                      </c:pt>
                      <c:pt idx="52">
                        <c:v>48.533333333333324</c:v>
                      </c:pt>
                      <c:pt idx="55">
                        <c:v>73.34282861025163</c:v>
                      </c:pt>
                      <c:pt idx="60">
                        <c:v>80.84</c:v>
                      </c:pt>
                      <c:pt idx="61">
                        <c:v>113.75291375291376</c:v>
                      </c:pt>
                      <c:pt idx="62">
                        <c:v>85.256159561986706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7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'Opium (Adjusted)'!$P$6</c15:sqref>
                        </c15:formulaRef>
                      </c:ext>
                    </c:extLst>
                    <c:strCache>
                      <c:ptCount val="1"/>
                      <c:pt idx="0">
                        <c:v>Yezd, Exports, in pound/cwts.</c:v>
                      </c:pt>
                    </c:strCache>
                  </c:strRef>
                </c:tx>
                <c:spPr>
                  <a:ln w="158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317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'Opium (Adjusted)'!$A$7:$A$107</c15:sqref>
                        </c15:formulaRef>
                      </c:ext>
                    </c:extLst>
                    <c:numCache>
                      <c:formatCode>General</c:formatCode>
                      <c:ptCount val="76"/>
                      <c:pt idx="0">
                        <c:v>1850</c:v>
                      </c:pt>
                      <c:pt idx="1">
                        <c:v>1851</c:v>
                      </c:pt>
                      <c:pt idx="2">
                        <c:v>1852</c:v>
                      </c:pt>
                      <c:pt idx="3">
                        <c:v>1853</c:v>
                      </c:pt>
                      <c:pt idx="4">
                        <c:v>1854</c:v>
                      </c:pt>
                      <c:pt idx="5">
                        <c:v>1855</c:v>
                      </c:pt>
                      <c:pt idx="6">
                        <c:v>1856</c:v>
                      </c:pt>
                      <c:pt idx="7">
                        <c:v>1857</c:v>
                      </c:pt>
                      <c:pt idx="8">
                        <c:v>1858</c:v>
                      </c:pt>
                      <c:pt idx="9">
                        <c:v>1859</c:v>
                      </c:pt>
                      <c:pt idx="10">
                        <c:v>1860</c:v>
                      </c:pt>
                      <c:pt idx="11">
                        <c:v>1861</c:v>
                      </c:pt>
                      <c:pt idx="12">
                        <c:v>1862</c:v>
                      </c:pt>
                      <c:pt idx="13">
                        <c:v>1863</c:v>
                      </c:pt>
                      <c:pt idx="14">
                        <c:v>1864</c:v>
                      </c:pt>
                      <c:pt idx="15">
                        <c:v>1865</c:v>
                      </c:pt>
                      <c:pt idx="16">
                        <c:v>1866</c:v>
                      </c:pt>
                      <c:pt idx="17">
                        <c:v>1867</c:v>
                      </c:pt>
                      <c:pt idx="18">
                        <c:v>1868</c:v>
                      </c:pt>
                      <c:pt idx="19">
                        <c:v>1869</c:v>
                      </c:pt>
                      <c:pt idx="20">
                        <c:v>1870</c:v>
                      </c:pt>
                      <c:pt idx="21">
                        <c:v>1871</c:v>
                      </c:pt>
                      <c:pt idx="22">
                        <c:v>1872</c:v>
                      </c:pt>
                      <c:pt idx="23">
                        <c:v>1873</c:v>
                      </c:pt>
                      <c:pt idx="24">
                        <c:v>1874</c:v>
                      </c:pt>
                      <c:pt idx="25">
                        <c:v>1875</c:v>
                      </c:pt>
                      <c:pt idx="26">
                        <c:v>1876</c:v>
                      </c:pt>
                      <c:pt idx="27">
                        <c:v>1877</c:v>
                      </c:pt>
                      <c:pt idx="28">
                        <c:v>1878</c:v>
                      </c:pt>
                      <c:pt idx="29">
                        <c:v>1879</c:v>
                      </c:pt>
                      <c:pt idx="30">
                        <c:v>1880</c:v>
                      </c:pt>
                      <c:pt idx="31">
                        <c:v>1881</c:v>
                      </c:pt>
                      <c:pt idx="32">
                        <c:v>1882</c:v>
                      </c:pt>
                      <c:pt idx="33">
                        <c:v>1883</c:v>
                      </c:pt>
                      <c:pt idx="34">
                        <c:v>1884</c:v>
                      </c:pt>
                      <c:pt idx="35">
                        <c:v>1885</c:v>
                      </c:pt>
                      <c:pt idx="36">
                        <c:v>1886</c:v>
                      </c:pt>
                      <c:pt idx="37">
                        <c:v>1887</c:v>
                      </c:pt>
                      <c:pt idx="38">
                        <c:v>1888</c:v>
                      </c:pt>
                      <c:pt idx="39">
                        <c:v>1889</c:v>
                      </c:pt>
                      <c:pt idx="40">
                        <c:v>1890</c:v>
                      </c:pt>
                      <c:pt idx="41">
                        <c:v>1891</c:v>
                      </c:pt>
                      <c:pt idx="42">
                        <c:v>1892</c:v>
                      </c:pt>
                      <c:pt idx="43">
                        <c:v>1893</c:v>
                      </c:pt>
                      <c:pt idx="44">
                        <c:v>1894</c:v>
                      </c:pt>
                      <c:pt idx="45">
                        <c:v>1895</c:v>
                      </c:pt>
                      <c:pt idx="46">
                        <c:v>1896</c:v>
                      </c:pt>
                      <c:pt idx="47">
                        <c:v>1897</c:v>
                      </c:pt>
                      <c:pt idx="48">
                        <c:v>1898</c:v>
                      </c:pt>
                      <c:pt idx="49">
                        <c:v>1899</c:v>
                      </c:pt>
                      <c:pt idx="50">
                        <c:v>1900</c:v>
                      </c:pt>
                      <c:pt idx="51">
                        <c:v>1901</c:v>
                      </c:pt>
                      <c:pt idx="52">
                        <c:v>1902</c:v>
                      </c:pt>
                      <c:pt idx="53">
                        <c:v>1903</c:v>
                      </c:pt>
                      <c:pt idx="54">
                        <c:v>1904</c:v>
                      </c:pt>
                      <c:pt idx="55">
                        <c:v>1905</c:v>
                      </c:pt>
                      <c:pt idx="56">
                        <c:v>1906</c:v>
                      </c:pt>
                      <c:pt idx="57">
                        <c:v>1907</c:v>
                      </c:pt>
                      <c:pt idx="58">
                        <c:v>1908</c:v>
                      </c:pt>
                      <c:pt idx="59">
                        <c:v>1909</c:v>
                      </c:pt>
                      <c:pt idx="60">
                        <c:v>1910</c:v>
                      </c:pt>
                      <c:pt idx="61">
                        <c:v>1911</c:v>
                      </c:pt>
                      <c:pt idx="62">
                        <c:v>1912</c:v>
                      </c:pt>
                      <c:pt idx="63">
                        <c:v>1913</c:v>
                      </c:pt>
                      <c:pt idx="64">
                        <c:v>1914</c:v>
                      </c:pt>
                      <c:pt idx="65">
                        <c:v>1915</c:v>
                      </c:pt>
                      <c:pt idx="66">
                        <c:v>1916</c:v>
                      </c:pt>
                      <c:pt idx="67">
                        <c:v>1917</c:v>
                      </c:pt>
                      <c:pt idx="68">
                        <c:v>1918</c:v>
                      </c:pt>
                      <c:pt idx="69">
                        <c:v>1919</c:v>
                      </c:pt>
                      <c:pt idx="70">
                        <c:v>1920</c:v>
                      </c:pt>
                      <c:pt idx="71">
                        <c:v>1921</c:v>
                      </c:pt>
                      <c:pt idx="72">
                        <c:v>1922</c:v>
                      </c:pt>
                      <c:pt idx="73">
                        <c:v>1923</c:v>
                      </c:pt>
                      <c:pt idx="74">
                        <c:v>1924</c:v>
                      </c:pt>
                      <c:pt idx="75">
                        <c:v>1925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'Opium (Adjusted)'!$P$7:$P$107</c15:sqref>
                        </c15:formulaRef>
                      </c:ext>
                    </c:extLst>
                    <c:numCache>
                      <c:formatCode>0.0000</c:formatCode>
                      <c:ptCount val="76"/>
                      <c:pt idx="55">
                        <c:v>64.174975033970185</c:v>
                      </c:pt>
                      <c:pt idx="56">
                        <c:v>79.139880292618102</c:v>
                      </c:pt>
                      <c:pt idx="62">
                        <c:v>70.564102564102569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8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'Opium (Adjusted)'!$Q$6</c15:sqref>
                        </c15:formulaRef>
                      </c:ext>
                    </c:extLst>
                    <c:strCache>
                      <c:ptCount val="1"/>
                      <c:pt idx="0">
                        <c:v>Khorasan, Imports, in pound/cwts.</c:v>
                      </c:pt>
                    </c:strCache>
                  </c:strRef>
                </c:tx>
                <c:spPr>
                  <a:ln w="158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1">
                        <a:lumMod val="80000"/>
                      </a:schemeClr>
                    </a:solidFill>
                    <a:ln w="317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'Opium (Adjusted)'!$A$7:$A$107</c15:sqref>
                        </c15:formulaRef>
                      </c:ext>
                    </c:extLst>
                    <c:numCache>
                      <c:formatCode>General</c:formatCode>
                      <c:ptCount val="76"/>
                      <c:pt idx="0">
                        <c:v>1850</c:v>
                      </c:pt>
                      <c:pt idx="1">
                        <c:v>1851</c:v>
                      </c:pt>
                      <c:pt idx="2">
                        <c:v>1852</c:v>
                      </c:pt>
                      <c:pt idx="3">
                        <c:v>1853</c:v>
                      </c:pt>
                      <c:pt idx="4">
                        <c:v>1854</c:v>
                      </c:pt>
                      <c:pt idx="5">
                        <c:v>1855</c:v>
                      </c:pt>
                      <c:pt idx="6">
                        <c:v>1856</c:v>
                      </c:pt>
                      <c:pt idx="7">
                        <c:v>1857</c:v>
                      </c:pt>
                      <c:pt idx="8">
                        <c:v>1858</c:v>
                      </c:pt>
                      <c:pt idx="9">
                        <c:v>1859</c:v>
                      </c:pt>
                      <c:pt idx="10">
                        <c:v>1860</c:v>
                      </c:pt>
                      <c:pt idx="11">
                        <c:v>1861</c:v>
                      </c:pt>
                      <c:pt idx="12">
                        <c:v>1862</c:v>
                      </c:pt>
                      <c:pt idx="13">
                        <c:v>1863</c:v>
                      </c:pt>
                      <c:pt idx="14">
                        <c:v>1864</c:v>
                      </c:pt>
                      <c:pt idx="15">
                        <c:v>1865</c:v>
                      </c:pt>
                      <c:pt idx="16">
                        <c:v>1866</c:v>
                      </c:pt>
                      <c:pt idx="17">
                        <c:v>1867</c:v>
                      </c:pt>
                      <c:pt idx="18">
                        <c:v>1868</c:v>
                      </c:pt>
                      <c:pt idx="19">
                        <c:v>1869</c:v>
                      </c:pt>
                      <c:pt idx="20">
                        <c:v>1870</c:v>
                      </c:pt>
                      <c:pt idx="21">
                        <c:v>1871</c:v>
                      </c:pt>
                      <c:pt idx="22">
                        <c:v>1872</c:v>
                      </c:pt>
                      <c:pt idx="23">
                        <c:v>1873</c:v>
                      </c:pt>
                      <c:pt idx="24">
                        <c:v>1874</c:v>
                      </c:pt>
                      <c:pt idx="25">
                        <c:v>1875</c:v>
                      </c:pt>
                      <c:pt idx="26">
                        <c:v>1876</c:v>
                      </c:pt>
                      <c:pt idx="27">
                        <c:v>1877</c:v>
                      </c:pt>
                      <c:pt idx="28">
                        <c:v>1878</c:v>
                      </c:pt>
                      <c:pt idx="29">
                        <c:v>1879</c:v>
                      </c:pt>
                      <c:pt idx="30">
                        <c:v>1880</c:v>
                      </c:pt>
                      <c:pt idx="31">
                        <c:v>1881</c:v>
                      </c:pt>
                      <c:pt idx="32">
                        <c:v>1882</c:v>
                      </c:pt>
                      <c:pt idx="33">
                        <c:v>1883</c:v>
                      </c:pt>
                      <c:pt idx="34">
                        <c:v>1884</c:v>
                      </c:pt>
                      <c:pt idx="35">
                        <c:v>1885</c:v>
                      </c:pt>
                      <c:pt idx="36">
                        <c:v>1886</c:v>
                      </c:pt>
                      <c:pt idx="37">
                        <c:v>1887</c:v>
                      </c:pt>
                      <c:pt idx="38">
                        <c:v>1888</c:v>
                      </c:pt>
                      <c:pt idx="39">
                        <c:v>1889</c:v>
                      </c:pt>
                      <c:pt idx="40">
                        <c:v>1890</c:v>
                      </c:pt>
                      <c:pt idx="41">
                        <c:v>1891</c:v>
                      </c:pt>
                      <c:pt idx="42">
                        <c:v>1892</c:v>
                      </c:pt>
                      <c:pt idx="43">
                        <c:v>1893</c:v>
                      </c:pt>
                      <c:pt idx="44">
                        <c:v>1894</c:v>
                      </c:pt>
                      <c:pt idx="45">
                        <c:v>1895</c:v>
                      </c:pt>
                      <c:pt idx="46">
                        <c:v>1896</c:v>
                      </c:pt>
                      <c:pt idx="47">
                        <c:v>1897</c:v>
                      </c:pt>
                      <c:pt idx="48">
                        <c:v>1898</c:v>
                      </c:pt>
                      <c:pt idx="49">
                        <c:v>1899</c:v>
                      </c:pt>
                      <c:pt idx="50">
                        <c:v>1900</c:v>
                      </c:pt>
                      <c:pt idx="51">
                        <c:v>1901</c:v>
                      </c:pt>
                      <c:pt idx="52">
                        <c:v>1902</c:v>
                      </c:pt>
                      <c:pt idx="53">
                        <c:v>1903</c:v>
                      </c:pt>
                      <c:pt idx="54">
                        <c:v>1904</c:v>
                      </c:pt>
                      <c:pt idx="55">
                        <c:v>1905</c:v>
                      </c:pt>
                      <c:pt idx="56">
                        <c:v>1906</c:v>
                      </c:pt>
                      <c:pt idx="57">
                        <c:v>1907</c:v>
                      </c:pt>
                      <c:pt idx="58">
                        <c:v>1908</c:v>
                      </c:pt>
                      <c:pt idx="59">
                        <c:v>1909</c:v>
                      </c:pt>
                      <c:pt idx="60">
                        <c:v>1910</c:v>
                      </c:pt>
                      <c:pt idx="61">
                        <c:v>1911</c:v>
                      </c:pt>
                      <c:pt idx="62">
                        <c:v>1912</c:v>
                      </c:pt>
                      <c:pt idx="63">
                        <c:v>1913</c:v>
                      </c:pt>
                      <c:pt idx="64">
                        <c:v>1914</c:v>
                      </c:pt>
                      <c:pt idx="65">
                        <c:v>1915</c:v>
                      </c:pt>
                      <c:pt idx="66">
                        <c:v>1916</c:v>
                      </c:pt>
                      <c:pt idx="67">
                        <c:v>1917</c:v>
                      </c:pt>
                      <c:pt idx="68">
                        <c:v>1918</c:v>
                      </c:pt>
                      <c:pt idx="69">
                        <c:v>1919</c:v>
                      </c:pt>
                      <c:pt idx="70">
                        <c:v>1920</c:v>
                      </c:pt>
                      <c:pt idx="71">
                        <c:v>1921</c:v>
                      </c:pt>
                      <c:pt idx="72">
                        <c:v>1922</c:v>
                      </c:pt>
                      <c:pt idx="73">
                        <c:v>1923</c:v>
                      </c:pt>
                      <c:pt idx="74">
                        <c:v>1924</c:v>
                      </c:pt>
                      <c:pt idx="75">
                        <c:v>1925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'Opium (Adjusted)'!$Q$7:$Q$107</c15:sqref>
                        </c15:formulaRef>
                      </c:ext>
                    </c:extLst>
                    <c:numCache>
                      <c:formatCode>0.0000</c:formatCode>
                      <c:ptCount val="76"/>
                      <c:pt idx="52">
                        <c:v>42.349328214971237</c:v>
                      </c:pt>
                      <c:pt idx="53">
                        <c:v>49.538461538461505</c:v>
                      </c:pt>
                      <c:pt idx="54">
                        <c:v>47.38461538461538</c:v>
                      </c:pt>
                      <c:pt idx="55">
                        <c:v>53.694117647058782</c:v>
                      </c:pt>
                      <c:pt idx="56">
                        <c:v>65.790209790209744</c:v>
                      </c:pt>
                      <c:pt idx="57">
                        <c:v>44.800000000000004</c:v>
                      </c:pt>
                      <c:pt idx="58">
                        <c:v>46.735511064278178</c:v>
                      </c:pt>
                      <c:pt idx="59">
                        <c:v>40.669201520912495</c:v>
                      </c:pt>
                      <c:pt idx="60">
                        <c:v>48.415584415584405</c:v>
                      </c:pt>
                      <c:pt idx="61">
                        <c:v>305.67092568448459</c:v>
                      </c:pt>
                      <c:pt idx="62">
                        <c:v>135.31221719457008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9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'Opium (Adjusted)'!$R$6</c15:sqref>
                        </c15:formulaRef>
                      </c:ext>
                    </c:extLst>
                    <c:strCache>
                      <c:ptCount val="1"/>
                      <c:pt idx="0">
                        <c:v>Khorasan, Exports, in pound/cwts.</c:v>
                      </c:pt>
                    </c:strCache>
                  </c:strRef>
                </c:tx>
                <c:spPr>
                  <a:ln w="158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2">
                        <a:lumMod val="80000"/>
                      </a:schemeClr>
                    </a:solidFill>
                    <a:ln w="3175">
                      <a:solidFill>
                        <a:schemeClr val="accent2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'Opium (Adjusted)'!$A$7:$A$107</c15:sqref>
                        </c15:formulaRef>
                      </c:ext>
                    </c:extLst>
                    <c:numCache>
                      <c:formatCode>General</c:formatCode>
                      <c:ptCount val="76"/>
                      <c:pt idx="0">
                        <c:v>1850</c:v>
                      </c:pt>
                      <c:pt idx="1">
                        <c:v>1851</c:v>
                      </c:pt>
                      <c:pt idx="2">
                        <c:v>1852</c:v>
                      </c:pt>
                      <c:pt idx="3">
                        <c:v>1853</c:v>
                      </c:pt>
                      <c:pt idx="4">
                        <c:v>1854</c:v>
                      </c:pt>
                      <c:pt idx="5">
                        <c:v>1855</c:v>
                      </c:pt>
                      <c:pt idx="6">
                        <c:v>1856</c:v>
                      </c:pt>
                      <c:pt idx="7">
                        <c:v>1857</c:v>
                      </c:pt>
                      <c:pt idx="8">
                        <c:v>1858</c:v>
                      </c:pt>
                      <c:pt idx="9">
                        <c:v>1859</c:v>
                      </c:pt>
                      <c:pt idx="10">
                        <c:v>1860</c:v>
                      </c:pt>
                      <c:pt idx="11">
                        <c:v>1861</c:v>
                      </c:pt>
                      <c:pt idx="12">
                        <c:v>1862</c:v>
                      </c:pt>
                      <c:pt idx="13">
                        <c:v>1863</c:v>
                      </c:pt>
                      <c:pt idx="14">
                        <c:v>1864</c:v>
                      </c:pt>
                      <c:pt idx="15">
                        <c:v>1865</c:v>
                      </c:pt>
                      <c:pt idx="16">
                        <c:v>1866</c:v>
                      </c:pt>
                      <c:pt idx="17">
                        <c:v>1867</c:v>
                      </c:pt>
                      <c:pt idx="18">
                        <c:v>1868</c:v>
                      </c:pt>
                      <c:pt idx="19">
                        <c:v>1869</c:v>
                      </c:pt>
                      <c:pt idx="20">
                        <c:v>1870</c:v>
                      </c:pt>
                      <c:pt idx="21">
                        <c:v>1871</c:v>
                      </c:pt>
                      <c:pt idx="22">
                        <c:v>1872</c:v>
                      </c:pt>
                      <c:pt idx="23">
                        <c:v>1873</c:v>
                      </c:pt>
                      <c:pt idx="24">
                        <c:v>1874</c:v>
                      </c:pt>
                      <c:pt idx="25">
                        <c:v>1875</c:v>
                      </c:pt>
                      <c:pt idx="26">
                        <c:v>1876</c:v>
                      </c:pt>
                      <c:pt idx="27">
                        <c:v>1877</c:v>
                      </c:pt>
                      <c:pt idx="28">
                        <c:v>1878</c:v>
                      </c:pt>
                      <c:pt idx="29">
                        <c:v>1879</c:v>
                      </c:pt>
                      <c:pt idx="30">
                        <c:v>1880</c:v>
                      </c:pt>
                      <c:pt idx="31">
                        <c:v>1881</c:v>
                      </c:pt>
                      <c:pt idx="32">
                        <c:v>1882</c:v>
                      </c:pt>
                      <c:pt idx="33">
                        <c:v>1883</c:v>
                      </c:pt>
                      <c:pt idx="34">
                        <c:v>1884</c:v>
                      </c:pt>
                      <c:pt idx="35">
                        <c:v>1885</c:v>
                      </c:pt>
                      <c:pt idx="36">
                        <c:v>1886</c:v>
                      </c:pt>
                      <c:pt idx="37">
                        <c:v>1887</c:v>
                      </c:pt>
                      <c:pt idx="38">
                        <c:v>1888</c:v>
                      </c:pt>
                      <c:pt idx="39">
                        <c:v>1889</c:v>
                      </c:pt>
                      <c:pt idx="40">
                        <c:v>1890</c:v>
                      </c:pt>
                      <c:pt idx="41">
                        <c:v>1891</c:v>
                      </c:pt>
                      <c:pt idx="42">
                        <c:v>1892</c:v>
                      </c:pt>
                      <c:pt idx="43">
                        <c:v>1893</c:v>
                      </c:pt>
                      <c:pt idx="44">
                        <c:v>1894</c:v>
                      </c:pt>
                      <c:pt idx="45">
                        <c:v>1895</c:v>
                      </c:pt>
                      <c:pt idx="46">
                        <c:v>1896</c:v>
                      </c:pt>
                      <c:pt idx="47">
                        <c:v>1897</c:v>
                      </c:pt>
                      <c:pt idx="48">
                        <c:v>1898</c:v>
                      </c:pt>
                      <c:pt idx="49">
                        <c:v>1899</c:v>
                      </c:pt>
                      <c:pt idx="50">
                        <c:v>1900</c:v>
                      </c:pt>
                      <c:pt idx="51">
                        <c:v>1901</c:v>
                      </c:pt>
                      <c:pt idx="52">
                        <c:v>1902</c:v>
                      </c:pt>
                      <c:pt idx="53">
                        <c:v>1903</c:v>
                      </c:pt>
                      <c:pt idx="54">
                        <c:v>1904</c:v>
                      </c:pt>
                      <c:pt idx="55">
                        <c:v>1905</c:v>
                      </c:pt>
                      <c:pt idx="56">
                        <c:v>1906</c:v>
                      </c:pt>
                      <c:pt idx="57">
                        <c:v>1907</c:v>
                      </c:pt>
                      <c:pt idx="58">
                        <c:v>1908</c:v>
                      </c:pt>
                      <c:pt idx="59">
                        <c:v>1909</c:v>
                      </c:pt>
                      <c:pt idx="60">
                        <c:v>1910</c:v>
                      </c:pt>
                      <c:pt idx="61">
                        <c:v>1911</c:v>
                      </c:pt>
                      <c:pt idx="62">
                        <c:v>1912</c:v>
                      </c:pt>
                      <c:pt idx="63">
                        <c:v>1913</c:v>
                      </c:pt>
                      <c:pt idx="64">
                        <c:v>1914</c:v>
                      </c:pt>
                      <c:pt idx="65">
                        <c:v>1915</c:v>
                      </c:pt>
                      <c:pt idx="66">
                        <c:v>1916</c:v>
                      </c:pt>
                      <c:pt idx="67">
                        <c:v>1917</c:v>
                      </c:pt>
                      <c:pt idx="68">
                        <c:v>1918</c:v>
                      </c:pt>
                      <c:pt idx="69">
                        <c:v>1919</c:v>
                      </c:pt>
                      <c:pt idx="70">
                        <c:v>1920</c:v>
                      </c:pt>
                      <c:pt idx="71">
                        <c:v>1921</c:v>
                      </c:pt>
                      <c:pt idx="72">
                        <c:v>1922</c:v>
                      </c:pt>
                      <c:pt idx="73">
                        <c:v>1923</c:v>
                      </c:pt>
                      <c:pt idx="74">
                        <c:v>1924</c:v>
                      </c:pt>
                      <c:pt idx="75">
                        <c:v>1925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'Opium (Adjusted)'!$R$7:$R$107</c15:sqref>
                        </c15:formulaRef>
                      </c:ext>
                    </c:extLst>
                    <c:numCache>
                      <c:formatCode>0.0000</c:formatCode>
                      <c:ptCount val="76"/>
                      <c:pt idx="52">
                        <c:v>38.228545204222129</c:v>
                      </c:pt>
                      <c:pt idx="53">
                        <c:v>6.3063787522512005</c:v>
                      </c:pt>
                      <c:pt idx="54">
                        <c:v>60.715845874167897</c:v>
                      </c:pt>
                      <c:pt idx="55">
                        <c:v>33.781003417865755</c:v>
                      </c:pt>
                      <c:pt idx="56">
                        <c:v>66.357021788793674</c:v>
                      </c:pt>
                      <c:pt idx="57">
                        <c:v>55.693006500117505</c:v>
                      </c:pt>
                      <c:pt idx="58">
                        <c:v>69.039882499152654</c:v>
                      </c:pt>
                      <c:pt idx="59">
                        <c:v>70.866766741112272</c:v>
                      </c:pt>
                      <c:pt idx="60">
                        <c:v>73.235356762513334</c:v>
                      </c:pt>
                      <c:pt idx="61">
                        <c:v>180.01009251471791</c:v>
                      </c:pt>
                      <c:pt idx="62">
                        <c:v>92.556936141207899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'Opium (Adjusted)'!$T$6</c15:sqref>
                        </c15:formulaRef>
                      </c:ext>
                    </c:extLst>
                    <c:strCache>
                      <c:ptCount val="1"/>
                      <c:pt idx="0">
                        <c:v>Kermanshah, Exports, in pound/cwts.</c:v>
                      </c:pt>
                    </c:strCache>
                  </c:strRef>
                </c:tx>
                <c:spPr>
                  <a:ln w="158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4">
                        <a:lumMod val="80000"/>
                      </a:schemeClr>
                    </a:solidFill>
                    <a:ln w="317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'Opium (Adjusted)'!$A$7:$A$107</c15:sqref>
                        </c15:formulaRef>
                      </c:ext>
                    </c:extLst>
                    <c:numCache>
                      <c:formatCode>General</c:formatCode>
                      <c:ptCount val="76"/>
                      <c:pt idx="0">
                        <c:v>1850</c:v>
                      </c:pt>
                      <c:pt idx="1">
                        <c:v>1851</c:v>
                      </c:pt>
                      <c:pt idx="2">
                        <c:v>1852</c:v>
                      </c:pt>
                      <c:pt idx="3">
                        <c:v>1853</c:v>
                      </c:pt>
                      <c:pt idx="4">
                        <c:v>1854</c:v>
                      </c:pt>
                      <c:pt idx="5">
                        <c:v>1855</c:v>
                      </c:pt>
                      <c:pt idx="6">
                        <c:v>1856</c:v>
                      </c:pt>
                      <c:pt idx="7">
                        <c:v>1857</c:v>
                      </c:pt>
                      <c:pt idx="8">
                        <c:v>1858</c:v>
                      </c:pt>
                      <c:pt idx="9">
                        <c:v>1859</c:v>
                      </c:pt>
                      <c:pt idx="10">
                        <c:v>1860</c:v>
                      </c:pt>
                      <c:pt idx="11">
                        <c:v>1861</c:v>
                      </c:pt>
                      <c:pt idx="12">
                        <c:v>1862</c:v>
                      </c:pt>
                      <c:pt idx="13">
                        <c:v>1863</c:v>
                      </c:pt>
                      <c:pt idx="14">
                        <c:v>1864</c:v>
                      </c:pt>
                      <c:pt idx="15">
                        <c:v>1865</c:v>
                      </c:pt>
                      <c:pt idx="16">
                        <c:v>1866</c:v>
                      </c:pt>
                      <c:pt idx="17">
                        <c:v>1867</c:v>
                      </c:pt>
                      <c:pt idx="18">
                        <c:v>1868</c:v>
                      </c:pt>
                      <c:pt idx="19">
                        <c:v>1869</c:v>
                      </c:pt>
                      <c:pt idx="20">
                        <c:v>1870</c:v>
                      </c:pt>
                      <c:pt idx="21">
                        <c:v>1871</c:v>
                      </c:pt>
                      <c:pt idx="22">
                        <c:v>1872</c:v>
                      </c:pt>
                      <c:pt idx="23">
                        <c:v>1873</c:v>
                      </c:pt>
                      <c:pt idx="24">
                        <c:v>1874</c:v>
                      </c:pt>
                      <c:pt idx="25">
                        <c:v>1875</c:v>
                      </c:pt>
                      <c:pt idx="26">
                        <c:v>1876</c:v>
                      </c:pt>
                      <c:pt idx="27">
                        <c:v>1877</c:v>
                      </c:pt>
                      <c:pt idx="28">
                        <c:v>1878</c:v>
                      </c:pt>
                      <c:pt idx="29">
                        <c:v>1879</c:v>
                      </c:pt>
                      <c:pt idx="30">
                        <c:v>1880</c:v>
                      </c:pt>
                      <c:pt idx="31">
                        <c:v>1881</c:v>
                      </c:pt>
                      <c:pt idx="32">
                        <c:v>1882</c:v>
                      </c:pt>
                      <c:pt idx="33">
                        <c:v>1883</c:v>
                      </c:pt>
                      <c:pt idx="34">
                        <c:v>1884</c:v>
                      </c:pt>
                      <c:pt idx="35">
                        <c:v>1885</c:v>
                      </c:pt>
                      <c:pt idx="36">
                        <c:v>1886</c:v>
                      </c:pt>
                      <c:pt idx="37">
                        <c:v>1887</c:v>
                      </c:pt>
                      <c:pt idx="38">
                        <c:v>1888</c:v>
                      </c:pt>
                      <c:pt idx="39">
                        <c:v>1889</c:v>
                      </c:pt>
                      <c:pt idx="40">
                        <c:v>1890</c:v>
                      </c:pt>
                      <c:pt idx="41">
                        <c:v>1891</c:v>
                      </c:pt>
                      <c:pt idx="42">
                        <c:v>1892</c:v>
                      </c:pt>
                      <c:pt idx="43">
                        <c:v>1893</c:v>
                      </c:pt>
                      <c:pt idx="44">
                        <c:v>1894</c:v>
                      </c:pt>
                      <c:pt idx="45">
                        <c:v>1895</c:v>
                      </c:pt>
                      <c:pt idx="46">
                        <c:v>1896</c:v>
                      </c:pt>
                      <c:pt idx="47">
                        <c:v>1897</c:v>
                      </c:pt>
                      <c:pt idx="48">
                        <c:v>1898</c:v>
                      </c:pt>
                      <c:pt idx="49">
                        <c:v>1899</c:v>
                      </c:pt>
                      <c:pt idx="50">
                        <c:v>1900</c:v>
                      </c:pt>
                      <c:pt idx="51">
                        <c:v>1901</c:v>
                      </c:pt>
                      <c:pt idx="52">
                        <c:v>1902</c:v>
                      </c:pt>
                      <c:pt idx="53">
                        <c:v>1903</c:v>
                      </c:pt>
                      <c:pt idx="54">
                        <c:v>1904</c:v>
                      </c:pt>
                      <c:pt idx="55">
                        <c:v>1905</c:v>
                      </c:pt>
                      <c:pt idx="56">
                        <c:v>1906</c:v>
                      </c:pt>
                      <c:pt idx="57">
                        <c:v>1907</c:v>
                      </c:pt>
                      <c:pt idx="58">
                        <c:v>1908</c:v>
                      </c:pt>
                      <c:pt idx="59">
                        <c:v>1909</c:v>
                      </c:pt>
                      <c:pt idx="60">
                        <c:v>1910</c:v>
                      </c:pt>
                      <c:pt idx="61">
                        <c:v>1911</c:v>
                      </c:pt>
                      <c:pt idx="62">
                        <c:v>1912</c:v>
                      </c:pt>
                      <c:pt idx="63">
                        <c:v>1913</c:v>
                      </c:pt>
                      <c:pt idx="64">
                        <c:v>1914</c:v>
                      </c:pt>
                      <c:pt idx="65">
                        <c:v>1915</c:v>
                      </c:pt>
                      <c:pt idx="66">
                        <c:v>1916</c:v>
                      </c:pt>
                      <c:pt idx="67">
                        <c:v>1917</c:v>
                      </c:pt>
                      <c:pt idx="68">
                        <c:v>1918</c:v>
                      </c:pt>
                      <c:pt idx="69">
                        <c:v>1919</c:v>
                      </c:pt>
                      <c:pt idx="70">
                        <c:v>1920</c:v>
                      </c:pt>
                      <c:pt idx="71">
                        <c:v>1921</c:v>
                      </c:pt>
                      <c:pt idx="72">
                        <c:v>1922</c:v>
                      </c:pt>
                      <c:pt idx="73">
                        <c:v>1923</c:v>
                      </c:pt>
                      <c:pt idx="74">
                        <c:v>1924</c:v>
                      </c:pt>
                      <c:pt idx="75">
                        <c:v>1925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'Opium (Adjusted)'!$T$7:$T$107</c15:sqref>
                        </c15:formulaRef>
                      </c:ext>
                    </c:extLst>
                    <c:numCache>
                      <c:formatCode>0.0000</c:formatCode>
                      <c:ptCount val="76"/>
                      <c:pt idx="46">
                        <c:v>25.84605461572129</c:v>
                      </c:pt>
                      <c:pt idx="50">
                        <c:v>46.041202628260429</c:v>
                      </c:pt>
                      <c:pt idx="51">
                        <c:v>54.63641825512223</c:v>
                      </c:pt>
                      <c:pt idx="52">
                        <c:v>33.594837191598323</c:v>
                      </c:pt>
                      <c:pt idx="53">
                        <c:v>42.481106718414772</c:v>
                      </c:pt>
                      <c:pt idx="54">
                        <c:v>49.136296649582661</c:v>
                      </c:pt>
                      <c:pt idx="55">
                        <c:v>67.478789974070878</c:v>
                      </c:pt>
                      <c:pt idx="57">
                        <c:v>52.564568462037641</c:v>
                      </c:pt>
                      <c:pt idx="58">
                        <c:v>58.023407022106632</c:v>
                      </c:pt>
                      <c:pt idx="59">
                        <c:v>65.857558139534888</c:v>
                      </c:pt>
                      <c:pt idx="60">
                        <c:v>65.274611398963728</c:v>
                      </c:pt>
                      <c:pt idx="61">
                        <c:v>71.698209718670071</c:v>
                      </c:pt>
                      <c:pt idx="62">
                        <c:v>100.81200289226319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'Opium (Adjusted)'!$U$6</c15:sqref>
                        </c15:formulaRef>
                      </c:ext>
                    </c:extLst>
                    <c:strCache>
                      <c:ptCount val="1"/>
                      <c:pt idx="0">
                        <c:v>Kerman, Exports, in pound/cwts.</c:v>
                      </c:pt>
                    </c:strCache>
                  </c:strRef>
                </c:tx>
                <c:spPr>
                  <a:ln w="158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5">
                        <a:lumMod val="80000"/>
                      </a:schemeClr>
                    </a:solidFill>
                    <a:ln w="3175">
                      <a:solidFill>
                        <a:schemeClr val="accent5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'Opium (Adjusted)'!$A$7:$A$107</c15:sqref>
                        </c15:formulaRef>
                      </c:ext>
                    </c:extLst>
                    <c:numCache>
                      <c:formatCode>General</c:formatCode>
                      <c:ptCount val="76"/>
                      <c:pt idx="0">
                        <c:v>1850</c:v>
                      </c:pt>
                      <c:pt idx="1">
                        <c:v>1851</c:v>
                      </c:pt>
                      <c:pt idx="2">
                        <c:v>1852</c:v>
                      </c:pt>
                      <c:pt idx="3">
                        <c:v>1853</c:v>
                      </c:pt>
                      <c:pt idx="4">
                        <c:v>1854</c:v>
                      </c:pt>
                      <c:pt idx="5">
                        <c:v>1855</c:v>
                      </c:pt>
                      <c:pt idx="6">
                        <c:v>1856</c:v>
                      </c:pt>
                      <c:pt idx="7">
                        <c:v>1857</c:v>
                      </c:pt>
                      <c:pt idx="8">
                        <c:v>1858</c:v>
                      </c:pt>
                      <c:pt idx="9">
                        <c:v>1859</c:v>
                      </c:pt>
                      <c:pt idx="10">
                        <c:v>1860</c:v>
                      </c:pt>
                      <c:pt idx="11">
                        <c:v>1861</c:v>
                      </c:pt>
                      <c:pt idx="12">
                        <c:v>1862</c:v>
                      </c:pt>
                      <c:pt idx="13">
                        <c:v>1863</c:v>
                      </c:pt>
                      <c:pt idx="14">
                        <c:v>1864</c:v>
                      </c:pt>
                      <c:pt idx="15">
                        <c:v>1865</c:v>
                      </c:pt>
                      <c:pt idx="16">
                        <c:v>1866</c:v>
                      </c:pt>
                      <c:pt idx="17">
                        <c:v>1867</c:v>
                      </c:pt>
                      <c:pt idx="18">
                        <c:v>1868</c:v>
                      </c:pt>
                      <c:pt idx="19">
                        <c:v>1869</c:v>
                      </c:pt>
                      <c:pt idx="20">
                        <c:v>1870</c:v>
                      </c:pt>
                      <c:pt idx="21">
                        <c:v>1871</c:v>
                      </c:pt>
                      <c:pt idx="22">
                        <c:v>1872</c:v>
                      </c:pt>
                      <c:pt idx="23">
                        <c:v>1873</c:v>
                      </c:pt>
                      <c:pt idx="24">
                        <c:v>1874</c:v>
                      </c:pt>
                      <c:pt idx="25">
                        <c:v>1875</c:v>
                      </c:pt>
                      <c:pt idx="26">
                        <c:v>1876</c:v>
                      </c:pt>
                      <c:pt idx="27">
                        <c:v>1877</c:v>
                      </c:pt>
                      <c:pt idx="28">
                        <c:v>1878</c:v>
                      </c:pt>
                      <c:pt idx="29">
                        <c:v>1879</c:v>
                      </c:pt>
                      <c:pt idx="30">
                        <c:v>1880</c:v>
                      </c:pt>
                      <c:pt idx="31">
                        <c:v>1881</c:v>
                      </c:pt>
                      <c:pt idx="32">
                        <c:v>1882</c:v>
                      </c:pt>
                      <c:pt idx="33">
                        <c:v>1883</c:v>
                      </c:pt>
                      <c:pt idx="34">
                        <c:v>1884</c:v>
                      </c:pt>
                      <c:pt idx="35">
                        <c:v>1885</c:v>
                      </c:pt>
                      <c:pt idx="36">
                        <c:v>1886</c:v>
                      </c:pt>
                      <c:pt idx="37">
                        <c:v>1887</c:v>
                      </c:pt>
                      <c:pt idx="38">
                        <c:v>1888</c:v>
                      </c:pt>
                      <c:pt idx="39">
                        <c:v>1889</c:v>
                      </c:pt>
                      <c:pt idx="40">
                        <c:v>1890</c:v>
                      </c:pt>
                      <c:pt idx="41">
                        <c:v>1891</c:v>
                      </c:pt>
                      <c:pt idx="42">
                        <c:v>1892</c:v>
                      </c:pt>
                      <c:pt idx="43">
                        <c:v>1893</c:v>
                      </c:pt>
                      <c:pt idx="44">
                        <c:v>1894</c:v>
                      </c:pt>
                      <c:pt idx="45">
                        <c:v>1895</c:v>
                      </c:pt>
                      <c:pt idx="46">
                        <c:v>1896</c:v>
                      </c:pt>
                      <c:pt idx="47">
                        <c:v>1897</c:v>
                      </c:pt>
                      <c:pt idx="48">
                        <c:v>1898</c:v>
                      </c:pt>
                      <c:pt idx="49">
                        <c:v>1899</c:v>
                      </c:pt>
                      <c:pt idx="50">
                        <c:v>1900</c:v>
                      </c:pt>
                      <c:pt idx="51">
                        <c:v>1901</c:v>
                      </c:pt>
                      <c:pt idx="52">
                        <c:v>1902</c:v>
                      </c:pt>
                      <c:pt idx="53">
                        <c:v>1903</c:v>
                      </c:pt>
                      <c:pt idx="54">
                        <c:v>1904</c:v>
                      </c:pt>
                      <c:pt idx="55">
                        <c:v>1905</c:v>
                      </c:pt>
                      <c:pt idx="56">
                        <c:v>1906</c:v>
                      </c:pt>
                      <c:pt idx="57">
                        <c:v>1907</c:v>
                      </c:pt>
                      <c:pt idx="58">
                        <c:v>1908</c:v>
                      </c:pt>
                      <c:pt idx="59">
                        <c:v>1909</c:v>
                      </c:pt>
                      <c:pt idx="60">
                        <c:v>1910</c:v>
                      </c:pt>
                      <c:pt idx="61">
                        <c:v>1911</c:v>
                      </c:pt>
                      <c:pt idx="62">
                        <c:v>1912</c:v>
                      </c:pt>
                      <c:pt idx="63">
                        <c:v>1913</c:v>
                      </c:pt>
                      <c:pt idx="64">
                        <c:v>1914</c:v>
                      </c:pt>
                      <c:pt idx="65">
                        <c:v>1915</c:v>
                      </c:pt>
                      <c:pt idx="66">
                        <c:v>1916</c:v>
                      </c:pt>
                      <c:pt idx="67">
                        <c:v>1917</c:v>
                      </c:pt>
                      <c:pt idx="68">
                        <c:v>1918</c:v>
                      </c:pt>
                      <c:pt idx="69">
                        <c:v>1919</c:v>
                      </c:pt>
                      <c:pt idx="70">
                        <c:v>1920</c:v>
                      </c:pt>
                      <c:pt idx="71">
                        <c:v>1921</c:v>
                      </c:pt>
                      <c:pt idx="72">
                        <c:v>1922</c:v>
                      </c:pt>
                      <c:pt idx="73">
                        <c:v>1923</c:v>
                      </c:pt>
                      <c:pt idx="74">
                        <c:v>1924</c:v>
                      </c:pt>
                      <c:pt idx="75">
                        <c:v>1925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'Opium (Adjusted)'!$U$7:$U$107</c15:sqref>
                        </c15:formulaRef>
                      </c:ext>
                    </c:extLst>
                    <c:numCache>
                      <c:formatCode>0.0000</c:formatCode>
                      <c:ptCount val="76"/>
                      <c:pt idx="44">
                        <c:v>31.015384615384622</c:v>
                      </c:pt>
                      <c:pt idx="55">
                        <c:v>53.28000000000003</c:v>
                      </c:pt>
                      <c:pt idx="56">
                        <c:v>44.373333333333306</c:v>
                      </c:pt>
                      <c:pt idx="57">
                        <c:v>69.119999999999976</c:v>
                      </c:pt>
                      <c:pt idx="58">
                        <c:v>76.80000000000004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70475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55056"/>
        <c:crosses val="autoZero"/>
        <c:auto val="1"/>
        <c:lblAlgn val="ctr"/>
        <c:lblOffset val="100"/>
        <c:noMultiLvlLbl val="0"/>
      </c:catAx>
      <c:valAx>
        <c:axId val="70475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5617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286693658560823"/>
          <c:y val="0.19178545085573287"/>
          <c:w val="0.21614759159684319"/>
          <c:h val="0.640027557183026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Opium, UK, Black Sea, Caspian Sea, Persia, Persian Gulf &amp; Bengal, in pound/cwts. </a:t>
            </a:r>
            <a:endParaRPr lang="en-US" sz="1100" b="1">
              <a:solidFill>
                <a:schemeClr val="tx1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348892788694668E-2"/>
          <c:y val="9.6437857514300576E-2"/>
          <c:w val="0.68208610335597641"/>
          <c:h val="0.82438058152247351"/>
        </c:manualLayout>
      </c:layout>
      <c:lineChart>
        <c:grouping val="standard"/>
        <c:varyColors val="0"/>
        <c:ser>
          <c:idx val="3"/>
          <c:order val="0"/>
          <c:tx>
            <c:strRef>
              <c:f>'Opium (Adjusted)'!$C$6</c:f>
              <c:strCache>
                <c:ptCount val="1"/>
                <c:pt idx="0">
                  <c:v>UK, Exports (foreign and colonial), in pound/cwts.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3175">
                <a:solidFill>
                  <a:schemeClr val="accent4"/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(Adjusted)'!$C$37:$C$107</c:f>
              <c:numCache>
                <c:formatCode>0.0000</c:formatCode>
                <c:ptCount val="56"/>
                <c:pt idx="0">
                  <c:v>146.06672251253207</c:v>
                </c:pt>
                <c:pt idx="1">
                  <c:v>111.91219229730741</c:v>
                </c:pt>
                <c:pt idx="2">
                  <c:v>112.30772724176299</c:v>
                </c:pt>
                <c:pt idx="3">
                  <c:v>119.72540177270858</c:v>
                </c:pt>
                <c:pt idx="4">
                  <c:v>121.91671617043222</c:v>
                </c:pt>
                <c:pt idx="5">
                  <c:v>117.26207478663969</c:v>
                </c:pt>
                <c:pt idx="6">
                  <c:v>105.81410267288926</c:v>
                </c:pt>
                <c:pt idx="7">
                  <c:v>108.18936032188867</c:v>
                </c:pt>
                <c:pt idx="8">
                  <c:v>91.329982823334817</c:v>
                </c:pt>
                <c:pt idx="9">
                  <c:v>90.370615224371392</c:v>
                </c:pt>
                <c:pt idx="10">
                  <c:v>109.56591478696743</c:v>
                </c:pt>
                <c:pt idx="11">
                  <c:v>94.463831513151845</c:v>
                </c:pt>
                <c:pt idx="12">
                  <c:v>86.587551485500427</c:v>
                </c:pt>
                <c:pt idx="13">
                  <c:v>81.846741708391377</c:v>
                </c:pt>
                <c:pt idx="14">
                  <c:v>88.166301579593579</c:v>
                </c:pt>
                <c:pt idx="15">
                  <c:v>70.928381264169943</c:v>
                </c:pt>
                <c:pt idx="16">
                  <c:v>65.679859388710355</c:v>
                </c:pt>
                <c:pt idx="17">
                  <c:v>76.374030475424547</c:v>
                </c:pt>
                <c:pt idx="18">
                  <c:v>69.34144195802368</c:v>
                </c:pt>
                <c:pt idx="19">
                  <c:v>62.686301978337369</c:v>
                </c:pt>
                <c:pt idx="20">
                  <c:v>69.497282099343963</c:v>
                </c:pt>
                <c:pt idx="21">
                  <c:v>60.112094752196384</c:v>
                </c:pt>
                <c:pt idx="22">
                  <c:v>52.264219353963696</c:v>
                </c:pt>
                <c:pt idx="23">
                  <c:v>59.781271464550102</c:v>
                </c:pt>
                <c:pt idx="24">
                  <c:v>57.687427290205811</c:v>
                </c:pt>
                <c:pt idx="25">
                  <c:v>58.564772162386085</c:v>
                </c:pt>
                <c:pt idx="26">
                  <c:v>57.142251532802597</c:v>
                </c:pt>
                <c:pt idx="27">
                  <c:v>53.822059992054029</c:v>
                </c:pt>
                <c:pt idx="28">
                  <c:v>60.197927349968886</c:v>
                </c:pt>
                <c:pt idx="29">
                  <c:v>56.611424941837967</c:v>
                </c:pt>
                <c:pt idx="30">
                  <c:v>58.035289850024135</c:v>
                </c:pt>
                <c:pt idx="31">
                  <c:v>59.968189976257882</c:v>
                </c:pt>
                <c:pt idx="32">
                  <c:v>56.6370877534602</c:v>
                </c:pt>
                <c:pt idx="33">
                  <c:v>58.06921445081214</c:v>
                </c:pt>
                <c:pt idx="34">
                  <c:v>63.016791905983482</c:v>
                </c:pt>
                <c:pt idx="35">
                  <c:v>57.73856392687653</c:v>
                </c:pt>
                <c:pt idx="36">
                  <c:v>57.733602229340974</c:v>
                </c:pt>
                <c:pt idx="37">
                  <c:v>76.178759534252862</c:v>
                </c:pt>
                <c:pt idx="38">
                  <c:v>73.780548203547966</c:v>
                </c:pt>
                <c:pt idx="39">
                  <c:v>78.002201905126611</c:v>
                </c:pt>
                <c:pt idx="40">
                  <c:v>90.153274838897588</c:v>
                </c:pt>
                <c:pt idx="41">
                  <c:v>102.57892958642208</c:v>
                </c:pt>
                <c:pt idx="42">
                  <c:v>128.15847786852652</c:v>
                </c:pt>
                <c:pt idx="43">
                  <c:v>113.55479301207045</c:v>
                </c:pt>
                <c:pt idx="44">
                  <c:v>106.20397161428826</c:v>
                </c:pt>
                <c:pt idx="45">
                  <c:v>120.19941627316517</c:v>
                </c:pt>
                <c:pt idx="46">
                  <c:v>137.28445804573309</c:v>
                </c:pt>
                <c:pt idx="47">
                  <c:v>232.39311380114344</c:v>
                </c:pt>
                <c:pt idx="48">
                  <c:v>333.87042645087627</c:v>
                </c:pt>
                <c:pt idx="49">
                  <c:v>255.21626912781176</c:v>
                </c:pt>
                <c:pt idx="50">
                  <c:v>135.02193606348729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'Opium (Adjusted)'!$L$6</c:f>
              <c:strCache>
                <c:ptCount val="1"/>
                <c:pt idx="0">
                  <c:v>Trebizond (Persia), Exports, in pound/cwts.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3175">
                <a:solidFill>
                  <a:schemeClr val="accent3"/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(Adjusted)'!$L$37:$L$107</c:f>
              <c:numCache>
                <c:formatCode>0.0000</c:formatCode>
                <c:ptCount val="56"/>
                <c:pt idx="13">
                  <c:v>85.712500000000006</c:v>
                </c:pt>
                <c:pt idx="14">
                  <c:v>85.714285714285708</c:v>
                </c:pt>
                <c:pt idx="24">
                  <c:v>17.777777777777779</c:v>
                </c:pt>
                <c:pt idx="25">
                  <c:v>26.68</c:v>
                </c:pt>
                <c:pt idx="26">
                  <c:v>49.375</c:v>
                </c:pt>
                <c:pt idx="27">
                  <c:v>51.111111111111114</c:v>
                </c:pt>
                <c:pt idx="28">
                  <c:v>38.4</c:v>
                </c:pt>
                <c:pt idx="29">
                  <c:v>40</c:v>
                </c:pt>
                <c:pt idx="30">
                  <c:v>40</c:v>
                </c:pt>
                <c:pt idx="31">
                  <c:v>41.142857142857146</c:v>
                </c:pt>
                <c:pt idx="32">
                  <c:v>40</c:v>
                </c:pt>
                <c:pt idx="33">
                  <c:v>40</c:v>
                </c:pt>
              </c:numCache>
            </c:numRef>
          </c:val>
          <c:smooth val="0"/>
        </c:ser>
        <c:ser>
          <c:idx val="11"/>
          <c:order val="2"/>
          <c:tx>
            <c:strRef>
              <c:f>'Opium (Adjusted)'!$O$6</c:f>
              <c:strCache>
                <c:ptCount val="1"/>
                <c:pt idx="0">
                  <c:v>Ispahan, Exports, in pound/cwts.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317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(Adjusted)'!$O$37:$O$107</c:f>
              <c:numCache>
                <c:formatCode>0.0000</c:formatCode>
                <c:ptCount val="56"/>
                <c:pt idx="24">
                  <c:v>62.030769230769231</c:v>
                </c:pt>
                <c:pt idx="25">
                  <c:v>49.107692307692304</c:v>
                </c:pt>
                <c:pt idx="28">
                  <c:v>50.051282051282044</c:v>
                </c:pt>
                <c:pt idx="31">
                  <c:v>40.743589743589745</c:v>
                </c:pt>
                <c:pt idx="32">
                  <c:v>48.533333333333324</c:v>
                </c:pt>
                <c:pt idx="35">
                  <c:v>73.34282861025163</c:v>
                </c:pt>
                <c:pt idx="40">
                  <c:v>80.84</c:v>
                </c:pt>
                <c:pt idx="41">
                  <c:v>113.75291375291376</c:v>
                </c:pt>
                <c:pt idx="42">
                  <c:v>85.256159561986706</c:v>
                </c:pt>
              </c:numCache>
            </c:numRef>
          </c:val>
          <c:smooth val="0"/>
        </c:ser>
        <c:ser>
          <c:idx val="12"/>
          <c:order val="3"/>
          <c:tx>
            <c:strRef>
              <c:f>'Opium (Adjusted)'!$P$6</c:f>
              <c:strCache>
                <c:ptCount val="1"/>
                <c:pt idx="0">
                  <c:v>Yezd, Exports, in pound/cwts.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317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(Adjusted)'!$P$37:$P$107</c:f>
              <c:numCache>
                <c:formatCode>0.0000</c:formatCode>
                <c:ptCount val="56"/>
                <c:pt idx="35">
                  <c:v>64.174975033970185</c:v>
                </c:pt>
                <c:pt idx="36">
                  <c:v>79.139880292618102</c:v>
                </c:pt>
                <c:pt idx="42">
                  <c:v>70.564102564102569</c:v>
                </c:pt>
              </c:numCache>
            </c:numRef>
          </c:val>
          <c:smooth val="0"/>
        </c:ser>
        <c:ser>
          <c:idx val="13"/>
          <c:order val="4"/>
          <c:tx>
            <c:strRef>
              <c:f>'Opium (Adjusted)'!$Q$6</c:f>
              <c:strCache>
                <c:ptCount val="1"/>
                <c:pt idx="0">
                  <c:v>Khorasan, Imports, in pound/cwts.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317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(Adjusted)'!$Q$37:$Q$107</c:f>
              <c:numCache>
                <c:formatCode>0.0000</c:formatCode>
                <c:ptCount val="56"/>
                <c:pt idx="32">
                  <c:v>42.349328214971237</c:v>
                </c:pt>
                <c:pt idx="33">
                  <c:v>49.538461538461505</c:v>
                </c:pt>
                <c:pt idx="34">
                  <c:v>47.38461538461538</c:v>
                </c:pt>
                <c:pt idx="35">
                  <c:v>53.694117647058782</c:v>
                </c:pt>
                <c:pt idx="36">
                  <c:v>65.790209790209744</c:v>
                </c:pt>
                <c:pt idx="37">
                  <c:v>44.800000000000004</c:v>
                </c:pt>
                <c:pt idx="38">
                  <c:v>46.735511064278178</c:v>
                </c:pt>
                <c:pt idx="39">
                  <c:v>40.669201520912495</c:v>
                </c:pt>
                <c:pt idx="40">
                  <c:v>48.415584415584405</c:v>
                </c:pt>
                <c:pt idx="41">
                  <c:v>305.67092568448459</c:v>
                </c:pt>
                <c:pt idx="42">
                  <c:v>135.31221719457008</c:v>
                </c:pt>
              </c:numCache>
            </c:numRef>
          </c:val>
          <c:smooth val="0"/>
        </c:ser>
        <c:ser>
          <c:idx val="14"/>
          <c:order val="5"/>
          <c:tx>
            <c:strRef>
              <c:f>'Opium (Adjusted)'!$R$6</c:f>
              <c:strCache>
                <c:ptCount val="1"/>
                <c:pt idx="0">
                  <c:v>Khorasan, Exports, in pound/cwts.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317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(Adjusted)'!$R$37:$R$107</c:f>
              <c:numCache>
                <c:formatCode>0.0000</c:formatCode>
                <c:ptCount val="56"/>
                <c:pt idx="32">
                  <c:v>38.228545204222129</c:v>
                </c:pt>
                <c:pt idx="33">
                  <c:v>6.3063787522512005</c:v>
                </c:pt>
                <c:pt idx="34">
                  <c:v>60.715845874167897</c:v>
                </c:pt>
                <c:pt idx="35">
                  <c:v>33.781003417865755</c:v>
                </c:pt>
                <c:pt idx="36">
                  <c:v>66.357021788793674</c:v>
                </c:pt>
                <c:pt idx="37">
                  <c:v>55.693006500117505</c:v>
                </c:pt>
                <c:pt idx="38">
                  <c:v>69.039882499152654</c:v>
                </c:pt>
                <c:pt idx="39">
                  <c:v>70.866766741112272</c:v>
                </c:pt>
                <c:pt idx="40">
                  <c:v>73.235356762513334</c:v>
                </c:pt>
                <c:pt idx="41">
                  <c:v>180.01009251471791</c:v>
                </c:pt>
                <c:pt idx="42">
                  <c:v>92.556936141207899</c:v>
                </c:pt>
              </c:numCache>
            </c:numRef>
          </c:val>
          <c:smooth val="0"/>
        </c:ser>
        <c:ser>
          <c:idx val="16"/>
          <c:order val="6"/>
          <c:tx>
            <c:strRef>
              <c:f>'Opium (Adjusted)'!$T$6</c:f>
              <c:strCache>
                <c:ptCount val="1"/>
                <c:pt idx="0">
                  <c:v>Kermanshah, Exports, in pound/cwts.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317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(Adjusted)'!$T$37:$T$107</c:f>
              <c:numCache>
                <c:formatCode>0.0000</c:formatCode>
                <c:ptCount val="56"/>
                <c:pt idx="26">
                  <c:v>25.84605461572129</c:v>
                </c:pt>
                <c:pt idx="30">
                  <c:v>46.041202628260429</c:v>
                </c:pt>
                <c:pt idx="31">
                  <c:v>54.63641825512223</c:v>
                </c:pt>
                <c:pt idx="32">
                  <c:v>33.594837191598323</c:v>
                </c:pt>
                <c:pt idx="33">
                  <c:v>42.481106718414772</c:v>
                </c:pt>
                <c:pt idx="34">
                  <c:v>49.136296649582661</c:v>
                </c:pt>
                <c:pt idx="35">
                  <c:v>67.478789974070878</c:v>
                </c:pt>
                <c:pt idx="37">
                  <c:v>52.564568462037641</c:v>
                </c:pt>
                <c:pt idx="38">
                  <c:v>58.023407022106632</c:v>
                </c:pt>
                <c:pt idx="39">
                  <c:v>65.857558139534888</c:v>
                </c:pt>
                <c:pt idx="40">
                  <c:v>65.274611398963728</c:v>
                </c:pt>
                <c:pt idx="41">
                  <c:v>71.698209718670071</c:v>
                </c:pt>
                <c:pt idx="42">
                  <c:v>100.81200289226319</c:v>
                </c:pt>
              </c:numCache>
            </c:numRef>
          </c:val>
          <c:smooth val="0"/>
        </c:ser>
        <c:ser>
          <c:idx val="17"/>
          <c:order val="7"/>
          <c:tx>
            <c:strRef>
              <c:f>'Opium (Adjusted)'!$U$6</c:f>
              <c:strCache>
                <c:ptCount val="1"/>
                <c:pt idx="0">
                  <c:v>Kerman, Exports, in pound/cwts.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317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(Adjusted)'!$U$37:$U$107</c:f>
              <c:numCache>
                <c:formatCode>0.0000</c:formatCode>
                <c:ptCount val="56"/>
                <c:pt idx="24">
                  <c:v>31.015384615384622</c:v>
                </c:pt>
                <c:pt idx="35">
                  <c:v>53.28000000000003</c:v>
                </c:pt>
                <c:pt idx="36">
                  <c:v>44.373333333333306</c:v>
                </c:pt>
                <c:pt idx="37">
                  <c:v>69.119999999999976</c:v>
                </c:pt>
                <c:pt idx="38">
                  <c:v>76.80000000000004</c:v>
                </c:pt>
              </c:numCache>
            </c:numRef>
          </c:val>
          <c:smooth val="0"/>
        </c:ser>
        <c:ser>
          <c:idx val="18"/>
          <c:order val="8"/>
          <c:tx>
            <c:strRef>
              <c:f>'Opium (Adjusted)'!$V$6</c:f>
              <c:strCache>
                <c:ptCount val="1"/>
                <c:pt idx="0">
                  <c:v>Resht &amp; Ghilan &amp; Tunekabun, Exports, in pound/cwts.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317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(Adjusted)'!$V$37:$V$107</c:f>
              <c:numCache>
                <c:formatCode>0.0000</c:formatCode>
                <c:ptCount val="56"/>
                <c:pt idx="32">
                  <c:v>58.652173913043427</c:v>
                </c:pt>
                <c:pt idx="36">
                  <c:v>98.3934147033778</c:v>
                </c:pt>
                <c:pt idx="37">
                  <c:v>96.327332242225836</c:v>
                </c:pt>
              </c:numCache>
            </c:numRef>
          </c:val>
          <c:smooth val="0"/>
        </c:ser>
        <c:ser>
          <c:idx val="20"/>
          <c:order val="9"/>
          <c:tx>
            <c:strRef>
              <c:f>'Opium (Adjusted)'!$X$6</c:f>
              <c:strCache>
                <c:ptCount val="1"/>
                <c:pt idx="0">
                  <c:v>Muscat, Exports, in pound/cwts.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317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(Adjusted)'!$X$37:$X$107</c:f>
              <c:numCache>
                <c:formatCode>0.0000</c:formatCode>
                <c:ptCount val="56"/>
                <c:pt idx="5">
                  <c:v>45.874401330591034</c:v>
                </c:pt>
                <c:pt idx="7">
                  <c:v>55.263530174352113</c:v>
                </c:pt>
                <c:pt idx="8">
                  <c:v>70.660021097119142</c:v>
                </c:pt>
                <c:pt idx="9">
                  <c:v>68.89562104594259</c:v>
                </c:pt>
                <c:pt idx="10">
                  <c:v>122.91987023196832</c:v>
                </c:pt>
                <c:pt idx="11">
                  <c:v>69.483754396334788</c:v>
                </c:pt>
                <c:pt idx="12">
                  <c:v>90.219655950162377</c:v>
                </c:pt>
                <c:pt idx="13">
                  <c:v>60.419032440290017</c:v>
                </c:pt>
                <c:pt idx="14">
                  <c:v>68.055430545382308</c:v>
                </c:pt>
                <c:pt idx="15">
                  <c:v>32.641400946766701</c:v>
                </c:pt>
                <c:pt idx="16">
                  <c:v>97.596528545081611</c:v>
                </c:pt>
                <c:pt idx="17">
                  <c:v>100.12270131676613</c:v>
                </c:pt>
                <c:pt idx="18">
                  <c:v>92.219309341495858</c:v>
                </c:pt>
                <c:pt idx="19">
                  <c:v>8.6077516782400227</c:v>
                </c:pt>
                <c:pt idx="20">
                  <c:v>64.190554242805035</c:v>
                </c:pt>
                <c:pt idx="21">
                  <c:v>60.577735090395862</c:v>
                </c:pt>
                <c:pt idx="22">
                  <c:v>53.436115835633515</c:v>
                </c:pt>
                <c:pt idx="23">
                  <c:v>48.260542352182213</c:v>
                </c:pt>
                <c:pt idx="24">
                  <c:v>39.212026737348275</c:v>
                </c:pt>
              </c:numCache>
            </c:numRef>
          </c:val>
          <c:smooth val="0"/>
        </c:ser>
        <c:ser>
          <c:idx val="21"/>
          <c:order val="10"/>
          <c:tx>
            <c:strRef>
              <c:f>'Opium (Adjusted)'!$Y$6</c:f>
              <c:strCache>
                <c:ptCount val="1"/>
                <c:pt idx="0">
                  <c:v>Mohammerah, Exports, in pound/cwts.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317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(Adjusted)'!$Y$37:$Y$107</c:f>
              <c:numCache>
                <c:formatCode>0.0000</c:formatCode>
                <c:ptCount val="56"/>
                <c:pt idx="22">
                  <c:v>60.876780108390349</c:v>
                </c:pt>
                <c:pt idx="24">
                  <c:v>47.784967645594826</c:v>
                </c:pt>
                <c:pt idx="25">
                  <c:v>16.525634644101544</c:v>
                </c:pt>
                <c:pt idx="26">
                  <c:v>55.136501129532483</c:v>
                </c:pt>
                <c:pt idx="27">
                  <c:v>46.192135390741669</c:v>
                </c:pt>
                <c:pt idx="28">
                  <c:v>46.192135390741662</c:v>
                </c:pt>
                <c:pt idx="30">
                  <c:v>47.784967645594826</c:v>
                </c:pt>
                <c:pt idx="31">
                  <c:v>69.573462981017542</c:v>
                </c:pt>
                <c:pt idx="32">
                  <c:v>63.757083664139806</c:v>
                </c:pt>
              </c:numCache>
            </c:numRef>
          </c:val>
          <c:smooth val="0"/>
        </c:ser>
        <c:ser>
          <c:idx val="0"/>
          <c:order val="11"/>
          <c:tx>
            <c:strRef>
              <c:f>'Opium (Adjusted)'!$Z$6</c:f>
              <c:strCache>
                <c:ptCount val="1"/>
                <c:pt idx="0">
                  <c:v>Shiraz, Exports, in pound/cwts.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(Adjusted)'!$Z$37:$Z$107</c:f>
              <c:numCache>
                <c:formatCode>General</c:formatCode>
                <c:ptCount val="56"/>
                <c:pt idx="17" formatCode="0.0000">
                  <c:v>41.776129445389266</c:v>
                </c:pt>
                <c:pt idx="18" formatCode="0.0000">
                  <c:v>41.593435001750528</c:v>
                </c:pt>
                <c:pt idx="19" formatCode="0.0000">
                  <c:v>69.381153040345183</c:v>
                </c:pt>
                <c:pt idx="20" formatCode="0.0000">
                  <c:v>64.192345937389504</c:v>
                </c:pt>
                <c:pt idx="21" formatCode="0.0000">
                  <c:v>38.937735275282769</c:v>
                </c:pt>
                <c:pt idx="22" formatCode="0.0000">
                  <c:v>38.227108720243343</c:v>
                </c:pt>
                <c:pt idx="23" formatCode="0.0000">
                  <c:v>53.518033580812002</c:v>
                </c:pt>
                <c:pt idx="24" formatCode="0.0000">
                  <c:v>62.809425228793422</c:v>
                </c:pt>
                <c:pt idx="25" formatCode="0.0000">
                  <c:v>61.19895876004091</c:v>
                </c:pt>
                <c:pt idx="26" formatCode="0.0000">
                  <c:v>47.746419598761904</c:v>
                </c:pt>
                <c:pt idx="27" formatCode="0.0000">
                  <c:v>45.225269282122582</c:v>
                </c:pt>
                <c:pt idx="28" formatCode="0.0000">
                  <c:v>49.376515177207267</c:v>
                </c:pt>
                <c:pt idx="29" formatCode="0.0000">
                  <c:v>53.237936690037358</c:v>
                </c:pt>
                <c:pt idx="30" formatCode="0.0000">
                  <c:v>67.475203838484489</c:v>
                </c:pt>
                <c:pt idx="31" formatCode="0.0000">
                  <c:v>58.441708904054735</c:v>
                </c:pt>
              </c:numCache>
            </c:numRef>
          </c:val>
          <c:smooth val="0"/>
        </c:ser>
        <c:ser>
          <c:idx val="1"/>
          <c:order val="12"/>
          <c:tx>
            <c:strRef>
              <c:f>'Opium (Adjusted)'!$AA$6</c:f>
              <c:strCache>
                <c:ptCount val="1"/>
                <c:pt idx="0">
                  <c:v>Bengal, Exports, in pound/cwts.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3175">
                <a:solidFill>
                  <a:schemeClr val="accent2"/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(Adjusted)'!$AA$37:$AA$107</c:f>
              <c:numCache>
                <c:formatCode>General</c:formatCode>
                <c:ptCount val="56"/>
                <c:pt idx="15" formatCode="0.0000">
                  <c:v>35.547428571428576</c:v>
                </c:pt>
                <c:pt idx="16" formatCode="0.0000">
                  <c:v>33.298285714285718</c:v>
                </c:pt>
                <c:pt idx="17" formatCode="0.0000">
                  <c:v>30.691764705882349</c:v>
                </c:pt>
                <c:pt idx="18" formatCode="0.0000">
                  <c:v>30.458181818181824</c:v>
                </c:pt>
                <c:pt idx="19" formatCode="0.0000">
                  <c:v>35.869090909090914</c:v>
                </c:pt>
                <c:pt idx="20" formatCode="0.0000">
                  <c:v>30.026666666666667</c:v>
                </c:pt>
                <c:pt idx="21" formatCode="0.0000">
                  <c:v>29.430447761194031</c:v>
                </c:pt>
                <c:pt idx="22" formatCode="0.0000">
                  <c:v>33.216000000000001</c:v>
                </c:pt>
                <c:pt idx="23" formatCode="0.0000">
                  <c:v>41.478620689655173</c:v>
                </c:pt>
                <c:pt idx="24" formatCode="0.0000">
                  <c:v>40.689230769230768</c:v>
                </c:pt>
                <c:pt idx="25" formatCode="0.0000">
                  <c:v>54.151111111111121</c:v>
                </c:pt>
                <c:pt idx="26" formatCode="0.0000">
                  <c:v>43.365517241379315</c:v>
                </c:pt>
                <c:pt idx="27" formatCode="0.0000">
                  <c:v>33.723870967741931</c:v>
                </c:pt>
                <c:pt idx="28" formatCode="0.0000">
                  <c:v>31.32</c:v>
                </c:pt>
                <c:pt idx="29" formatCode="0.0000">
                  <c:v>33.870000000000005</c:v>
                </c:pt>
                <c:pt idx="30" formatCode="0.0000">
                  <c:v>38.82</c:v>
                </c:pt>
                <c:pt idx="31" formatCode="0.0000">
                  <c:v>39.18</c:v>
                </c:pt>
                <c:pt idx="32" formatCode="0.0000">
                  <c:v>37.049999999999997</c:v>
                </c:pt>
                <c:pt idx="33" formatCode="0.0000">
                  <c:v>34.5</c:v>
                </c:pt>
                <c:pt idx="34" formatCode="0.0000">
                  <c:v>48.81</c:v>
                </c:pt>
                <c:pt idx="35" formatCode="0.0000">
                  <c:v>49.83</c:v>
                </c:pt>
                <c:pt idx="36" formatCode="0.0000">
                  <c:v>42.15</c:v>
                </c:pt>
                <c:pt idx="37" formatCode="0.0000">
                  <c:v>41.19</c:v>
                </c:pt>
                <c:pt idx="38" formatCode="0.0000">
                  <c:v>38.010000000000005</c:v>
                </c:pt>
                <c:pt idx="39" formatCode="0.0000">
                  <c:v>41.43</c:v>
                </c:pt>
                <c:pt idx="40" formatCode="0.0000">
                  <c:v>61.35</c:v>
                </c:pt>
                <c:pt idx="41" formatCode="0.0000">
                  <c:v>100.95</c:v>
                </c:pt>
                <c:pt idx="42" formatCode="0.0000">
                  <c:v>85.5</c:v>
                </c:pt>
                <c:pt idx="43" formatCode="0.0000">
                  <c:v>55.064999999999998</c:v>
                </c:pt>
                <c:pt idx="44" formatCode="0.0000">
                  <c:v>46.382031249999997</c:v>
                </c:pt>
                <c:pt idx="45" formatCode="0.0000">
                  <c:v>48.00078125000001</c:v>
                </c:pt>
                <c:pt idx="46" formatCode="0.0000">
                  <c:v>54.150781250000016</c:v>
                </c:pt>
                <c:pt idx="47" formatCode="0.0000">
                  <c:v>98.404062500000009</c:v>
                </c:pt>
                <c:pt idx="48" formatCode="0.0000">
                  <c:v>96.392031250000016</c:v>
                </c:pt>
                <c:pt idx="49" formatCode="0.0000">
                  <c:v>114.87250000000002</c:v>
                </c:pt>
                <c:pt idx="50" formatCode="0.0000">
                  <c:v>170.58249999999998</c:v>
                </c:pt>
                <c:pt idx="51" formatCode="0.0000">
                  <c:v>151.9</c:v>
                </c:pt>
              </c:numCache>
            </c:numRef>
          </c:val>
          <c:smooth val="0"/>
        </c:ser>
        <c:ser>
          <c:idx val="4"/>
          <c:order val="13"/>
          <c:tx>
            <c:strRef>
              <c:f>'Opium (Adjusted)'!$J$6</c:f>
              <c:strCache>
                <c:ptCount val="1"/>
                <c:pt idx="0">
                  <c:v>Istanbul (Geyve), Exports, in pound/cwts.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3175">
                <a:solidFill>
                  <a:schemeClr val="accent5"/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(Adjusted)'!$J$37:$J$107</c:f>
              <c:numCache>
                <c:formatCode>0.0000</c:formatCode>
                <c:ptCount val="56"/>
                <c:pt idx="6">
                  <c:v>75.287776261653505</c:v>
                </c:pt>
                <c:pt idx="7">
                  <c:v>71.661776208014444</c:v>
                </c:pt>
                <c:pt idx="8">
                  <c:v>61.113418642301248</c:v>
                </c:pt>
                <c:pt idx="9">
                  <c:v>63.116989756825959</c:v>
                </c:pt>
                <c:pt idx="10">
                  <c:v>97.61151129050225</c:v>
                </c:pt>
                <c:pt idx="15">
                  <c:v>51.777159652818369</c:v>
                </c:pt>
                <c:pt idx="16">
                  <c:v>40.821153710372094</c:v>
                </c:pt>
                <c:pt idx="17">
                  <c:v>69.238691393553395</c:v>
                </c:pt>
                <c:pt idx="18">
                  <c:v>42.513866681162874</c:v>
                </c:pt>
                <c:pt idx="19">
                  <c:v>46.728672019923877</c:v>
                </c:pt>
                <c:pt idx="20">
                  <c:v>57.810556315110446</c:v>
                </c:pt>
                <c:pt idx="21">
                  <c:v>39.610554861189392</c:v>
                </c:pt>
                <c:pt idx="22">
                  <c:v>36.278866484400844</c:v>
                </c:pt>
                <c:pt idx="23">
                  <c:v>48.157815835176415</c:v>
                </c:pt>
                <c:pt idx="24">
                  <c:v>41.351879309939044</c:v>
                </c:pt>
                <c:pt idx="25">
                  <c:v>38.314121078914447</c:v>
                </c:pt>
                <c:pt idx="26">
                  <c:v>43.655830196787129</c:v>
                </c:pt>
                <c:pt idx="27">
                  <c:v>38.422351620297917</c:v>
                </c:pt>
                <c:pt idx="28">
                  <c:v>44.888003408213756</c:v>
                </c:pt>
                <c:pt idx="29">
                  <c:v>40.139427860272107</c:v>
                </c:pt>
                <c:pt idx="30">
                  <c:v>44.007953062267475</c:v>
                </c:pt>
                <c:pt idx="31">
                  <c:v>43.560497254386334</c:v>
                </c:pt>
                <c:pt idx="32">
                  <c:v>35.858308331899963</c:v>
                </c:pt>
                <c:pt idx="33">
                  <c:v>42.811767865536758</c:v>
                </c:pt>
                <c:pt idx="34">
                  <c:v>34.056887811390858</c:v>
                </c:pt>
                <c:pt idx="35">
                  <c:v>35.013511398168177</c:v>
                </c:pt>
                <c:pt idx="36">
                  <c:v>38.622364400801182</c:v>
                </c:pt>
                <c:pt idx="37">
                  <c:v>55.072376422485362</c:v>
                </c:pt>
                <c:pt idx="38">
                  <c:v>62.903981565282145</c:v>
                </c:pt>
              </c:numCache>
            </c:numRef>
          </c:val>
          <c:smooth val="0"/>
        </c:ser>
        <c:ser>
          <c:idx val="5"/>
          <c:order val="14"/>
          <c:tx>
            <c:strRef>
              <c:f>'Opium (Adjusted)'!$I$6</c:f>
              <c:strCache>
                <c:ptCount val="1"/>
                <c:pt idx="0">
                  <c:v>Istanbul (Malatya), Exports, in pound/cwts.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3175">
                <a:solidFill>
                  <a:schemeClr val="accent6"/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(Adjusted)'!$I$37:$I$107</c:f>
              <c:numCache>
                <c:formatCode>0.0000</c:formatCode>
                <c:ptCount val="56"/>
                <c:pt idx="6">
                  <c:v>83.140533774268249</c:v>
                </c:pt>
                <c:pt idx="7">
                  <c:v>77.178936052942845</c:v>
                </c:pt>
                <c:pt idx="8">
                  <c:v>65.531256134515786</c:v>
                </c:pt>
                <c:pt idx="9">
                  <c:v>73.075122711499191</c:v>
                </c:pt>
                <c:pt idx="10">
                  <c:v>106.47234479809796</c:v>
                </c:pt>
                <c:pt idx="15">
                  <c:v>70.103783172544453</c:v>
                </c:pt>
                <c:pt idx="16">
                  <c:v>57.809079997175743</c:v>
                </c:pt>
                <c:pt idx="17">
                  <c:v>82.232236984663786</c:v>
                </c:pt>
                <c:pt idx="18">
                  <c:v>64.442624087817009</c:v>
                </c:pt>
                <c:pt idx="19">
                  <c:v>70.76877651755855</c:v>
                </c:pt>
                <c:pt idx="20">
                  <c:v>65.297927377995165</c:v>
                </c:pt>
                <c:pt idx="21">
                  <c:v>46.978075784045387</c:v>
                </c:pt>
                <c:pt idx="22">
                  <c:v>38.870214090429478</c:v>
                </c:pt>
                <c:pt idx="23">
                  <c:v>55.000383193052201</c:v>
                </c:pt>
                <c:pt idx="24">
                  <c:v>46.459083527501235</c:v>
                </c:pt>
                <c:pt idx="25">
                  <c:v>41.836870056610458</c:v>
                </c:pt>
                <c:pt idx="26">
                  <c:v>56.90372978807283</c:v>
                </c:pt>
                <c:pt idx="27">
                  <c:v>43.174121610931337</c:v>
                </c:pt>
                <c:pt idx="28">
                  <c:v>50.357914848673069</c:v>
                </c:pt>
                <c:pt idx="29">
                  <c:v>42.964286191225561</c:v>
                </c:pt>
                <c:pt idx="30">
                  <c:v>47.1807003502349</c:v>
                </c:pt>
                <c:pt idx="31">
                  <c:v>50.530176815088147</c:v>
                </c:pt>
                <c:pt idx="33">
                  <c:v>45.362755778741274</c:v>
                </c:pt>
                <c:pt idx="34">
                  <c:v>39.584445518998798</c:v>
                </c:pt>
                <c:pt idx="35">
                  <c:v>39.060299147705202</c:v>
                </c:pt>
                <c:pt idx="36">
                  <c:v>46.357442964549733</c:v>
                </c:pt>
                <c:pt idx="37">
                  <c:v>59.356775236552288</c:v>
                </c:pt>
                <c:pt idx="38">
                  <c:v>70.542322183923545</c:v>
                </c:pt>
              </c:numCache>
            </c:numRef>
          </c:val>
          <c:smooth val="0"/>
        </c:ser>
        <c:ser>
          <c:idx val="6"/>
          <c:order val="15"/>
          <c:tx>
            <c:strRef>
              <c:f>'Opium (Adjusted)'!$K$6</c:f>
              <c:strCache>
                <c:ptCount val="1"/>
                <c:pt idx="0">
                  <c:v>Istanbul (Nallrihan), Exports, in pound/cwts.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(Adjusted)'!$K$37:$K$107</c:f>
              <c:numCache>
                <c:formatCode>0.0000</c:formatCode>
                <c:ptCount val="56"/>
                <c:pt idx="15">
                  <c:v>52.31094480387835</c:v>
                </c:pt>
                <c:pt idx="16">
                  <c:v>42.010873402527714</c:v>
                </c:pt>
                <c:pt idx="17">
                  <c:v>70.728245282146062</c:v>
                </c:pt>
                <c:pt idx="18">
                  <c:v>44.298399356668476</c:v>
                </c:pt>
                <c:pt idx="19">
                  <c:v>48.303068815672084</c:v>
                </c:pt>
                <c:pt idx="20">
                  <c:v>57.512211716829384</c:v>
                </c:pt>
                <c:pt idx="21">
                  <c:v>39.462570222853692</c:v>
                </c:pt>
                <c:pt idx="22">
                  <c:v>38.583438288695639</c:v>
                </c:pt>
                <c:pt idx="23">
                  <c:v>49.02396360199613</c:v>
                </c:pt>
                <c:pt idx="24">
                  <c:v>35.420932476641021</c:v>
                </c:pt>
                <c:pt idx="25">
                  <c:v>38.331024864795907</c:v>
                </c:pt>
                <c:pt idx="26">
                  <c:v>42.738257553954455</c:v>
                </c:pt>
                <c:pt idx="32">
                  <c:v>33.166764607229503</c:v>
                </c:pt>
                <c:pt idx="33">
                  <c:v>42.338572060158526</c:v>
                </c:pt>
                <c:pt idx="34">
                  <c:v>33.835785503086541</c:v>
                </c:pt>
                <c:pt idx="35">
                  <c:v>39.120121227480972</c:v>
                </c:pt>
                <c:pt idx="36">
                  <c:v>38.180460917954484</c:v>
                </c:pt>
                <c:pt idx="37">
                  <c:v>51.502044077429581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'Opium (Adjusted)'!$AA$6</c:f>
              <c:strCache>
                <c:ptCount val="1"/>
                <c:pt idx="0">
                  <c:v>Bengal, Exports, in pound/cwts.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(Adjusted)'!$A$37:$A$107</c:f>
              <c:numCache>
                <c:formatCode>General</c:formatCode>
                <c:ptCount val="56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  <c:pt idx="51">
                  <c:v>1921</c:v>
                </c:pt>
                <c:pt idx="52">
                  <c:v>1922</c:v>
                </c:pt>
                <c:pt idx="53">
                  <c:v>1923</c:v>
                </c:pt>
                <c:pt idx="54">
                  <c:v>1924</c:v>
                </c:pt>
                <c:pt idx="55">
                  <c:v>1925</c:v>
                </c:pt>
              </c:numCache>
            </c:numRef>
          </c:cat>
          <c:val>
            <c:numRef>
              <c:f>'Opium (Adjusted)'!$AA$37:$AA$107</c:f>
              <c:numCache>
                <c:formatCode>General</c:formatCode>
                <c:ptCount val="56"/>
                <c:pt idx="15" formatCode="0.0000">
                  <c:v>35.547428571428576</c:v>
                </c:pt>
                <c:pt idx="16" formatCode="0.0000">
                  <c:v>33.298285714285718</c:v>
                </c:pt>
                <c:pt idx="17" formatCode="0.0000">
                  <c:v>30.691764705882349</c:v>
                </c:pt>
                <c:pt idx="18" formatCode="0.0000">
                  <c:v>30.458181818181824</c:v>
                </c:pt>
                <c:pt idx="19" formatCode="0.0000">
                  <c:v>35.869090909090914</c:v>
                </c:pt>
                <c:pt idx="20" formatCode="0.0000">
                  <c:v>30.026666666666667</c:v>
                </c:pt>
                <c:pt idx="21" formatCode="0.0000">
                  <c:v>29.430447761194031</c:v>
                </c:pt>
                <c:pt idx="22" formatCode="0.0000">
                  <c:v>33.216000000000001</c:v>
                </c:pt>
                <c:pt idx="23" formatCode="0.0000">
                  <c:v>41.478620689655173</c:v>
                </c:pt>
                <c:pt idx="24" formatCode="0.0000">
                  <c:v>40.689230769230768</c:v>
                </c:pt>
                <c:pt idx="25" formatCode="0.0000">
                  <c:v>54.151111111111121</c:v>
                </c:pt>
                <c:pt idx="26" formatCode="0.0000">
                  <c:v>43.365517241379315</c:v>
                </c:pt>
                <c:pt idx="27" formatCode="0.0000">
                  <c:v>33.723870967741931</c:v>
                </c:pt>
                <c:pt idx="28" formatCode="0.0000">
                  <c:v>31.32</c:v>
                </c:pt>
                <c:pt idx="29" formatCode="0.0000">
                  <c:v>33.870000000000005</c:v>
                </c:pt>
                <c:pt idx="30" formatCode="0.0000">
                  <c:v>38.82</c:v>
                </c:pt>
                <c:pt idx="31" formatCode="0.0000">
                  <c:v>39.18</c:v>
                </c:pt>
                <c:pt idx="32" formatCode="0.0000">
                  <c:v>37.049999999999997</c:v>
                </c:pt>
                <c:pt idx="33" formatCode="0.0000">
                  <c:v>34.5</c:v>
                </c:pt>
                <c:pt idx="34" formatCode="0.0000">
                  <c:v>48.81</c:v>
                </c:pt>
                <c:pt idx="35" formatCode="0.0000">
                  <c:v>49.83</c:v>
                </c:pt>
                <c:pt idx="36" formatCode="0.0000">
                  <c:v>42.15</c:v>
                </c:pt>
                <c:pt idx="37" formatCode="0.0000">
                  <c:v>41.19</c:v>
                </c:pt>
                <c:pt idx="38" formatCode="0.0000">
                  <c:v>38.010000000000005</c:v>
                </c:pt>
                <c:pt idx="39" formatCode="0.0000">
                  <c:v>41.43</c:v>
                </c:pt>
                <c:pt idx="40" formatCode="0.0000">
                  <c:v>61.35</c:v>
                </c:pt>
                <c:pt idx="41" formatCode="0.0000">
                  <c:v>100.95</c:v>
                </c:pt>
                <c:pt idx="42" formatCode="0.0000">
                  <c:v>85.5</c:v>
                </c:pt>
                <c:pt idx="43" formatCode="0.0000">
                  <c:v>55.064999999999998</c:v>
                </c:pt>
                <c:pt idx="44" formatCode="0.0000">
                  <c:v>46.382031249999997</c:v>
                </c:pt>
                <c:pt idx="45" formatCode="0.0000">
                  <c:v>48.00078125000001</c:v>
                </c:pt>
                <c:pt idx="46" formatCode="0.0000">
                  <c:v>54.150781250000016</c:v>
                </c:pt>
                <c:pt idx="47" formatCode="0.0000">
                  <c:v>98.404062500000009</c:v>
                </c:pt>
                <c:pt idx="48" formatCode="0.0000">
                  <c:v>96.392031250000016</c:v>
                </c:pt>
                <c:pt idx="49" formatCode="0.0000">
                  <c:v>114.87250000000002</c:v>
                </c:pt>
                <c:pt idx="50" formatCode="0.0000">
                  <c:v>170.58249999999998</c:v>
                </c:pt>
                <c:pt idx="51" formatCode="0.0000">
                  <c:v>151.9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741056"/>
        <c:axId val="704740496"/>
      </c:lineChart>
      <c:catAx>
        <c:axId val="70474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40496"/>
        <c:crosses val="autoZero"/>
        <c:auto val="1"/>
        <c:lblAlgn val="ctr"/>
        <c:lblOffset val="100"/>
        <c:noMultiLvlLbl val="0"/>
      </c:catAx>
      <c:valAx>
        <c:axId val="70474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4105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68156588981138"/>
          <c:y val="0.17511090163025397"/>
          <c:w val="0.24600838111796536"/>
          <c:h val="0.647961258363831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Opium, UK, Black Sea, Mediterranean Sea, Persian Gulf &amp; Bengal, in pound/cwts.</a:t>
            </a:r>
            <a:endParaRPr lang="en-US" sz="11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449043259009179E-2"/>
          <c:y val="9.8591174906964382E-2"/>
          <c:w val="0.71334772095143473"/>
          <c:h val="0.82045925479410764"/>
        </c:manualLayout>
      </c:layout>
      <c:lineChart>
        <c:grouping val="standard"/>
        <c:varyColors val="0"/>
        <c:ser>
          <c:idx val="2"/>
          <c:order val="0"/>
          <c:tx>
            <c:strRef>
              <c:f>'Opium (Adjusted)'!$C$6</c:f>
              <c:strCache>
                <c:ptCount val="1"/>
                <c:pt idx="0">
                  <c:v>UK, Exports (foreign and colonial), in pound/cwts.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3175">
                <a:solidFill>
                  <a:schemeClr val="accent3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(Adjusted)'!$C$7:$C$107</c:f>
              <c:numCache>
                <c:formatCode>0.0000</c:formatCode>
                <c:ptCount val="76"/>
                <c:pt idx="4">
                  <c:v>86.333094524453543</c:v>
                </c:pt>
                <c:pt idx="5">
                  <c:v>76.999301996290612</c:v>
                </c:pt>
                <c:pt idx="6">
                  <c:v>83.999456088890625</c:v>
                </c:pt>
                <c:pt idx="7">
                  <c:v>83.532228784153318</c:v>
                </c:pt>
                <c:pt idx="8">
                  <c:v>106.95392487269686</c:v>
                </c:pt>
                <c:pt idx="9">
                  <c:v>107.33351041627139</c:v>
                </c:pt>
                <c:pt idx="10">
                  <c:v>104.06640019577453</c:v>
                </c:pt>
                <c:pt idx="11">
                  <c:v>90.066731007858806</c:v>
                </c:pt>
                <c:pt idx="12">
                  <c:v>95.199655589495478</c:v>
                </c:pt>
                <c:pt idx="13">
                  <c:v>102.19983469723253</c:v>
                </c:pt>
                <c:pt idx="14">
                  <c:v>92.400233976769442</c:v>
                </c:pt>
                <c:pt idx="15">
                  <c:v>80.266454545454536</c:v>
                </c:pt>
                <c:pt idx="16">
                  <c:v>93.333200882688928</c:v>
                </c:pt>
                <c:pt idx="17">
                  <c:v>91.467031154263097</c:v>
                </c:pt>
                <c:pt idx="18">
                  <c:v>139.9997741297947</c:v>
                </c:pt>
                <c:pt idx="19">
                  <c:v>180.60168346088238</c:v>
                </c:pt>
                <c:pt idx="20">
                  <c:v>146.06672251253207</c:v>
                </c:pt>
                <c:pt idx="21">
                  <c:v>111.91219229730741</c:v>
                </c:pt>
                <c:pt idx="22">
                  <c:v>112.30772724176299</c:v>
                </c:pt>
                <c:pt idx="23">
                  <c:v>119.72540177270858</c:v>
                </c:pt>
                <c:pt idx="24">
                  <c:v>121.91671617043222</c:v>
                </c:pt>
                <c:pt idx="25">
                  <c:v>117.26207478663969</c:v>
                </c:pt>
                <c:pt idx="26">
                  <c:v>105.81410267288926</c:v>
                </c:pt>
                <c:pt idx="27">
                  <c:v>108.18936032188867</c:v>
                </c:pt>
                <c:pt idx="28">
                  <c:v>91.329982823334817</c:v>
                </c:pt>
                <c:pt idx="29">
                  <c:v>90.370615224371392</c:v>
                </c:pt>
                <c:pt idx="30">
                  <c:v>109.56591478696743</c:v>
                </c:pt>
                <c:pt idx="31">
                  <c:v>94.463831513151845</c:v>
                </c:pt>
                <c:pt idx="32">
                  <c:v>86.587551485500427</c:v>
                </c:pt>
                <c:pt idx="33">
                  <c:v>81.846741708391377</c:v>
                </c:pt>
                <c:pt idx="34">
                  <c:v>88.166301579593579</c:v>
                </c:pt>
                <c:pt idx="35">
                  <c:v>70.928381264169943</c:v>
                </c:pt>
                <c:pt idx="36">
                  <c:v>65.679859388710355</c:v>
                </c:pt>
                <c:pt idx="37">
                  <c:v>76.374030475424547</c:v>
                </c:pt>
                <c:pt idx="38">
                  <c:v>69.34144195802368</c:v>
                </c:pt>
                <c:pt idx="39">
                  <c:v>62.686301978337369</c:v>
                </c:pt>
                <c:pt idx="40">
                  <c:v>69.497282099343963</c:v>
                </c:pt>
                <c:pt idx="41">
                  <c:v>60.112094752196384</c:v>
                </c:pt>
                <c:pt idx="42">
                  <c:v>52.264219353963696</c:v>
                </c:pt>
                <c:pt idx="43">
                  <c:v>59.781271464550102</c:v>
                </c:pt>
                <c:pt idx="44">
                  <c:v>57.687427290205811</c:v>
                </c:pt>
                <c:pt idx="45">
                  <c:v>58.564772162386085</c:v>
                </c:pt>
                <c:pt idx="46">
                  <c:v>57.142251532802597</c:v>
                </c:pt>
                <c:pt idx="47">
                  <c:v>53.822059992054029</c:v>
                </c:pt>
                <c:pt idx="48">
                  <c:v>60.197927349968886</c:v>
                </c:pt>
                <c:pt idx="49">
                  <c:v>56.611424941837967</c:v>
                </c:pt>
                <c:pt idx="50">
                  <c:v>58.035289850024135</c:v>
                </c:pt>
                <c:pt idx="51">
                  <c:v>59.968189976257882</c:v>
                </c:pt>
                <c:pt idx="52">
                  <c:v>56.6370877534602</c:v>
                </c:pt>
                <c:pt idx="53">
                  <c:v>58.06921445081214</c:v>
                </c:pt>
                <c:pt idx="54">
                  <c:v>63.016791905983482</c:v>
                </c:pt>
                <c:pt idx="55">
                  <c:v>57.73856392687653</c:v>
                </c:pt>
                <c:pt idx="56">
                  <c:v>57.733602229340974</c:v>
                </c:pt>
                <c:pt idx="57">
                  <c:v>76.178759534252862</c:v>
                </c:pt>
                <c:pt idx="58">
                  <c:v>73.780548203547966</c:v>
                </c:pt>
                <c:pt idx="59">
                  <c:v>78.002201905126611</c:v>
                </c:pt>
                <c:pt idx="60">
                  <c:v>90.153274838897588</c:v>
                </c:pt>
                <c:pt idx="61">
                  <c:v>102.57892958642208</c:v>
                </c:pt>
                <c:pt idx="62">
                  <c:v>128.15847786852652</c:v>
                </c:pt>
                <c:pt idx="63">
                  <c:v>113.55479301207045</c:v>
                </c:pt>
                <c:pt idx="64">
                  <c:v>106.20397161428826</c:v>
                </c:pt>
                <c:pt idx="65">
                  <c:v>120.19941627316517</c:v>
                </c:pt>
                <c:pt idx="66">
                  <c:v>137.28445804573309</c:v>
                </c:pt>
                <c:pt idx="67">
                  <c:v>232.39311380114344</c:v>
                </c:pt>
                <c:pt idx="68">
                  <c:v>333.87042645087627</c:v>
                </c:pt>
                <c:pt idx="69">
                  <c:v>255.21626912781176</c:v>
                </c:pt>
                <c:pt idx="70">
                  <c:v>135.02193606348729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'Opium (Adjusted)'!$I$6</c:f>
              <c:strCache>
                <c:ptCount val="1"/>
                <c:pt idx="0">
                  <c:v>Istanbul (Malatya), Exports, in pound/cwts.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3175">
                <a:solidFill>
                  <a:schemeClr val="accent4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(Adjusted)'!$I$7:$I$107</c:f>
              <c:numCache>
                <c:formatCode>0.0000</c:formatCode>
                <c:ptCount val="76"/>
                <c:pt idx="26">
                  <c:v>83.140533774268249</c:v>
                </c:pt>
                <c:pt idx="27">
                  <c:v>77.178936052942845</c:v>
                </c:pt>
                <c:pt idx="28">
                  <c:v>65.531256134515786</c:v>
                </c:pt>
                <c:pt idx="29">
                  <c:v>73.075122711499191</c:v>
                </c:pt>
                <c:pt idx="30">
                  <c:v>106.47234479809796</c:v>
                </c:pt>
                <c:pt idx="35">
                  <c:v>70.103783172544453</c:v>
                </c:pt>
                <c:pt idx="36">
                  <c:v>57.809079997175743</c:v>
                </c:pt>
                <c:pt idx="37">
                  <c:v>82.232236984663786</c:v>
                </c:pt>
                <c:pt idx="38">
                  <c:v>64.442624087817009</c:v>
                </c:pt>
                <c:pt idx="39">
                  <c:v>70.76877651755855</c:v>
                </c:pt>
                <c:pt idx="40">
                  <c:v>65.297927377995165</c:v>
                </c:pt>
                <c:pt idx="41">
                  <c:v>46.978075784045387</c:v>
                </c:pt>
                <c:pt idx="42">
                  <c:v>38.870214090429478</c:v>
                </c:pt>
                <c:pt idx="43">
                  <c:v>55.000383193052201</c:v>
                </c:pt>
                <c:pt idx="44">
                  <c:v>46.459083527501235</c:v>
                </c:pt>
                <c:pt idx="45">
                  <c:v>41.836870056610458</c:v>
                </c:pt>
                <c:pt idx="46">
                  <c:v>56.90372978807283</c:v>
                </c:pt>
                <c:pt idx="47">
                  <c:v>43.174121610931337</c:v>
                </c:pt>
                <c:pt idx="48">
                  <c:v>50.357914848673069</c:v>
                </c:pt>
                <c:pt idx="49">
                  <c:v>42.964286191225561</c:v>
                </c:pt>
                <c:pt idx="50">
                  <c:v>47.1807003502349</c:v>
                </c:pt>
                <c:pt idx="51">
                  <c:v>50.530176815088147</c:v>
                </c:pt>
                <c:pt idx="53">
                  <c:v>45.362755778741274</c:v>
                </c:pt>
                <c:pt idx="54">
                  <c:v>39.584445518998798</c:v>
                </c:pt>
                <c:pt idx="55">
                  <c:v>39.060299147705202</c:v>
                </c:pt>
                <c:pt idx="56">
                  <c:v>46.357442964549733</c:v>
                </c:pt>
                <c:pt idx="57">
                  <c:v>59.356775236552288</c:v>
                </c:pt>
                <c:pt idx="58">
                  <c:v>70.542322183923545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'Opium (Adjusted)'!$J$6</c:f>
              <c:strCache>
                <c:ptCount val="1"/>
                <c:pt idx="0">
                  <c:v>Istanbul (Geyve), Exports, in pound/cwts.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3175">
                <a:solidFill>
                  <a:schemeClr val="accent5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(Adjusted)'!$J$7:$J$107</c:f>
              <c:numCache>
                <c:formatCode>0.0000</c:formatCode>
                <c:ptCount val="76"/>
                <c:pt idx="26">
                  <c:v>75.287776261653505</c:v>
                </c:pt>
                <c:pt idx="27">
                  <c:v>71.661776208014444</c:v>
                </c:pt>
                <c:pt idx="28">
                  <c:v>61.113418642301248</c:v>
                </c:pt>
                <c:pt idx="29">
                  <c:v>63.116989756825959</c:v>
                </c:pt>
                <c:pt idx="30">
                  <c:v>97.61151129050225</c:v>
                </c:pt>
                <c:pt idx="35">
                  <c:v>51.777159652818369</c:v>
                </c:pt>
                <c:pt idx="36">
                  <c:v>40.821153710372094</c:v>
                </c:pt>
                <c:pt idx="37">
                  <c:v>69.238691393553395</c:v>
                </c:pt>
                <c:pt idx="38">
                  <c:v>42.513866681162874</c:v>
                </c:pt>
                <c:pt idx="39">
                  <c:v>46.728672019923877</c:v>
                </c:pt>
                <c:pt idx="40">
                  <c:v>57.810556315110446</c:v>
                </c:pt>
                <c:pt idx="41">
                  <c:v>39.610554861189392</c:v>
                </c:pt>
                <c:pt idx="42">
                  <c:v>36.278866484400844</c:v>
                </c:pt>
                <c:pt idx="43">
                  <c:v>48.157815835176415</c:v>
                </c:pt>
                <c:pt idx="44">
                  <c:v>41.351879309939044</c:v>
                </c:pt>
                <c:pt idx="45">
                  <c:v>38.314121078914447</c:v>
                </c:pt>
                <c:pt idx="46">
                  <c:v>43.655830196787129</c:v>
                </c:pt>
                <c:pt idx="47">
                  <c:v>38.422351620297917</c:v>
                </c:pt>
                <c:pt idx="48">
                  <c:v>44.888003408213756</c:v>
                </c:pt>
                <c:pt idx="49">
                  <c:v>40.139427860272107</c:v>
                </c:pt>
                <c:pt idx="50">
                  <c:v>44.007953062267475</c:v>
                </c:pt>
                <c:pt idx="51">
                  <c:v>43.560497254386334</c:v>
                </c:pt>
                <c:pt idx="52">
                  <c:v>35.858308331899963</c:v>
                </c:pt>
                <c:pt idx="53">
                  <c:v>42.811767865536758</c:v>
                </c:pt>
                <c:pt idx="54">
                  <c:v>34.056887811390858</c:v>
                </c:pt>
                <c:pt idx="55">
                  <c:v>35.013511398168177</c:v>
                </c:pt>
                <c:pt idx="56">
                  <c:v>38.622364400801182</c:v>
                </c:pt>
                <c:pt idx="57">
                  <c:v>55.072376422485362</c:v>
                </c:pt>
                <c:pt idx="58">
                  <c:v>62.903981565282145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'Opium (Adjusted)'!$K$6</c:f>
              <c:strCache>
                <c:ptCount val="1"/>
                <c:pt idx="0">
                  <c:v>Istanbul (Nallrihan), Exports, in pound/cwts.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3175">
                <a:solidFill>
                  <a:schemeClr val="accent6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(Adjusted)'!$K$7:$K$107</c:f>
              <c:numCache>
                <c:formatCode>0.0000</c:formatCode>
                <c:ptCount val="76"/>
                <c:pt idx="35">
                  <c:v>52.31094480387835</c:v>
                </c:pt>
                <c:pt idx="36">
                  <c:v>42.010873402527714</c:v>
                </c:pt>
                <c:pt idx="37">
                  <c:v>70.728245282146062</c:v>
                </c:pt>
                <c:pt idx="38">
                  <c:v>44.298399356668476</c:v>
                </c:pt>
                <c:pt idx="39">
                  <c:v>48.303068815672084</c:v>
                </c:pt>
                <c:pt idx="40">
                  <c:v>57.512211716829384</c:v>
                </c:pt>
                <c:pt idx="41">
                  <c:v>39.462570222853692</c:v>
                </c:pt>
                <c:pt idx="42">
                  <c:v>38.583438288695639</c:v>
                </c:pt>
                <c:pt idx="43">
                  <c:v>49.02396360199613</c:v>
                </c:pt>
                <c:pt idx="44">
                  <c:v>35.420932476641021</c:v>
                </c:pt>
                <c:pt idx="45">
                  <c:v>38.331024864795907</c:v>
                </c:pt>
                <c:pt idx="46">
                  <c:v>42.738257553954455</c:v>
                </c:pt>
                <c:pt idx="52">
                  <c:v>33.166764607229503</c:v>
                </c:pt>
                <c:pt idx="53">
                  <c:v>42.338572060158526</c:v>
                </c:pt>
                <c:pt idx="54">
                  <c:v>33.835785503086541</c:v>
                </c:pt>
                <c:pt idx="55">
                  <c:v>39.120121227480972</c:v>
                </c:pt>
                <c:pt idx="56">
                  <c:v>38.180460917954484</c:v>
                </c:pt>
                <c:pt idx="57">
                  <c:v>51.502044077429581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'Opium (Adjusted)'!$L$6</c:f>
              <c:strCache>
                <c:ptCount val="1"/>
                <c:pt idx="0">
                  <c:v>Trebizond (Persia), Exports, in pound/cwts.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(Adjusted)'!$L$7:$L$107</c:f>
              <c:numCache>
                <c:formatCode>0.0000</c:formatCode>
                <c:ptCount val="76"/>
                <c:pt idx="33">
                  <c:v>85.712500000000006</c:v>
                </c:pt>
                <c:pt idx="34">
                  <c:v>85.714285714285708</c:v>
                </c:pt>
                <c:pt idx="44">
                  <c:v>17.777777777777779</c:v>
                </c:pt>
                <c:pt idx="45">
                  <c:v>26.68</c:v>
                </c:pt>
                <c:pt idx="46">
                  <c:v>49.375</c:v>
                </c:pt>
                <c:pt idx="47">
                  <c:v>51.111111111111114</c:v>
                </c:pt>
                <c:pt idx="48">
                  <c:v>38.4</c:v>
                </c:pt>
                <c:pt idx="49">
                  <c:v>40</c:v>
                </c:pt>
                <c:pt idx="50">
                  <c:v>40</c:v>
                </c:pt>
                <c:pt idx="51">
                  <c:v>41.142857142857146</c:v>
                </c:pt>
                <c:pt idx="52">
                  <c:v>40</c:v>
                </c:pt>
                <c:pt idx="53">
                  <c:v>40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'Opium (Adjusted)'!$M$6</c:f>
              <c:strCache>
                <c:ptCount val="1"/>
                <c:pt idx="0">
                  <c:v>Izmir, Exports, in pound/cwts.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(Adjusted)'!$M$7:$M$107</c:f>
              <c:numCache>
                <c:formatCode>0.0000</c:formatCode>
                <c:ptCount val="76"/>
                <c:pt idx="14">
                  <c:v>75.600000000000009</c:v>
                </c:pt>
                <c:pt idx="15">
                  <c:v>6.5333333333333297</c:v>
                </c:pt>
                <c:pt idx="16">
                  <c:v>95.2</c:v>
                </c:pt>
                <c:pt idx="18">
                  <c:v>106.39999999999999</c:v>
                </c:pt>
                <c:pt idx="19">
                  <c:v>235.20000000000002</c:v>
                </c:pt>
                <c:pt idx="21">
                  <c:v>95.2</c:v>
                </c:pt>
                <c:pt idx="22">
                  <c:v>156.79999999999998</c:v>
                </c:pt>
                <c:pt idx="24">
                  <c:v>156.79999999999998</c:v>
                </c:pt>
                <c:pt idx="25">
                  <c:v>89.600000000000009</c:v>
                </c:pt>
                <c:pt idx="26">
                  <c:v>117.60000000000001</c:v>
                </c:pt>
                <c:pt idx="27">
                  <c:v>111.719875401682</c:v>
                </c:pt>
                <c:pt idx="28">
                  <c:v>95.569935291189495</c:v>
                </c:pt>
                <c:pt idx="29">
                  <c:v>100.33933223710851</c:v>
                </c:pt>
                <c:pt idx="30">
                  <c:v>131.962769852267</c:v>
                </c:pt>
                <c:pt idx="31">
                  <c:v>79.641612742658012</c:v>
                </c:pt>
                <c:pt idx="32">
                  <c:v>79.641612742658012</c:v>
                </c:pt>
                <c:pt idx="33">
                  <c:v>71.677451468391993</c:v>
                </c:pt>
                <c:pt idx="34">
                  <c:v>79.641612742658012</c:v>
                </c:pt>
                <c:pt idx="35">
                  <c:v>70.084619213539</c:v>
                </c:pt>
                <c:pt idx="36">
                  <c:v>81.035289742595012</c:v>
                </c:pt>
                <c:pt idx="38">
                  <c:v>63.7132901941265</c:v>
                </c:pt>
                <c:pt idx="39">
                  <c:v>62.056317043104507</c:v>
                </c:pt>
                <c:pt idx="40">
                  <c:v>54.15629666500751</c:v>
                </c:pt>
                <c:pt idx="41">
                  <c:v>50.970632155301004</c:v>
                </c:pt>
                <c:pt idx="42">
                  <c:v>50.970632155301004</c:v>
                </c:pt>
                <c:pt idx="44">
                  <c:v>59.606314189388506</c:v>
                </c:pt>
                <c:pt idx="48">
                  <c:v>68.027491408934495</c:v>
                </c:pt>
                <c:pt idx="49">
                  <c:v>104.18681856440952</c:v>
                </c:pt>
                <c:pt idx="50">
                  <c:v>66.103703703703502</c:v>
                </c:pt>
                <c:pt idx="51">
                  <c:v>66.761777777778008</c:v>
                </c:pt>
                <c:pt idx="52">
                  <c:v>66.896666666666505</c:v>
                </c:pt>
                <c:pt idx="53">
                  <c:v>53.326288659794002</c:v>
                </c:pt>
                <c:pt idx="54">
                  <c:v>59.541237113401998</c:v>
                </c:pt>
                <c:pt idx="55">
                  <c:v>54.513526570048498</c:v>
                </c:pt>
                <c:pt idx="56">
                  <c:v>54.913833992095</c:v>
                </c:pt>
                <c:pt idx="57">
                  <c:v>55.597000000000008</c:v>
                </c:pt>
                <c:pt idx="58">
                  <c:v>44.371341463414652</c:v>
                </c:pt>
                <c:pt idx="60">
                  <c:v>86.501666666666495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'Opium (Adjusted)'!$N$6</c:f>
              <c:strCache>
                <c:ptCount val="1"/>
                <c:pt idx="0">
                  <c:v>Alexandretta, Exports, in pound/cwts.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(Adjusted)'!$N$7:$N$107</c:f>
              <c:numCache>
                <c:formatCode>0.0000</c:formatCode>
                <c:ptCount val="76"/>
                <c:pt idx="40">
                  <c:v>40.271428571428551</c:v>
                </c:pt>
                <c:pt idx="41">
                  <c:v>40.24999999999995</c:v>
                </c:pt>
                <c:pt idx="42">
                  <c:v>40.24999999999995</c:v>
                </c:pt>
                <c:pt idx="43">
                  <c:v>40.264285714285705</c:v>
                </c:pt>
                <c:pt idx="44">
                  <c:v>40.24999999999995</c:v>
                </c:pt>
                <c:pt idx="45">
                  <c:v>40.24999999999995</c:v>
                </c:pt>
                <c:pt idx="46">
                  <c:v>40.549999999999955</c:v>
                </c:pt>
                <c:pt idx="47">
                  <c:v>40.24999999999995</c:v>
                </c:pt>
                <c:pt idx="48">
                  <c:v>40.99999999999995</c:v>
                </c:pt>
                <c:pt idx="49">
                  <c:v>42.24999999999995</c:v>
                </c:pt>
                <c:pt idx="50">
                  <c:v>42.77777777777775</c:v>
                </c:pt>
                <c:pt idx="51">
                  <c:v>42.18749999999995</c:v>
                </c:pt>
                <c:pt idx="52">
                  <c:v>42.49999999999995</c:v>
                </c:pt>
                <c:pt idx="53">
                  <c:v>42.019230769230752</c:v>
                </c:pt>
                <c:pt idx="54">
                  <c:v>42.2222222222222</c:v>
                </c:pt>
                <c:pt idx="55">
                  <c:v>42.24999999999995</c:v>
                </c:pt>
                <c:pt idx="56">
                  <c:v>42.2222222222222</c:v>
                </c:pt>
                <c:pt idx="57">
                  <c:v>42.142857142857103</c:v>
                </c:pt>
                <c:pt idx="58">
                  <c:v>42.071428571428555</c:v>
                </c:pt>
                <c:pt idx="59">
                  <c:v>42.099999999999952</c:v>
                </c:pt>
                <c:pt idx="60">
                  <c:v>41.99999999999995</c:v>
                </c:pt>
                <c:pt idx="61">
                  <c:v>41.745000000000005</c:v>
                </c:pt>
                <c:pt idx="62">
                  <c:v>41.745000000000005</c:v>
                </c:pt>
                <c:pt idx="63">
                  <c:v>41.414999999999999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'Opium (Adjusted)'!$X$6</c:f>
              <c:strCache>
                <c:ptCount val="1"/>
                <c:pt idx="0">
                  <c:v>Muscat, Exports, in pound/cwts.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(Adjusted)'!$X$7:$X$107</c:f>
              <c:numCache>
                <c:formatCode>0.0000</c:formatCode>
                <c:ptCount val="76"/>
                <c:pt idx="25">
                  <c:v>45.874401330591034</c:v>
                </c:pt>
                <c:pt idx="27">
                  <c:v>55.263530174352113</c:v>
                </c:pt>
                <c:pt idx="28">
                  <c:v>70.660021097119142</c:v>
                </c:pt>
                <c:pt idx="29">
                  <c:v>68.89562104594259</c:v>
                </c:pt>
                <c:pt idx="30">
                  <c:v>122.91987023196832</c:v>
                </c:pt>
                <c:pt idx="31">
                  <c:v>69.483754396334788</c:v>
                </c:pt>
                <c:pt idx="32">
                  <c:v>90.219655950162377</c:v>
                </c:pt>
                <c:pt idx="33">
                  <c:v>60.419032440290017</c:v>
                </c:pt>
                <c:pt idx="34">
                  <c:v>68.055430545382308</c:v>
                </c:pt>
                <c:pt idx="35">
                  <c:v>32.641400946766701</c:v>
                </c:pt>
                <c:pt idx="36">
                  <c:v>97.596528545081611</c:v>
                </c:pt>
                <c:pt idx="37">
                  <c:v>100.12270131676613</c:v>
                </c:pt>
                <c:pt idx="38">
                  <c:v>92.219309341495858</c:v>
                </c:pt>
                <c:pt idx="39">
                  <c:v>8.6077516782400227</c:v>
                </c:pt>
                <c:pt idx="40">
                  <c:v>64.190554242805035</c:v>
                </c:pt>
                <c:pt idx="41">
                  <c:v>60.577735090395862</c:v>
                </c:pt>
                <c:pt idx="42">
                  <c:v>53.436115835633515</c:v>
                </c:pt>
                <c:pt idx="43">
                  <c:v>48.260542352182213</c:v>
                </c:pt>
                <c:pt idx="44">
                  <c:v>39.212026737348275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'Opium (Adjusted)'!$Y$6</c:f>
              <c:strCache>
                <c:ptCount val="1"/>
                <c:pt idx="0">
                  <c:v>Mohammerah, Exports, in pound/cwts.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(Adjusted)'!$Y$7:$Y$107</c:f>
              <c:numCache>
                <c:formatCode>0.0000</c:formatCode>
                <c:ptCount val="76"/>
                <c:pt idx="42">
                  <c:v>60.876780108390349</c:v>
                </c:pt>
                <c:pt idx="44">
                  <c:v>47.784967645594826</c:v>
                </c:pt>
                <c:pt idx="45">
                  <c:v>16.525634644101544</c:v>
                </c:pt>
                <c:pt idx="46">
                  <c:v>55.136501129532483</c:v>
                </c:pt>
                <c:pt idx="47">
                  <c:v>46.192135390741669</c:v>
                </c:pt>
                <c:pt idx="48">
                  <c:v>46.192135390741662</c:v>
                </c:pt>
                <c:pt idx="50">
                  <c:v>47.784967645594826</c:v>
                </c:pt>
                <c:pt idx="51">
                  <c:v>69.573462981017542</c:v>
                </c:pt>
                <c:pt idx="52">
                  <c:v>63.757083664139806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'Opium (Adjusted)'!$Z$6</c:f>
              <c:strCache>
                <c:ptCount val="1"/>
                <c:pt idx="0">
                  <c:v>Shiraz, Exports, in pound/cwts.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317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(Adjusted)'!$Z$7:$Z$107</c:f>
              <c:numCache>
                <c:formatCode>General</c:formatCode>
                <c:ptCount val="76"/>
                <c:pt idx="37" formatCode="0.0000">
                  <c:v>41.776129445389266</c:v>
                </c:pt>
                <c:pt idx="38" formatCode="0.0000">
                  <c:v>41.593435001750528</c:v>
                </c:pt>
                <c:pt idx="39" formatCode="0.0000">
                  <c:v>69.381153040345183</c:v>
                </c:pt>
                <c:pt idx="40" formatCode="0.0000">
                  <c:v>64.192345937389504</c:v>
                </c:pt>
                <c:pt idx="41" formatCode="0.0000">
                  <c:v>38.937735275282769</c:v>
                </c:pt>
                <c:pt idx="42" formatCode="0.0000">
                  <c:v>38.227108720243343</c:v>
                </c:pt>
                <c:pt idx="43" formatCode="0.0000">
                  <c:v>53.518033580812002</c:v>
                </c:pt>
                <c:pt idx="44" formatCode="0.0000">
                  <c:v>62.809425228793422</c:v>
                </c:pt>
                <c:pt idx="45" formatCode="0.0000">
                  <c:v>61.19895876004091</c:v>
                </c:pt>
                <c:pt idx="46" formatCode="0.0000">
                  <c:v>47.746419598761904</c:v>
                </c:pt>
                <c:pt idx="47" formatCode="0.0000">
                  <c:v>45.225269282122582</c:v>
                </c:pt>
                <c:pt idx="48" formatCode="0.0000">
                  <c:v>49.376515177207267</c:v>
                </c:pt>
                <c:pt idx="49" formatCode="0.0000">
                  <c:v>53.237936690037358</c:v>
                </c:pt>
                <c:pt idx="50" formatCode="0.0000">
                  <c:v>67.475203838484489</c:v>
                </c:pt>
                <c:pt idx="51" formatCode="0.0000">
                  <c:v>58.441708904054735</c:v>
                </c:pt>
              </c:numCache>
            </c:numRef>
          </c:val>
          <c:smooth val="0"/>
        </c:ser>
        <c:ser>
          <c:idx val="12"/>
          <c:order val="10"/>
          <c:tx>
            <c:strRef>
              <c:f>'Opium (Adjusted)'!$AA$6</c:f>
              <c:strCache>
                <c:ptCount val="1"/>
                <c:pt idx="0">
                  <c:v>Bengal, Exports, in pound/cwts.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317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(Adjusted)'!$AA$7:$AA$107</c:f>
              <c:numCache>
                <c:formatCode>General</c:formatCode>
                <c:ptCount val="76"/>
                <c:pt idx="35" formatCode="0.0000">
                  <c:v>35.547428571428576</c:v>
                </c:pt>
                <c:pt idx="36" formatCode="0.0000">
                  <c:v>33.298285714285718</c:v>
                </c:pt>
                <c:pt idx="37" formatCode="0.0000">
                  <c:v>30.691764705882349</c:v>
                </c:pt>
                <c:pt idx="38" formatCode="0.0000">
                  <c:v>30.458181818181824</c:v>
                </c:pt>
                <c:pt idx="39" formatCode="0.0000">
                  <c:v>35.869090909090914</c:v>
                </c:pt>
                <c:pt idx="40" formatCode="0.0000">
                  <c:v>30.026666666666667</c:v>
                </c:pt>
                <c:pt idx="41" formatCode="0.0000">
                  <c:v>29.430447761194031</c:v>
                </c:pt>
                <c:pt idx="42" formatCode="0.0000">
                  <c:v>33.216000000000001</c:v>
                </c:pt>
                <c:pt idx="43" formatCode="0.0000">
                  <c:v>41.478620689655173</c:v>
                </c:pt>
                <c:pt idx="44" formatCode="0.0000">
                  <c:v>40.689230769230768</c:v>
                </c:pt>
                <c:pt idx="45" formatCode="0.0000">
                  <c:v>54.151111111111121</c:v>
                </c:pt>
                <c:pt idx="46" formatCode="0.0000">
                  <c:v>43.365517241379315</c:v>
                </c:pt>
                <c:pt idx="47" formatCode="0.0000">
                  <c:v>33.723870967741931</c:v>
                </c:pt>
                <c:pt idx="48" formatCode="0.0000">
                  <c:v>31.32</c:v>
                </c:pt>
                <c:pt idx="49" formatCode="0.0000">
                  <c:v>33.870000000000005</c:v>
                </c:pt>
                <c:pt idx="50" formatCode="0.0000">
                  <c:v>38.82</c:v>
                </c:pt>
                <c:pt idx="51" formatCode="0.0000">
                  <c:v>39.18</c:v>
                </c:pt>
                <c:pt idx="52" formatCode="0.0000">
                  <c:v>37.049999999999997</c:v>
                </c:pt>
                <c:pt idx="53" formatCode="0.0000">
                  <c:v>34.5</c:v>
                </c:pt>
                <c:pt idx="54" formatCode="0.0000">
                  <c:v>48.81</c:v>
                </c:pt>
                <c:pt idx="55" formatCode="0.0000">
                  <c:v>49.83</c:v>
                </c:pt>
                <c:pt idx="56" formatCode="0.0000">
                  <c:v>42.15</c:v>
                </c:pt>
                <c:pt idx="57" formatCode="0.0000">
                  <c:v>41.19</c:v>
                </c:pt>
                <c:pt idx="58" formatCode="0.0000">
                  <c:v>38.010000000000005</c:v>
                </c:pt>
                <c:pt idx="59" formatCode="0.0000">
                  <c:v>41.43</c:v>
                </c:pt>
                <c:pt idx="60" formatCode="0.0000">
                  <c:v>61.35</c:v>
                </c:pt>
                <c:pt idx="61" formatCode="0.0000">
                  <c:v>100.95</c:v>
                </c:pt>
                <c:pt idx="62" formatCode="0.0000">
                  <c:v>85.5</c:v>
                </c:pt>
                <c:pt idx="63" formatCode="0.0000">
                  <c:v>55.064999999999998</c:v>
                </c:pt>
                <c:pt idx="64" formatCode="0.0000">
                  <c:v>46.382031249999997</c:v>
                </c:pt>
                <c:pt idx="65" formatCode="0.0000">
                  <c:v>48.00078125000001</c:v>
                </c:pt>
                <c:pt idx="66" formatCode="0.0000">
                  <c:v>54.150781250000016</c:v>
                </c:pt>
                <c:pt idx="67" formatCode="0.0000">
                  <c:v>98.404062500000009</c:v>
                </c:pt>
                <c:pt idx="68" formatCode="0.0000">
                  <c:v>96.392031250000016</c:v>
                </c:pt>
                <c:pt idx="69" formatCode="0.0000">
                  <c:v>114.87250000000002</c:v>
                </c:pt>
                <c:pt idx="70" formatCode="0.0000">
                  <c:v>170.58249999999998</c:v>
                </c:pt>
                <c:pt idx="71" formatCode="0.0000">
                  <c:v>151.9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283856"/>
        <c:axId val="700282736"/>
      </c:lineChart>
      <c:catAx>
        <c:axId val="70028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282736"/>
        <c:crosses val="autoZero"/>
        <c:auto val="1"/>
        <c:lblAlgn val="ctr"/>
        <c:lblOffset val="100"/>
        <c:noMultiLvlLbl val="0"/>
      </c:catAx>
      <c:valAx>
        <c:axId val="70028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28385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3196045541797"/>
          <c:y val="0.21885117231159504"/>
          <c:w val="0.21989613493021645"/>
          <c:h val="0.621016212686332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Imports,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(All)'!$H$7:$H$107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(All)'!$H$7:$H$107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29584"/>
        <c:axId val="356685904"/>
      </c:scatterChart>
      <c:valAx>
        <c:axId val="3567295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685904"/>
        <c:crosses val="autoZero"/>
        <c:crossBetween val="midCat"/>
        <c:majorUnit val="5"/>
      </c:valAx>
      <c:valAx>
        <c:axId val="35668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295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Opium, UK, Black Sea, Caspian Sea, Persia and Persian Gulf &amp; Bengal, in pound/cwts.</a:t>
            </a:r>
            <a:endParaRPr lang="en-US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52823002387855"/>
          <c:y val="1.6025641025641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476342969090588E-2"/>
          <c:y val="8.805792972459639E-2"/>
          <c:w val="0.69118994695041114"/>
          <c:h val="0.83388313106160872"/>
        </c:manualLayout>
      </c:layout>
      <c:lineChart>
        <c:grouping val="standard"/>
        <c:varyColors val="0"/>
        <c:ser>
          <c:idx val="2"/>
          <c:order val="0"/>
          <c:tx>
            <c:strRef>
              <c:f>'Opium (Adjusted)'!$C$6</c:f>
              <c:strCache>
                <c:ptCount val="1"/>
                <c:pt idx="0">
                  <c:v>UK, Exports (foreign and colonial), in pound/cwts.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(Adjusted)'!$C$7:$C$107</c:f>
              <c:numCache>
                <c:formatCode>0.0000</c:formatCode>
                <c:ptCount val="76"/>
                <c:pt idx="4">
                  <c:v>86.333094524453543</c:v>
                </c:pt>
                <c:pt idx="5">
                  <c:v>76.999301996290612</c:v>
                </c:pt>
                <c:pt idx="6">
                  <c:v>83.999456088890625</c:v>
                </c:pt>
                <c:pt idx="7">
                  <c:v>83.532228784153318</c:v>
                </c:pt>
                <c:pt idx="8">
                  <c:v>106.95392487269686</c:v>
                </c:pt>
                <c:pt idx="9">
                  <c:v>107.33351041627139</c:v>
                </c:pt>
                <c:pt idx="10">
                  <c:v>104.06640019577453</c:v>
                </c:pt>
                <c:pt idx="11">
                  <c:v>90.066731007858806</c:v>
                </c:pt>
                <c:pt idx="12">
                  <c:v>95.199655589495478</c:v>
                </c:pt>
                <c:pt idx="13">
                  <c:v>102.19983469723253</c:v>
                </c:pt>
                <c:pt idx="14">
                  <c:v>92.400233976769442</c:v>
                </c:pt>
                <c:pt idx="15">
                  <c:v>80.266454545454536</c:v>
                </c:pt>
                <c:pt idx="16">
                  <c:v>93.333200882688928</c:v>
                </c:pt>
                <c:pt idx="17">
                  <c:v>91.467031154263097</c:v>
                </c:pt>
                <c:pt idx="18">
                  <c:v>139.9997741297947</c:v>
                </c:pt>
                <c:pt idx="19">
                  <c:v>180.60168346088238</c:v>
                </c:pt>
                <c:pt idx="20">
                  <c:v>146.06672251253207</c:v>
                </c:pt>
                <c:pt idx="21">
                  <c:v>111.91219229730741</c:v>
                </c:pt>
                <c:pt idx="22">
                  <c:v>112.30772724176299</c:v>
                </c:pt>
                <c:pt idx="23">
                  <c:v>119.72540177270858</c:v>
                </c:pt>
                <c:pt idx="24">
                  <c:v>121.91671617043222</c:v>
                </c:pt>
                <c:pt idx="25">
                  <c:v>117.26207478663969</c:v>
                </c:pt>
                <c:pt idx="26">
                  <c:v>105.81410267288926</c:v>
                </c:pt>
                <c:pt idx="27">
                  <c:v>108.18936032188867</c:v>
                </c:pt>
                <c:pt idx="28">
                  <c:v>91.329982823334817</c:v>
                </c:pt>
                <c:pt idx="29">
                  <c:v>90.370615224371392</c:v>
                </c:pt>
                <c:pt idx="30">
                  <c:v>109.56591478696743</c:v>
                </c:pt>
                <c:pt idx="31">
                  <c:v>94.463831513151845</c:v>
                </c:pt>
                <c:pt idx="32">
                  <c:v>86.587551485500427</c:v>
                </c:pt>
                <c:pt idx="33">
                  <c:v>81.846741708391377</c:v>
                </c:pt>
                <c:pt idx="34">
                  <c:v>88.166301579593579</c:v>
                </c:pt>
                <c:pt idx="35">
                  <c:v>70.928381264169943</c:v>
                </c:pt>
                <c:pt idx="36">
                  <c:v>65.679859388710355</c:v>
                </c:pt>
                <c:pt idx="37">
                  <c:v>76.374030475424547</c:v>
                </c:pt>
                <c:pt idx="38">
                  <c:v>69.34144195802368</c:v>
                </c:pt>
                <c:pt idx="39">
                  <c:v>62.686301978337369</c:v>
                </c:pt>
                <c:pt idx="40">
                  <c:v>69.497282099343963</c:v>
                </c:pt>
                <c:pt idx="41">
                  <c:v>60.112094752196384</c:v>
                </c:pt>
                <c:pt idx="42">
                  <c:v>52.264219353963696</c:v>
                </c:pt>
                <c:pt idx="43">
                  <c:v>59.781271464550102</c:v>
                </c:pt>
                <c:pt idx="44">
                  <c:v>57.687427290205811</c:v>
                </c:pt>
                <c:pt idx="45">
                  <c:v>58.564772162386085</c:v>
                </c:pt>
                <c:pt idx="46">
                  <c:v>57.142251532802597</c:v>
                </c:pt>
                <c:pt idx="47">
                  <c:v>53.822059992054029</c:v>
                </c:pt>
                <c:pt idx="48">
                  <c:v>60.197927349968886</c:v>
                </c:pt>
                <c:pt idx="49">
                  <c:v>56.611424941837967</c:v>
                </c:pt>
                <c:pt idx="50">
                  <c:v>58.035289850024135</c:v>
                </c:pt>
                <c:pt idx="51">
                  <c:v>59.968189976257882</c:v>
                </c:pt>
                <c:pt idx="52">
                  <c:v>56.6370877534602</c:v>
                </c:pt>
                <c:pt idx="53">
                  <c:v>58.06921445081214</c:v>
                </c:pt>
                <c:pt idx="54">
                  <c:v>63.016791905983482</c:v>
                </c:pt>
                <c:pt idx="55">
                  <c:v>57.73856392687653</c:v>
                </c:pt>
                <c:pt idx="56">
                  <c:v>57.733602229340974</c:v>
                </c:pt>
                <c:pt idx="57">
                  <c:v>76.178759534252862</c:v>
                </c:pt>
                <c:pt idx="58">
                  <c:v>73.780548203547966</c:v>
                </c:pt>
                <c:pt idx="59">
                  <c:v>78.002201905126611</c:v>
                </c:pt>
                <c:pt idx="60">
                  <c:v>90.153274838897588</c:v>
                </c:pt>
                <c:pt idx="61">
                  <c:v>102.57892958642208</c:v>
                </c:pt>
                <c:pt idx="62">
                  <c:v>128.15847786852652</c:v>
                </c:pt>
                <c:pt idx="63">
                  <c:v>113.55479301207045</c:v>
                </c:pt>
                <c:pt idx="64">
                  <c:v>106.20397161428826</c:v>
                </c:pt>
                <c:pt idx="65">
                  <c:v>120.19941627316517</c:v>
                </c:pt>
                <c:pt idx="66">
                  <c:v>137.28445804573309</c:v>
                </c:pt>
                <c:pt idx="67">
                  <c:v>232.39311380114344</c:v>
                </c:pt>
                <c:pt idx="68">
                  <c:v>333.87042645087627</c:v>
                </c:pt>
                <c:pt idx="69">
                  <c:v>255.21626912781176</c:v>
                </c:pt>
                <c:pt idx="70">
                  <c:v>135.02193606348729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'Opium (Adjusted)'!$L$6</c:f>
              <c:strCache>
                <c:ptCount val="1"/>
                <c:pt idx="0">
                  <c:v>Trebizond (Persia), Exports, in pound/cwts.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254">
                <a:solidFill>
                  <a:schemeClr val="accent4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(Adjusted)'!$L$7:$L$107</c:f>
              <c:numCache>
                <c:formatCode>0.0000</c:formatCode>
                <c:ptCount val="76"/>
                <c:pt idx="33">
                  <c:v>85.712500000000006</c:v>
                </c:pt>
                <c:pt idx="34">
                  <c:v>85.714285714285708</c:v>
                </c:pt>
                <c:pt idx="44">
                  <c:v>17.777777777777779</c:v>
                </c:pt>
                <c:pt idx="45">
                  <c:v>26.68</c:v>
                </c:pt>
                <c:pt idx="46">
                  <c:v>49.375</c:v>
                </c:pt>
                <c:pt idx="47">
                  <c:v>51.111111111111114</c:v>
                </c:pt>
                <c:pt idx="48">
                  <c:v>38.4</c:v>
                </c:pt>
                <c:pt idx="49">
                  <c:v>40</c:v>
                </c:pt>
                <c:pt idx="50">
                  <c:v>40</c:v>
                </c:pt>
                <c:pt idx="51">
                  <c:v>41.142857142857146</c:v>
                </c:pt>
                <c:pt idx="52">
                  <c:v>40</c:v>
                </c:pt>
                <c:pt idx="53">
                  <c:v>40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'Opium (Adjusted)'!$O$6</c:f>
              <c:strCache>
                <c:ptCount val="1"/>
                <c:pt idx="0">
                  <c:v>Ispahan, Exports, in pound/cwts.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254">
                <a:solidFill>
                  <a:schemeClr val="accent5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(Adjusted)'!$O$7:$O$107</c:f>
              <c:numCache>
                <c:formatCode>0.0000</c:formatCode>
                <c:ptCount val="76"/>
                <c:pt idx="44">
                  <c:v>62.030769230769231</c:v>
                </c:pt>
                <c:pt idx="45">
                  <c:v>49.107692307692304</c:v>
                </c:pt>
                <c:pt idx="48">
                  <c:v>50.051282051282044</c:v>
                </c:pt>
                <c:pt idx="51">
                  <c:v>40.743589743589745</c:v>
                </c:pt>
                <c:pt idx="52">
                  <c:v>48.533333333333324</c:v>
                </c:pt>
                <c:pt idx="55">
                  <c:v>73.34282861025163</c:v>
                </c:pt>
                <c:pt idx="60">
                  <c:v>80.84</c:v>
                </c:pt>
                <c:pt idx="61">
                  <c:v>113.75291375291376</c:v>
                </c:pt>
                <c:pt idx="62">
                  <c:v>85.256159561986706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'Opium (Adjusted)'!$P$6</c:f>
              <c:strCache>
                <c:ptCount val="1"/>
                <c:pt idx="0">
                  <c:v>Yezd, Exports, in pound/cwts.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3175">
                <a:solidFill>
                  <a:schemeClr val="accent6"/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(Adjusted)'!$P$7:$P$107</c:f>
              <c:numCache>
                <c:formatCode>0.0000</c:formatCode>
                <c:ptCount val="76"/>
                <c:pt idx="55">
                  <c:v>64.174975033970185</c:v>
                </c:pt>
                <c:pt idx="56">
                  <c:v>79.139880292618102</c:v>
                </c:pt>
                <c:pt idx="62">
                  <c:v>70.564102564102569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'Opium (Adjusted)'!$Q$6</c:f>
              <c:strCache>
                <c:ptCount val="1"/>
                <c:pt idx="0">
                  <c:v>Khorasan, Imports, in pound/cwts.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(Adjusted)'!$Q$7:$Q$107</c:f>
              <c:numCache>
                <c:formatCode>0.0000</c:formatCode>
                <c:ptCount val="76"/>
                <c:pt idx="52">
                  <c:v>42.349328214971237</c:v>
                </c:pt>
                <c:pt idx="53">
                  <c:v>49.538461538461505</c:v>
                </c:pt>
                <c:pt idx="54">
                  <c:v>47.38461538461538</c:v>
                </c:pt>
                <c:pt idx="55">
                  <c:v>53.694117647058782</c:v>
                </c:pt>
                <c:pt idx="56">
                  <c:v>65.790209790209744</c:v>
                </c:pt>
                <c:pt idx="57">
                  <c:v>44.800000000000004</c:v>
                </c:pt>
                <c:pt idx="58">
                  <c:v>46.735511064278178</c:v>
                </c:pt>
                <c:pt idx="59">
                  <c:v>40.669201520912495</c:v>
                </c:pt>
                <c:pt idx="60">
                  <c:v>48.415584415584405</c:v>
                </c:pt>
                <c:pt idx="61">
                  <c:v>305.67092568448459</c:v>
                </c:pt>
                <c:pt idx="62">
                  <c:v>135.31221719457008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'Opium (Adjusted)'!$R$6</c:f>
              <c:strCache>
                <c:ptCount val="1"/>
                <c:pt idx="0">
                  <c:v>Khorasan, Exports, in pound/cwts.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(Adjusted)'!$R$7:$R$107</c:f>
              <c:numCache>
                <c:formatCode>0.0000</c:formatCode>
                <c:ptCount val="76"/>
                <c:pt idx="52">
                  <c:v>38.228545204222129</c:v>
                </c:pt>
                <c:pt idx="53">
                  <c:v>6.3063787522512005</c:v>
                </c:pt>
                <c:pt idx="54">
                  <c:v>60.715845874167897</c:v>
                </c:pt>
                <c:pt idx="55">
                  <c:v>33.781003417865755</c:v>
                </c:pt>
                <c:pt idx="56">
                  <c:v>66.357021788793674</c:v>
                </c:pt>
                <c:pt idx="57">
                  <c:v>55.693006500117505</c:v>
                </c:pt>
                <c:pt idx="58">
                  <c:v>69.039882499152654</c:v>
                </c:pt>
                <c:pt idx="59">
                  <c:v>70.866766741112272</c:v>
                </c:pt>
                <c:pt idx="60">
                  <c:v>73.235356762513334</c:v>
                </c:pt>
                <c:pt idx="61">
                  <c:v>180.01009251471791</c:v>
                </c:pt>
                <c:pt idx="62">
                  <c:v>92.556936141207899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'Opium (Adjusted)'!$T$6</c:f>
              <c:strCache>
                <c:ptCount val="1"/>
                <c:pt idx="0">
                  <c:v>Kermanshah, Exports, in pound/cwts.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(Adjusted)'!$T$7:$T$107</c:f>
              <c:numCache>
                <c:formatCode>0.0000</c:formatCode>
                <c:ptCount val="76"/>
                <c:pt idx="46">
                  <c:v>25.84605461572129</c:v>
                </c:pt>
                <c:pt idx="50">
                  <c:v>46.041202628260429</c:v>
                </c:pt>
                <c:pt idx="51">
                  <c:v>54.63641825512223</c:v>
                </c:pt>
                <c:pt idx="52">
                  <c:v>33.594837191598323</c:v>
                </c:pt>
                <c:pt idx="53">
                  <c:v>42.481106718414772</c:v>
                </c:pt>
                <c:pt idx="54">
                  <c:v>49.136296649582661</c:v>
                </c:pt>
                <c:pt idx="55">
                  <c:v>67.478789974070878</c:v>
                </c:pt>
                <c:pt idx="57">
                  <c:v>52.564568462037641</c:v>
                </c:pt>
                <c:pt idx="58">
                  <c:v>58.023407022106632</c:v>
                </c:pt>
                <c:pt idx="59">
                  <c:v>65.857558139534888</c:v>
                </c:pt>
                <c:pt idx="60">
                  <c:v>65.274611398963728</c:v>
                </c:pt>
                <c:pt idx="61">
                  <c:v>71.698209718670071</c:v>
                </c:pt>
                <c:pt idx="62">
                  <c:v>100.81200289226319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'Opium (Adjusted)'!$U$6</c:f>
              <c:strCache>
                <c:ptCount val="1"/>
                <c:pt idx="0">
                  <c:v>Kerman, Exports, in pound/cwts.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(Adjusted)'!$U$7:$U$107</c:f>
              <c:numCache>
                <c:formatCode>0.0000</c:formatCode>
                <c:ptCount val="76"/>
                <c:pt idx="44">
                  <c:v>31.015384615384622</c:v>
                </c:pt>
                <c:pt idx="55">
                  <c:v>53.28000000000003</c:v>
                </c:pt>
                <c:pt idx="56">
                  <c:v>44.373333333333306</c:v>
                </c:pt>
                <c:pt idx="57">
                  <c:v>69.119999999999976</c:v>
                </c:pt>
                <c:pt idx="58">
                  <c:v>76.80000000000004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'Opium (Adjusted)'!$V$6</c:f>
              <c:strCache>
                <c:ptCount val="1"/>
                <c:pt idx="0">
                  <c:v>Resht &amp; Ghilan &amp; Tunekabun, Exports, in pound/cwts.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317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(Adjusted)'!$V$7:$V$107</c:f>
              <c:numCache>
                <c:formatCode>0.0000</c:formatCode>
                <c:ptCount val="76"/>
                <c:pt idx="52">
                  <c:v>58.652173913043427</c:v>
                </c:pt>
                <c:pt idx="56">
                  <c:v>98.3934147033778</c:v>
                </c:pt>
                <c:pt idx="57">
                  <c:v>96.327332242225836</c:v>
                </c:pt>
              </c:numCache>
            </c:numRef>
          </c:val>
          <c:smooth val="0"/>
        </c:ser>
        <c:ser>
          <c:idx val="13"/>
          <c:order val="9"/>
          <c:tx>
            <c:strRef>
              <c:f>'Opium (Adjusted)'!$X$6</c:f>
              <c:strCache>
                <c:ptCount val="1"/>
                <c:pt idx="0">
                  <c:v>Muscat, Exports, in pound/cwts.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254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(Adjusted)'!$X$7:$X$107</c:f>
              <c:numCache>
                <c:formatCode>0.0000</c:formatCode>
                <c:ptCount val="76"/>
                <c:pt idx="25">
                  <c:v>45.874401330591034</c:v>
                </c:pt>
                <c:pt idx="27">
                  <c:v>55.263530174352113</c:v>
                </c:pt>
                <c:pt idx="28">
                  <c:v>70.660021097119142</c:v>
                </c:pt>
                <c:pt idx="29">
                  <c:v>68.89562104594259</c:v>
                </c:pt>
                <c:pt idx="30">
                  <c:v>122.91987023196832</c:v>
                </c:pt>
                <c:pt idx="31">
                  <c:v>69.483754396334788</c:v>
                </c:pt>
                <c:pt idx="32">
                  <c:v>90.219655950162377</c:v>
                </c:pt>
                <c:pt idx="33">
                  <c:v>60.419032440290017</c:v>
                </c:pt>
                <c:pt idx="34">
                  <c:v>68.055430545382308</c:v>
                </c:pt>
                <c:pt idx="35">
                  <c:v>32.641400946766701</c:v>
                </c:pt>
                <c:pt idx="36">
                  <c:v>97.596528545081611</c:v>
                </c:pt>
                <c:pt idx="37">
                  <c:v>100.12270131676613</c:v>
                </c:pt>
                <c:pt idx="38">
                  <c:v>92.219309341495858</c:v>
                </c:pt>
                <c:pt idx="39">
                  <c:v>8.6077516782400227</c:v>
                </c:pt>
                <c:pt idx="40">
                  <c:v>64.190554242805035</c:v>
                </c:pt>
                <c:pt idx="41">
                  <c:v>60.577735090395862</c:v>
                </c:pt>
                <c:pt idx="42">
                  <c:v>53.436115835633515</c:v>
                </c:pt>
                <c:pt idx="43">
                  <c:v>48.260542352182213</c:v>
                </c:pt>
                <c:pt idx="44">
                  <c:v>39.212026737348275</c:v>
                </c:pt>
              </c:numCache>
            </c:numRef>
          </c:val>
          <c:smooth val="0"/>
        </c:ser>
        <c:ser>
          <c:idx val="14"/>
          <c:order val="10"/>
          <c:tx>
            <c:strRef>
              <c:f>'Opium (Adjusted)'!$Y$6</c:f>
              <c:strCache>
                <c:ptCount val="1"/>
                <c:pt idx="0">
                  <c:v>Mohammerah, Exports, in pound/cwts.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317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(Adjusted)'!$Y$7:$Y$107</c:f>
              <c:numCache>
                <c:formatCode>0.0000</c:formatCode>
                <c:ptCount val="76"/>
                <c:pt idx="42">
                  <c:v>60.876780108390349</c:v>
                </c:pt>
                <c:pt idx="44">
                  <c:v>47.784967645594826</c:v>
                </c:pt>
                <c:pt idx="45">
                  <c:v>16.525634644101544</c:v>
                </c:pt>
                <c:pt idx="46">
                  <c:v>55.136501129532483</c:v>
                </c:pt>
                <c:pt idx="47">
                  <c:v>46.192135390741669</c:v>
                </c:pt>
                <c:pt idx="48">
                  <c:v>46.192135390741662</c:v>
                </c:pt>
                <c:pt idx="50">
                  <c:v>47.784967645594826</c:v>
                </c:pt>
                <c:pt idx="51">
                  <c:v>69.573462981017542</c:v>
                </c:pt>
                <c:pt idx="52">
                  <c:v>63.757083664139806</c:v>
                </c:pt>
              </c:numCache>
            </c:numRef>
          </c:val>
          <c:smooth val="0"/>
        </c:ser>
        <c:ser>
          <c:idx val="15"/>
          <c:order val="11"/>
          <c:tx>
            <c:strRef>
              <c:f>'Opium (Adjusted)'!$Z$6</c:f>
              <c:strCache>
                <c:ptCount val="1"/>
                <c:pt idx="0">
                  <c:v>Shiraz, Exports, in pound/cwts.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317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(Adjusted)'!$Z$7:$Z$107</c:f>
              <c:numCache>
                <c:formatCode>General</c:formatCode>
                <c:ptCount val="76"/>
                <c:pt idx="37" formatCode="0.0000">
                  <c:v>41.776129445389266</c:v>
                </c:pt>
                <c:pt idx="38" formatCode="0.0000">
                  <c:v>41.593435001750528</c:v>
                </c:pt>
                <c:pt idx="39" formatCode="0.0000">
                  <c:v>69.381153040345183</c:v>
                </c:pt>
                <c:pt idx="40" formatCode="0.0000">
                  <c:v>64.192345937389504</c:v>
                </c:pt>
                <c:pt idx="41" formatCode="0.0000">
                  <c:v>38.937735275282769</c:v>
                </c:pt>
                <c:pt idx="42" formatCode="0.0000">
                  <c:v>38.227108720243343</c:v>
                </c:pt>
                <c:pt idx="43" formatCode="0.0000">
                  <c:v>53.518033580812002</c:v>
                </c:pt>
                <c:pt idx="44" formatCode="0.0000">
                  <c:v>62.809425228793422</c:v>
                </c:pt>
                <c:pt idx="45" formatCode="0.0000">
                  <c:v>61.19895876004091</c:v>
                </c:pt>
                <c:pt idx="46" formatCode="0.0000">
                  <c:v>47.746419598761904</c:v>
                </c:pt>
                <c:pt idx="47" formatCode="0.0000">
                  <c:v>45.225269282122582</c:v>
                </c:pt>
                <c:pt idx="48" formatCode="0.0000">
                  <c:v>49.376515177207267</c:v>
                </c:pt>
                <c:pt idx="49" formatCode="0.0000">
                  <c:v>53.237936690037358</c:v>
                </c:pt>
                <c:pt idx="50" formatCode="0.0000">
                  <c:v>67.475203838484489</c:v>
                </c:pt>
                <c:pt idx="51" formatCode="0.0000">
                  <c:v>58.441708904054735</c:v>
                </c:pt>
              </c:numCache>
            </c:numRef>
          </c:val>
          <c:smooth val="0"/>
        </c:ser>
        <c:ser>
          <c:idx val="16"/>
          <c:order val="12"/>
          <c:tx>
            <c:strRef>
              <c:f>'Opium (Adjusted)'!$AA$6</c:f>
              <c:strCache>
                <c:ptCount val="1"/>
                <c:pt idx="0">
                  <c:v>Bengal, Exports, in pound/cwts.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317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'Opium (Adjusted)'!$A$7:$A$107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cat>
          <c:val>
            <c:numRef>
              <c:f>'Opium (Adjusted)'!$AA$7:$AA$107</c:f>
              <c:numCache>
                <c:formatCode>General</c:formatCode>
                <c:ptCount val="76"/>
                <c:pt idx="35" formatCode="0.0000">
                  <c:v>35.547428571428576</c:v>
                </c:pt>
                <c:pt idx="36" formatCode="0.0000">
                  <c:v>33.298285714285718</c:v>
                </c:pt>
                <c:pt idx="37" formatCode="0.0000">
                  <c:v>30.691764705882349</c:v>
                </c:pt>
                <c:pt idx="38" formatCode="0.0000">
                  <c:v>30.458181818181824</c:v>
                </c:pt>
                <c:pt idx="39" formatCode="0.0000">
                  <c:v>35.869090909090914</c:v>
                </c:pt>
                <c:pt idx="40" formatCode="0.0000">
                  <c:v>30.026666666666667</c:v>
                </c:pt>
                <c:pt idx="41" formatCode="0.0000">
                  <c:v>29.430447761194031</c:v>
                </c:pt>
                <c:pt idx="42" formatCode="0.0000">
                  <c:v>33.216000000000001</c:v>
                </c:pt>
                <c:pt idx="43" formatCode="0.0000">
                  <c:v>41.478620689655173</c:v>
                </c:pt>
                <c:pt idx="44" formatCode="0.0000">
                  <c:v>40.689230769230768</c:v>
                </c:pt>
                <c:pt idx="45" formatCode="0.0000">
                  <c:v>54.151111111111121</c:v>
                </c:pt>
                <c:pt idx="46" formatCode="0.0000">
                  <c:v>43.365517241379315</c:v>
                </c:pt>
                <c:pt idx="47" formatCode="0.0000">
                  <c:v>33.723870967741931</c:v>
                </c:pt>
                <c:pt idx="48" formatCode="0.0000">
                  <c:v>31.32</c:v>
                </c:pt>
                <c:pt idx="49" formatCode="0.0000">
                  <c:v>33.870000000000005</c:v>
                </c:pt>
                <c:pt idx="50" formatCode="0.0000">
                  <c:v>38.82</c:v>
                </c:pt>
                <c:pt idx="51" formatCode="0.0000">
                  <c:v>39.18</c:v>
                </c:pt>
                <c:pt idx="52" formatCode="0.0000">
                  <c:v>37.049999999999997</c:v>
                </c:pt>
                <c:pt idx="53" formatCode="0.0000">
                  <c:v>34.5</c:v>
                </c:pt>
                <c:pt idx="54" formatCode="0.0000">
                  <c:v>48.81</c:v>
                </c:pt>
                <c:pt idx="55" formatCode="0.0000">
                  <c:v>49.83</c:v>
                </c:pt>
                <c:pt idx="56" formatCode="0.0000">
                  <c:v>42.15</c:v>
                </c:pt>
                <c:pt idx="57" formatCode="0.0000">
                  <c:v>41.19</c:v>
                </c:pt>
                <c:pt idx="58" formatCode="0.0000">
                  <c:v>38.010000000000005</c:v>
                </c:pt>
                <c:pt idx="59" formatCode="0.0000">
                  <c:v>41.43</c:v>
                </c:pt>
                <c:pt idx="60" formatCode="0.0000">
                  <c:v>61.35</c:v>
                </c:pt>
                <c:pt idx="61" formatCode="0.0000">
                  <c:v>100.95</c:v>
                </c:pt>
                <c:pt idx="62" formatCode="0.0000">
                  <c:v>85.5</c:v>
                </c:pt>
                <c:pt idx="63" formatCode="0.0000">
                  <c:v>55.064999999999998</c:v>
                </c:pt>
                <c:pt idx="64" formatCode="0.0000">
                  <c:v>46.382031249999997</c:v>
                </c:pt>
                <c:pt idx="65" formatCode="0.0000">
                  <c:v>48.00078125000001</c:v>
                </c:pt>
                <c:pt idx="66" formatCode="0.0000">
                  <c:v>54.150781250000016</c:v>
                </c:pt>
                <c:pt idx="67" formatCode="0.0000">
                  <c:v>98.404062500000009</c:v>
                </c:pt>
                <c:pt idx="68" formatCode="0.0000">
                  <c:v>96.392031250000016</c:v>
                </c:pt>
                <c:pt idx="69" formatCode="0.0000">
                  <c:v>114.87250000000002</c:v>
                </c:pt>
                <c:pt idx="70" formatCode="0.0000">
                  <c:v>170.58249999999998</c:v>
                </c:pt>
                <c:pt idx="71" formatCode="0.0000">
                  <c:v>151.9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274336"/>
        <c:axId val="700272656"/>
      </c:lineChart>
      <c:catAx>
        <c:axId val="700274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272656"/>
        <c:crosses val="autoZero"/>
        <c:auto val="1"/>
        <c:lblAlgn val="ctr"/>
        <c:lblOffset val="100"/>
        <c:noMultiLvlLbl val="0"/>
      </c:catAx>
      <c:valAx>
        <c:axId val="7002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27433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31111242673609"/>
          <c:y val="0.27055245231098252"/>
          <c:w val="0.24785361758009913"/>
          <c:h val="0.52083697871099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Mosul, Imports,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(All)'!$K$7:$K$107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(All)'!$K$7:$K$107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32944"/>
        <c:axId val="356734064"/>
      </c:scatterChart>
      <c:valAx>
        <c:axId val="3567329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34064"/>
        <c:crosses val="autoZero"/>
        <c:crossBetween val="midCat"/>
        <c:majorUnit val="5"/>
      </c:valAx>
      <c:valAx>
        <c:axId val="35673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329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Exports, in pound/cwts.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(All)'!$L$7:$L$107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(All)'!$L$7:$L$107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41904"/>
        <c:axId val="356718384"/>
      </c:scatterChart>
      <c:valAx>
        <c:axId val="3567419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18384"/>
        <c:crosses val="autoZero"/>
        <c:crossBetween val="midCat"/>
        <c:majorUnit val="5"/>
      </c:valAx>
      <c:valAx>
        <c:axId val="35671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419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Bazaar (Local), in pound/cwts.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(All)'!$M$7:$M$107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(All)'!$M$7:$M$107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18944"/>
        <c:axId val="356690944"/>
      </c:scatterChart>
      <c:valAx>
        <c:axId val="3567189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690944"/>
        <c:crosses val="autoZero"/>
        <c:crossBetween val="midCat"/>
        <c:majorUnit val="5"/>
      </c:valAx>
      <c:valAx>
        <c:axId val="35669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189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(All)'!$T$7:$T$107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(All)'!$T$7:$T$107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38544"/>
        <c:axId val="356680864"/>
      </c:scatterChart>
      <c:valAx>
        <c:axId val="3567385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680864"/>
        <c:crosses val="autoZero"/>
        <c:crossBetween val="midCat"/>
        <c:majorUnit val="5"/>
      </c:valAx>
      <c:valAx>
        <c:axId val="35668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385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Exports,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(All)'!$U$7:$U$107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(All)'!$U$7:$U$107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43584"/>
        <c:axId val="356702144"/>
      </c:scatterChart>
      <c:valAx>
        <c:axId val="3567435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02144"/>
        <c:crosses val="autoZero"/>
        <c:crossBetween val="midCat"/>
        <c:majorUnit val="5"/>
      </c:valAx>
      <c:valAx>
        <c:axId val="35670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435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Damascus, Bazaar (Local),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(All)'!$V$7:$V$107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(All)'!$V$7:$V$107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49168"/>
        <c:axId val="762042448"/>
      </c:scatterChart>
      <c:valAx>
        <c:axId val="762049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42448"/>
        <c:crosses val="autoZero"/>
        <c:crossBetween val="midCat"/>
        <c:majorUnit val="5"/>
      </c:valAx>
      <c:valAx>
        <c:axId val="76204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49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Beirut, Imports,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(All)'!$W$7:$W$107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(All)'!$W$7:$W$107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41888"/>
        <c:axId val="762050288"/>
      </c:scatterChart>
      <c:valAx>
        <c:axId val="7620418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50288"/>
        <c:crosses val="autoZero"/>
        <c:crossBetween val="midCat"/>
        <c:majorUnit val="5"/>
      </c:valAx>
      <c:valAx>
        <c:axId val="76205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41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Bazaar (Local), in pound/cwts.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(All)'!$Y$7:$Y$107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(All)'!$Y$7:$Y$107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53088"/>
        <c:axId val="762040768"/>
      </c:scatterChart>
      <c:valAx>
        <c:axId val="762053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40768"/>
        <c:crosses val="autoZero"/>
        <c:crossBetween val="midCat"/>
        <c:majorUnit val="5"/>
      </c:valAx>
      <c:valAx>
        <c:axId val="76204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53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Imports,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(All)'!$C$7:$C$107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(All)'!$C$7:$C$107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(All)'!$C$7:$C$107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(All)'!$C$7:$C$107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(All)'!$C$7:$C$107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(All)'!$C$7:$C$107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(All)'!$C$7:$C$107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(All)'!$C$7:$C$107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687024"/>
        <c:axId val="356684784"/>
      </c:scatterChart>
      <c:valAx>
        <c:axId val="3566870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684784"/>
        <c:crosses val="autoZero"/>
        <c:crossBetween val="midCat"/>
        <c:majorUnit val="5"/>
      </c:valAx>
      <c:valAx>
        <c:axId val="35668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6870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Exports, in pound/cwts.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(All)'!$X$7:$X$107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(All)'!$X$7:$X$107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45808"/>
        <c:axId val="762055328"/>
      </c:scatterChart>
      <c:valAx>
        <c:axId val="762045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55328"/>
        <c:crosses val="autoZero"/>
        <c:crossBetween val="midCat"/>
        <c:majorUnit val="5"/>
      </c:valAx>
      <c:valAx>
        <c:axId val="76205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45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Istanbul (Malatya),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(All)'!$Z$7:$Z$107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(All)'!$Z$7:$Z$107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67088"/>
        <c:axId val="762066528"/>
      </c:scatterChart>
      <c:valAx>
        <c:axId val="762067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66528"/>
        <c:crosses val="autoZero"/>
        <c:crossBetween val="midCat"/>
        <c:majorUnit val="5"/>
      </c:valAx>
      <c:valAx>
        <c:axId val="76206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67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(Geyve),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(All)'!$AC$7:$AC$107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(All)'!$AC$7:$AC$107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70448"/>
        <c:axId val="762069888"/>
      </c:scatterChart>
      <c:valAx>
        <c:axId val="762070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69888"/>
        <c:crosses val="autoZero"/>
        <c:crossBetween val="midCat"/>
        <c:majorUnit val="5"/>
      </c:valAx>
      <c:valAx>
        <c:axId val="76206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70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</a:t>
            </a:r>
            <a:r>
              <a:rPr lang="en-US" sz="1800" b="1" i="0" u="none" strike="noStrike" baseline="0">
                <a:effectLst/>
              </a:rPr>
              <a:t>Malatya</a:t>
            </a:r>
            <a:r>
              <a:rPr lang="en-US" sz="1800" b="1" i="0" baseline="0">
                <a:effectLst/>
              </a:rPr>
              <a:t>), Exports, pound/cwts.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(All)'!$AA$7:$AA$107</c:f>
              <c:numCache>
                <c:formatCode>0.0000</c:formatCode>
                <c:ptCount val="76"/>
                <c:pt idx="26">
                  <c:v>83.140533774268249</c:v>
                </c:pt>
                <c:pt idx="27">
                  <c:v>77.178936052942845</c:v>
                </c:pt>
                <c:pt idx="28">
                  <c:v>65.531256134515786</c:v>
                </c:pt>
                <c:pt idx="29">
                  <c:v>73.075122711499191</c:v>
                </c:pt>
                <c:pt idx="30">
                  <c:v>106.47234479809796</c:v>
                </c:pt>
                <c:pt idx="35">
                  <c:v>70.103783172544453</c:v>
                </c:pt>
                <c:pt idx="36">
                  <c:v>57.809079997175743</c:v>
                </c:pt>
                <c:pt idx="37">
                  <c:v>82.232236984663786</c:v>
                </c:pt>
                <c:pt idx="38">
                  <c:v>64.442624087817009</c:v>
                </c:pt>
                <c:pt idx="39">
                  <c:v>70.76877651755855</c:v>
                </c:pt>
                <c:pt idx="40">
                  <c:v>65.297927377995165</c:v>
                </c:pt>
                <c:pt idx="41">
                  <c:v>46.978075784045387</c:v>
                </c:pt>
                <c:pt idx="42">
                  <c:v>38.870214090429478</c:v>
                </c:pt>
                <c:pt idx="43">
                  <c:v>55.000383193052201</c:v>
                </c:pt>
                <c:pt idx="44">
                  <c:v>46.459083527501235</c:v>
                </c:pt>
                <c:pt idx="45">
                  <c:v>41.836870056610458</c:v>
                </c:pt>
                <c:pt idx="46">
                  <c:v>56.90372978807283</c:v>
                </c:pt>
                <c:pt idx="47">
                  <c:v>43.174121610931337</c:v>
                </c:pt>
                <c:pt idx="48">
                  <c:v>50.357914848673069</c:v>
                </c:pt>
                <c:pt idx="49">
                  <c:v>42.964286191225561</c:v>
                </c:pt>
                <c:pt idx="50">
                  <c:v>47.1807003502349</c:v>
                </c:pt>
                <c:pt idx="51">
                  <c:v>50.530176815088147</c:v>
                </c:pt>
                <c:pt idx="53">
                  <c:v>45.362755778741274</c:v>
                </c:pt>
                <c:pt idx="54">
                  <c:v>39.584445518998798</c:v>
                </c:pt>
                <c:pt idx="55">
                  <c:v>39.060299147705202</c:v>
                </c:pt>
                <c:pt idx="56">
                  <c:v>46.357442964549733</c:v>
                </c:pt>
                <c:pt idx="57">
                  <c:v>59.356775236552288</c:v>
                </c:pt>
                <c:pt idx="58">
                  <c:v>70.542322183923545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(All)'!$AA$7:$AA$107</c:f>
              <c:numCache>
                <c:formatCode>0.0000</c:formatCode>
                <c:ptCount val="76"/>
                <c:pt idx="26">
                  <c:v>83.140533774268249</c:v>
                </c:pt>
                <c:pt idx="27">
                  <c:v>77.178936052942845</c:v>
                </c:pt>
                <c:pt idx="28">
                  <c:v>65.531256134515786</c:v>
                </c:pt>
                <c:pt idx="29">
                  <c:v>73.075122711499191</c:v>
                </c:pt>
                <c:pt idx="30">
                  <c:v>106.47234479809796</c:v>
                </c:pt>
                <c:pt idx="35">
                  <c:v>70.103783172544453</c:v>
                </c:pt>
                <c:pt idx="36">
                  <c:v>57.809079997175743</c:v>
                </c:pt>
                <c:pt idx="37">
                  <c:v>82.232236984663786</c:v>
                </c:pt>
                <c:pt idx="38">
                  <c:v>64.442624087817009</c:v>
                </c:pt>
                <c:pt idx="39">
                  <c:v>70.76877651755855</c:v>
                </c:pt>
                <c:pt idx="40">
                  <c:v>65.297927377995165</c:v>
                </c:pt>
                <c:pt idx="41">
                  <c:v>46.978075784045387</c:v>
                </c:pt>
                <c:pt idx="42">
                  <c:v>38.870214090429478</c:v>
                </c:pt>
                <c:pt idx="43">
                  <c:v>55.000383193052201</c:v>
                </c:pt>
                <c:pt idx="44">
                  <c:v>46.459083527501235</c:v>
                </c:pt>
                <c:pt idx="45">
                  <c:v>41.836870056610458</c:v>
                </c:pt>
                <c:pt idx="46">
                  <c:v>56.90372978807283</c:v>
                </c:pt>
                <c:pt idx="47">
                  <c:v>43.174121610931337</c:v>
                </c:pt>
                <c:pt idx="48">
                  <c:v>50.357914848673069</c:v>
                </c:pt>
                <c:pt idx="49">
                  <c:v>42.964286191225561</c:v>
                </c:pt>
                <c:pt idx="50">
                  <c:v>47.1807003502349</c:v>
                </c:pt>
                <c:pt idx="51">
                  <c:v>50.530176815088147</c:v>
                </c:pt>
                <c:pt idx="53">
                  <c:v>45.362755778741274</c:v>
                </c:pt>
                <c:pt idx="54">
                  <c:v>39.584445518998798</c:v>
                </c:pt>
                <c:pt idx="55">
                  <c:v>39.060299147705202</c:v>
                </c:pt>
                <c:pt idx="56">
                  <c:v>46.357442964549733</c:v>
                </c:pt>
                <c:pt idx="57">
                  <c:v>59.356775236552288</c:v>
                </c:pt>
                <c:pt idx="58">
                  <c:v>70.542322183923545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72128"/>
        <c:axId val="762071568"/>
      </c:scatterChart>
      <c:valAx>
        <c:axId val="7620721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71568"/>
        <c:crosses val="autoZero"/>
        <c:crossBetween val="midCat"/>
        <c:majorUnit val="5"/>
      </c:valAx>
      <c:valAx>
        <c:axId val="76207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721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</a:t>
            </a:r>
            <a:r>
              <a:rPr lang="en-US" sz="1800" b="1" i="0" u="none" strike="noStrike" baseline="0">
                <a:effectLst/>
              </a:rPr>
              <a:t>Malatya</a:t>
            </a:r>
            <a:r>
              <a:rPr lang="en-US" sz="1800" b="1" i="0" baseline="0">
                <a:effectLst/>
              </a:rPr>
              <a:t>), Bazaar (Local), pound/cwts.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(All)'!$AB$7:$AB$107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(All)'!$AB$7:$AB$107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82768"/>
        <c:axId val="762081088"/>
      </c:scatterChart>
      <c:valAx>
        <c:axId val="7620827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81088"/>
        <c:crosses val="autoZero"/>
        <c:crossBetween val="midCat"/>
        <c:majorUnit val="5"/>
      </c:valAx>
      <c:valAx>
        <c:axId val="76208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827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</a:t>
            </a:r>
            <a:r>
              <a:rPr lang="en-US" sz="1800" b="1" i="0" u="none" strike="noStrike" baseline="0">
                <a:effectLst/>
              </a:rPr>
              <a:t>Geyve</a:t>
            </a:r>
            <a:r>
              <a:rPr lang="en-US" sz="1800" b="1" i="0" baseline="0">
                <a:effectLst/>
              </a:rPr>
              <a:t>), Exports, in pound/cwts.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(All)'!$AD$7:$AD$107</c:f>
              <c:numCache>
                <c:formatCode>0.0000</c:formatCode>
                <c:ptCount val="76"/>
                <c:pt idx="26">
                  <c:v>75.287776261653505</c:v>
                </c:pt>
                <c:pt idx="27">
                  <c:v>71.661776208014444</c:v>
                </c:pt>
                <c:pt idx="28">
                  <c:v>61.113418642301248</c:v>
                </c:pt>
                <c:pt idx="29">
                  <c:v>63.116989756825959</c:v>
                </c:pt>
                <c:pt idx="30">
                  <c:v>97.61151129050225</c:v>
                </c:pt>
                <c:pt idx="35">
                  <c:v>51.777159652818369</c:v>
                </c:pt>
                <c:pt idx="36">
                  <c:v>40.821153710372094</c:v>
                </c:pt>
                <c:pt idx="37">
                  <c:v>69.238691393553395</c:v>
                </c:pt>
                <c:pt idx="38">
                  <c:v>42.513866681162874</c:v>
                </c:pt>
                <c:pt idx="39">
                  <c:v>46.728672019923877</c:v>
                </c:pt>
                <c:pt idx="40">
                  <c:v>57.810556315110446</c:v>
                </c:pt>
                <c:pt idx="41">
                  <c:v>39.610554861189392</c:v>
                </c:pt>
                <c:pt idx="42">
                  <c:v>36.278866484400844</c:v>
                </c:pt>
                <c:pt idx="43">
                  <c:v>48.157815835176415</c:v>
                </c:pt>
                <c:pt idx="44">
                  <c:v>41.351879309939044</c:v>
                </c:pt>
                <c:pt idx="45">
                  <c:v>38.314121078914447</c:v>
                </c:pt>
                <c:pt idx="46">
                  <c:v>43.655830196787129</c:v>
                </c:pt>
                <c:pt idx="47">
                  <c:v>38.422351620297917</c:v>
                </c:pt>
                <c:pt idx="48">
                  <c:v>44.888003408213756</c:v>
                </c:pt>
                <c:pt idx="49">
                  <c:v>40.139427860272107</c:v>
                </c:pt>
                <c:pt idx="50">
                  <c:v>44.007953062267475</c:v>
                </c:pt>
                <c:pt idx="51">
                  <c:v>43.560497254386334</c:v>
                </c:pt>
                <c:pt idx="52">
                  <c:v>35.858308331899963</c:v>
                </c:pt>
                <c:pt idx="53">
                  <c:v>42.811767865536758</c:v>
                </c:pt>
                <c:pt idx="54">
                  <c:v>34.056887811390858</c:v>
                </c:pt>
                <c:pt idx="55">
                  <c:v>35.013511398168177</c:v>
                </c:pt>
                <c:pt idx="56">
                  <c:v>38.622364400801182</c:v>
                </c:pt>
                <c:pt idx="57">
                  <c:v>55.072376422485362</c:v>
                </c:pt>
                <c:pt idx="58">
                  <c:v>62.903981565282145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(All)'!$AD$7:$AD$107</c:f>
              <c:numCache>
                <c:formatCode>0.0000</c:formatCode>
                <c:ptCount val="76"/>
                <c:pt idx="26">
                  <c:v>75.287776261653505</c:v>
                </c:pt>
                <c:pt idx="27">
                  <c:v>71.661776208014444</c:v>
                </c:pt>
                <c:pt idx="28">
                  <c:v>61.113418642301248</c:v>
                </c:pt>
                <c:pt idx="29">
                  <c:v>63.116989756825959</c:v>
                </c:pt>
                <c:pt idx="30">
                  <c:v>97.61151129050225</c:v>
                </c:pt>
                <c:pt idx="35">
                  <c:v>51.777159652818369</c:v>
                </c:pt>
                <c:pt idx="36">
                  <c:v>40.821153710372094</c:v>
                </c:pt>
                <c:pt idx="37">
                  <c:v>69.238691393553395</c:v>
                </c:pt>
                <c:pt idx="38">
                  <c:v>42.513866681162874</c:v>
                </c:pt>
                <c:pt idx="39">
                  <c:v>46.728672019923877</c:v>
                </c:pt>
                <c:pt idx="40">
                  <c:v>57.810556315110446</c:v>
                </c:pt>
                <c:pt idx="41">
                  <c:v>39.610554861189392</c:v>
                </c:pt>
                <c:pt idx="42">
                  <c:v>36.278866484400844</c:v>
                </c:pt>
                <c:pt idx="43">
                  <c:v>48.157815835176415</c:v>
                </c:pt>
                <c:pt idx="44">
                  <c:v>41.351879309939044</c:v>
                </c:pt>
                <c:pt idx="45">
                  <c:v>38.314121078914447</c:v>
                </c:pt>
                <c:pt idx="46">
                  <c:v>43.655830196787129</c:v>
                </c:pt>
                <c:pt idx="47">
                  <c:v>38.422351620297917</c:v>
                </c:pt>
                <c:pt idx="48">
                  <c:v>44.888003408213756</c:v>
                </c:pt>
                <c:pt idx="49">
                  <c:v>40.139427860272107</c:v>
                </c:pt>
                <c:pt idx="50">
                  <c:v>44.007953062267475</c:v>
                </c:pt>
                <c:pt idx="51">
                  <c:v>43.560497254386334</c:v>
                </c:pt>
                <c:pt idx="52">
                  <c:v>35.858308331899963</c:v>
                </c:pt>
                <c:pt idx="53">
                  <c:v>42.811767865536758</c:v>
                </c:pt>
                <c:pt idx="54">
                  <c:v>34.056887811390858</c:v>
                </c:pt>
                <c:pt idx="55">
                  <c:v>35.013511398168177</c:v>
                </c:pt>
                <c:pt idx="56">
                  <c:v>38.622364400801182</c:v>
                </c:pt>
                <c:pt idx="57">
                  <c:v>55.072376422485362</c:v>
                </c:pt>
                <c:pt idx="58">
                  <c:v>62.903981565282145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04608"/>
        <c:axId val="762106288"/>
      </c:scatterChart>
      <c:valAx>
        <c:axId val="7621046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06288"/>
        <c:crosses val="autoZero"/>
        <c:crossBetween val="midCat"/>
        <c:majorUnit val="5"/>
      </c:valAx>
      <c:valAx>
        <c:axId val="76210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046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</a:t>
            </a:r>
            <a:r>
              <a:rPr lang="en-US" sz="1800" b="1" i="0" u="none" strike="noStrike" baseline="0">
                <a:effectLst/>
              </a:rPr>
              <a:t>Geyve</a:t>
            </a:r>
            <a:r>
              <a:rPr lang="en-US" sz="1800" b="1" i="0" baseline="0">
                <a:effectLst/>
              </a:rPr>
              <a:t>), Bazaar (Local), in pound/cwts.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(All)'!$AE$7:$AE$107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(All)'!$AE$7:$AE$107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10208"/>
        <c:axId val="762110768"/>
      </c:scatterChart>
      <c:valAx>
        <c:axId val="7621102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10768"/>
        <c:crosses val="autoZero"/>
        <c:crossBetween val="midCat"/>
        <c:majorUnit val="5"/>
      </c:valAx>
      <c:valAx>
        <c:axId val="76211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102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Exports,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(All)'!$AJ$7:$AJ$107</c:f>
              <c:numCache>
                <c:formatCode>0.0000</c:formatCode>
                <c:ptCount val="76"/>
                <c:pt idx="42">
                  <c:v>56.373754912555505</c:v>
                </c:pt>
                <c:pt idx="43">
                  <c:v>55.375434909965001</c:v>
                </c:pt>
                <c:pt idx="44">
                  <c:v>56.619352845779503</c:v>
                </c:pt>
                <c:pt idx="45">
                  <c:v>57.058057654723996</c:v>
                </c:pt>
                <c:pt idx="46">
                  <c:v>56.409279483037011</c:v>
                </c:pt>
                <c:pt idx="50">
                  <c:v>55.008849557522005</c:v>
                </c:pt>
                <c:pt idx="61">
                  <c:v>113.0718954248365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(All)'!$AJ$7:$AJ$107</c:f>
              <c:numCache>
                <c:formatCode>0.0000</c:formatCode>
                <c:ptCount val="76"/>
                <c:pt idx="42">
                  <c:v>56.373754912555505</c:v>
                </c:pt>
                <c:pt idx="43">
                  <c:v>55.375434909965001</c:v>
                </c:pt>
                <c:pt idx="44">
                  <c:v>56.619352845779503</c:v>
                </c:pt>
                <c:pt idx="45">
                  <c:v>57.058057654723996</c:v>
                </c:pt>
                <c:pt idx="46">
                  <c:v>56.409279483037011</c:v>
                </c:pt>
                <c:pt idx="50">
                  <c:v>55.008849557522005</c:v>
                </c:pt>
                <c:pt idx="61">
                  <c:v>113.0718954248365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05168"/>
        <c:axId val="762105728"/>
      </c:scatterChart>
      <c:valAx>
        <c:axId val="762105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05728"/>
        <c:crosses val="autoZero"/>
        <c:crossBetween val="midCat"/>
        <c:majorUnit val="5"/>
      </c:valAx>
      <c:valAx>
        <c:axId val="76210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05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Imports,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(All)'!$AI$7:$AI$107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(All)'!$AI$7:$AI$107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00128"/>
        <c:axId val="762100688"/>
      </c:scatterChart>
      <c:valAx>
        <c:axId val="7621001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00688"/>
        <c:crosses val="autoZero"/>
        <c:crossBetween val="midCat"/>
        <c:majorUnit val="5"/>
      </c:valAx>
      <c:valAx>
        <c:axId val="76210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001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Bazaar (Local),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(All)'!$AK$7:$AK$107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(All)'!$AK$7:$AK$107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95088"/>
        <c:axId val="762095648"/>
      </c:scatterChart>
      <c:valAx>
        <c:axId val="762095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95648"/>
        <c:crosses val="autoZero"/>
        <c:crossBetween val="midCat"/>
        <c:majorUnit val="5"/>
      </c:valAx>
      <c:valAx>
        <c:axId val="76209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95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Exports,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(All)'!$F$7:$F$107</c:f>
              <c:numCache>
                <c:formatCode>0.0000</c:formatCode>
                <c:ptCount val="76"/>
                <c:pt idx="37">
                  <c:v>28.4375</c:v>
                </c:pt>
                <c:pt idx="38">
                  <c:v>67.999999999999986</c:v>
                </c:pt>
                <c:pt idx="39">
                  <c:v>65.384615384615415</c:v>
                </c:pt>
                <c:pt idx="40">
                  <c:v>58.3333333333333</c:v>
                </c:pt>
                <c:pt idx="41">
                  <c:v>51.764705882352963</c:v>
                </c:pt>
                <c:pt idx="42">
                  <c:v>38.5</c:v>
                </c:pt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(All)'!$F$7:$F$107</c:f>
              <c:numCache>
                <c:formatCode>0.0000</c:formatCode>
                <c:ptCount val="76"/>
                <c:pt idx="37">
                  <c:v>28.4375</c:v>
                </c:pt>
                <c:pt idx="38">
                  <c:v>67.999999999999986</c:v>
                </c:pt>
                <c:pt idx="39">
                  <c:v>65.384615384615415</c:v>
                </c:pt>
                <c:pt idx="40">
                  <c:v>58.3333333333333</c:v>
                </c:pt>
                <c:pt idx="41">
                  <c:v>51.764705882352963</c:v>
                </c:pt>
                <c:pt idx="42">
                  <c:v>38.5</c:v>
                </c:pt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(All)'!$F$7:$F$107</c:f>
              <c:numCache>
                <c:formatCode>0.0000</c:formatCode>
                <c:ptCount val="76"/>
                <c:pt idx="37">
                  <c:v>28.4375</c:v>
                </c:pt>
                <c:pt idx="38">
                  <c:v>67.999999999999986</c:v>
                </c:pt>
                <c:pt idx="39">
                  <c:v>65.384615384615415</c:v>
                </c:pt>
                <c:pt idx="40">
                  <c:v>58.3333333333333</c:v>
                </c:pt>
                <c:pt idx="41">
                  <c:v>51.764705882352963</c:v>
                </c:pt>
                <c:pt idx="42">
                  <c:v>38.5</c:v>
                </c:pt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(All)'!$F$7:$F$107</c:f>
              <c:numCache>
                <c:formatCode>0.0000</c:formatCode>
                <c:ptCount val="76"/>
                <c:pt idx="37">
                  <c:v>28.4375</c:v>
                </c:pt>
                <c:pt idx="38">
                  <c:v>67.999999999999986</c:v>
                </c:pt>
                <c:pt idx="39">
                  <c:v>65.384615384615415</c:v>
                </c:pt>
                <c:pt idx="40">
                  <c:v>58.3333333333333</c:v>
                </c:pt>
                <c:pt idx="41">
                  <c:v>51.764705882352963</c:v>
                </c:pt>
                <c:pt idx="42">
                  <c:v>38.5</c:v>
                </c:pt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(All)'!$F$7:$F$107</c:f>
              <c:numCache>
                <c:formatCode>0.0000</c:formatCode>
                <c:ptCount val="76"/>
                <c:pt idx="37">
                  <c:v>28.4375</c:v>
                </c:pt>
                <c:pt idx="38">
                  <c:v>67.999999999999986</c:v>
                </c:pt>
                <c:pt idx="39">
                  <c:v>65.384615384615415</c:v>
                </c:pt>
                <c:pt idx="40">
                  <c:v>58.3333333333333</c:v>
                </c:pt>
                <c:pt idx="41">
                  <c:v>51.764705882352963</c:v>
                </c:pt>
                <c:pt idx="42">
                  <c:v>38.5</c:v>
                </c:pt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(All)'!$F$7:$F$107</c:f>
              <c:numCache>
                <c:formatCode>0.0000</c:formatCode>
                <c:ptCount val="76"/>
                <c:pt idx="37">
                  <c:v>28.4375</c:v>
                </c:pt>
                <c:pt idx="38">
                  <c:v>67.999999999999986</c:v>
                </c:pt>
                <c:pt idx="39">
                  <c:v>65.384615384615415</c:v>
                </c:pt>
                <c:pt idx="40">
                  <c:v>58.3333333333333</c:v>
                </c:pt>
                <c:pt idx="41">
                  <c:v>51.764705882352963</c:v>
                </c:pt>
                <c:pt idx="42">
                  <c:v>38.5</c:v>
                </c:pt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(All)'!$F$7:$F$107</c:f>
              <c:numCache>
                <c:formatCode>0.0000</c:formatCode>
                <c:ptCount val="76"/>
                <c:pt idx="37">
                  <c:v>28.4375</c:v>
                </c:pt>
                <c:pt idx="38">
                  <c:v>67.999999999999986</c:v>
                </c:pt>
                <c:pt idx="39">
                  <c:v>65.384615384615415</c:v>
                </c:pt>
                <c:pt idx="40">
                  <c:v>58.3333333333333</c:v>
                </c:pt>
                <c:pt idx="41">
                  <c:v>51.764705882352963</c:v>
                </c:pt>
                <c:pt idx="42">
                  <c:v>38.5</c:v>
                </c:pt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(All)'!$F$7:$F$107</c:f>
              <c:numCache>
                <c:formatCode>0.0000</c:formatCode>
                <c:ptCount val="76"/>
                <c:pt idx="37">
                  <c:v>28.4375</c:v>
                </c:pt>
                <c:pt idx="38">
                  <c:v>67.999999999999986</c:v>
                </c:pt>
                <c:pt idx="39">
                  <c:v>65.384615384615415</c:v>
                </c:pt>
                <c:pt idx="40">
                  <c:v>58.3333333333333</c:v>
                </c:pt>
                <c:pt idx="41">
                  <c:v>51.764705882352963</c:v>
                </c:pt>
                <c:pt idx="42">
                  <c:v>38.5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14464"/>
        <c:axId val="356732384"/>
      </c:scatterChart>
      <c:valAx>
        <c:axId val="3567144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32384"/>
        <c:crosses val="autoZero"/>
        <c:crossBetween val="midCat"/>
        <c:majorUnit val="5"/>
      </c:valAx>
      <c:valAx>
        <c:axId val="35673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144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Imports,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(All)'!$AL$7:$AL$107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(All)'!$AL$7:$AL$107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90048"/>
        <c:axId val="762090608"/>
      </c:scatterChart>
      <c:valAx>
        <c:axId val="7620900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90608"/>
        <c:crosses val="autoZero"/>
        <c:crossBetween val="midCat"/>
        <c:majorUnit val="5"/>
      </c:valAx>
      <c:valAx>
        <c:axId val="76209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900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Exports,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(All)'!$AM$7:$AM$107</c:f>
              <c:numCache>
                <c:formatCode>0.0000</c:formatCode>
                <c:ptCount val="76"/>
                <c:pt idx="31">
                  <c:v>89.600000000000009</c:v>
                </c:pt>
                <c:pt idx="35">
                  <c:v>64.399999999999991</c:v>
                </c:pt>
                <c:pt idx="36">
                  <c:v>49.532974808944253</c:v>
                </c:pt>
                <c:pt idx="37">
                  <c:v>97.264750533926872</c:v>
                </c:pt>
                <c:pt idx="39">
                  <c:v>57.86666666666671</c:v>
                </c:pt>
                <c:pt idx="41">
                  <c:v>39.199999999999996</c:v>
                </c:pt>
                <c:pt idx="42">
                  <c:v>37.1</c:v>
                </c:pt>
                <c:pt idx="43">
                  <c:v>52.266666666666708</c:v>
                </c:pt>
                <c:pt idx="56">
                  <c:v>102.2</c:v>
                </c:pt>
                <c:pt idx="57">
                  <c:v>67.68292682926851</c:v>
                </c:pt>
                <c:pt idx="61">
                  <c:v>109.2</c:v>
                </c:pt>
                <c:pt idx="62">
                  <c:v>75.133333333333297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(All)'!$AM$7:$AM$107</c:f>
              <c:numCache>
                <c:formatCode>0.0000</c:formatCode>
                <c:ptCount val="76"/>
                <c:pt idx="31">
                  <c:v>89.600000000000009</c:v>
                </c:pt>
                <c:pt idx="35">
                  <c:v>64.399999999999991</c:v>
                </c:pt>
                <c:pt idx="36">
                  <c:v>49.532974808944253</c:v>
                </c:pt>
                <c:pt idx="37">
                  <c:v>97.264750533926872</c:v>
                </c:pt>
                <c:pt idx="39">
                  <c:v>57.86666666666671</c:v>
                </c:pt>
                <c:pt idx="41">
                  <c:v>39.199999999999996</c:v>
                </c:pt>
                <c:pt idx="42">
                  <c:v>37.1</c:v>
                </c:pt>
                <c:pt idx="43">
                  <c:v>52.266666666666708</c:v>
                </c:pt>
                <c:pt idx="56">
                  <c:v>102.2</c:v>
                </c:pt>
                <c:pt idx="57">
                  <c:v>67.68292682926851</c:v>
                </c:pt>
                <c:pt idx="61">
                  <c:v>109.2</c:v>
                </c:pt>
                <c:pt idx="62">
                  <c:v>75.133333333333297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85008"/>
        <c:axId val="762085568"/>
      </c:scatterChart>
      <c:valAx>
        <c:axId val="762085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85568"/>
        <c:crosses val="autoZero"/>
        <c:crossBetween val="midCat"/>
        <c:majorUnit val="5"/>
      </c:valAx>
      <c:valAx>
        <c:axId val="76208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85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Bazaar (Local),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(All)'!$AN$7:$AN$107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(All)'!$AN$7:$AN$107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79968"/>
        <c:axId val="762080528"/>
      </c:scatterChart>
      <c:valAx>
        <c:axId val="762079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80528"/>
        <c:crosses val="autoZero"/>
        <c:crossBetween val="midCat"/>
        <c:majorUnit val="5"/>
      </c:valAx>
      <c:valAx>
        <c:axId val="76208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79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Trebizond (Anatolia), Imports,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(All)'!$AO$7:$AO$107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(All)'!$AO$7:$AO$107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13008"/>
        <c:axId val="762111328"/>
      </c:scatterChart>
      <c:valAx>
        <c:axId val="762113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11328"/>
        <c:crosses val="autoZero"/>
        <c:crossBetween val="midCat"/>
        <c:majorUnit val="5"/>
      </c:valAx>
      <c:valAx>
        <c:axId val="76211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13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Exports, in pound/cwts.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(All)'!$AP$7:$AP$107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(All)'!$AQ$7:$AQ$107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73248"/>
        <c:axId val="762052528"/>
      </c:scatterChart>
      <c:valAx>
        <c:axId val="762073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52528"/>
        <c:crosses val="autoZero"/>
        <c:crossBetween val="midCat"/>
        <c:majorUnit val="5"/>
      </c:valAx>
      <c:valAx>
        <c:axId val="76205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73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Bazaar (Local), in pound/cwts.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(All)'!$AQ$7:$AQ$107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(All)'!$AQ$7:$AQ$107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96688"/>
        <c:axId val="762295008"/>
      </c:scatterChart>
      <c:valAx>
        <c:axId val="7622966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95008"/>
        <c:crosses val="autoZero"/>
        <c:crossBetween val="midCat"/>
        <c:majorUnit val="5"/>
      </c:valAx>
      <c:valAx>
        <c:axId val="76229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966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Imports, in pound/cwts.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(All)'!$AR$7:$AR$107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(All)'!$AR$7:$AR$107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93328"/>
        <c:axId val="762293888"/>
      </c:scatterChart>
      <c:valAx>
        <c:axId val="7622933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93888"/>
        <c:crosses val="autoZero"/>
        <c:crossBetween val="midCat"/>
        <c:majorUnit val="5"/>
      </c:valAx>
      <c:valAx>
        <c:axId val="76229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933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Exports, in pound/cwts.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(All)'!$AS$7:$AS$107</c:f>
              <c:numCache>
                <c:formatCode>0.0000</c:formatCode>
                <c:ptCount val="76"/>
                <c:pt idx="33">
                  <c:v>85.712500000000006</c:v>
                </c:pt>
                <c:pt idx="34">
                  <c:v>85.714285714285708</c:v>
                </c:pt>
                <c:pt idx="44">
                  <c:v>17.777777777777779</c:v>
                </c:pt>
                <c:pt idx="45">
                  <c:v>26.68</c:v>
                </c:pt>
                <c:pt idx="46">
                  <c:v>49.375</c:v>
                </c:pt>
                <c:pt idx="47">
                  <c:v>51.111111111111114</c:v>
                </c:pt>
                <c:pt idx="48">
                  <c:v>38.4</c:v>
                </c:pt>
                <c:pt idx="49">
                  <c:v>40</c:v>
                </c:pt>
                <c:pt idx="50">
                  <c:v>40</c:v>
                </c:pt>
                <c:pt idx="51">
                  <c:v>41.142857142857146</c:v>
                </c:pt>
                <c:pt idx="52">
                  <c:v>40</c:v>
                </c:pt>
                <c:pt idx="53">
                  <c:v>40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(All)'!$AS$7:$AS$107</c:f>
              <c:numCache>
                <c:formatCode>0.0000</c:formatCode>
                <c:ptCount val="76"/>
                <c:pt idx="33">
                  <c:v>85.712500000000006</c:v>
                </c:pt>
                <c:pt idx="34">
                  <c:v>85.714285714285708</c:v>
                </c:pt>
                <c:pt idx="44">
                  <c:v>17.777777777777779</c:v>
                </c:pt>
                <c:pt idx="45">
                  <c:v>26.68</c:v>
                </c:pt>
                <c:pt idx="46">
                  <c:v>49.375</c:v>
                </c:pt>
                <c:pt idx="47">
                  <c:v>51.111111111111114</c:v>
                </c:pt>
                <c:pt idx="48">
                  <c:v>38.4</c:v>
                </c:pt>
                <c:pt idx="49">
                  <c:v>40</c:v>
                </c:pt>
                <c:pt idx="50">
                  <c:v>40</c:v>
                </c:pt>
                <c:pt idx="51">
                  <c:v>41.142857142857146</c:v>
                </c:pt>
                <c:pt idx="52">
                  <c:v>40</c:v>
                </c:pt>
                <c:pt idx="53">
                  <c:v>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89968"/>
        <c:axId val="762288288"/>
      </c:scatterChart>
      <c:valAx>
        <c:axId val="762289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88288"/>
        <c:crosses val="autoZero"/>
        <c:crossBetween val="midCat"/>
        <c:majorUnit val="5"/>
      </c:valAx>
      <c:valAx>
        <c:axId val="76228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89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Bazaar (Local), in pound/cwts.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(All)'!$AT$7:$AT$107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(All)'!$AT$7:$AT$107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86608"/>
        <c:axId val="762287168"/>
      </c:scatterChart>
      <c:valAx>
        <c:axId val="7622866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87168"/>
        <c:crosses val="autoZero"/>
        <c:crossBetween val="midCat"/>
        <c:majorUnit val="5"/>
      </c:valAx>
      <c:valAx>
        <c:axId val="7622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866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Imports,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(All)'!$AU$7:$AU$107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(All)'!$AU$7:$AU$107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83248"/>
        <c:axId val="762281568"/>
      </c:scatterChart>
      <c:valAx>
        <c:axId val="762283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81568"/>
        <c:crosses val="autoZero"/>
        <c:crossBetween val="midCat"/>
        <c:majorUnit val="5"/>
      </c:valAx>
      <c:valAx>
        <c:axId val="76228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83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Bazaar (Local),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(All)'!$G$7:$G$107</c:f>
              <c:numCache>
                <c:formatCode>0.0000</c:formatCode>
                <c:ptCount val="76"/>
                <c:pt idx="45">
                  <c:v>56.38626182180186</c:v>
                </c:pt>
                <c:pt idx="47">
                  <c:v>41.820938198199443</c:v>
                </c:pt>
                <c:pt idx="48">
                  <c:v>52.491062944024655</c:v>
                </c:pt>
                <c:pt idx="49">
                  <c:v>59.126506648092573</c:v>
                </c:pt>
                <c:pt idx="52">
                  <c:v>44.001879246926158</c:v>
                </c:pt>
                <c:pt idx="54">
                  <c:v>61.516280187432343</c:v>
                </c:pt>
                <c:pt idx="55">
                  <c:v>74.592943973706028</c:v>
                </c:pt>
                <c:pt idx="57">
                  <c:v>65.603119296499131</c:v>
                </c:pt>
                <c:pt idx="59">
                  <c:v>71.677451468392221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(All)'!$G$7:$G$107</c:f>
              <c:numCache>
                <c:formatCode>0.0000</c:formatCode>
                <c:ptCount val="76"/>
                <c:pt idx="45">
                  <c:v>56.38626182180186</c:v>
                </c:pt>
                <c:pt idx="47">
                  <c:v>41.820938198199443</c:v>
                </c:pt>
                <c:pt idx="48">
                  <c:v>52.491062944024655</c:v>
                </c:pt>
                <c:pt idx="49">
                  <c:v>59.126506648092573</c:v>
                </c:pt>
                <c:pt idx="52">
                  <c:v>44.001879246926158</c:v>
                </c:pt>
                <c:pt idx="54">
                  <c:v>61.516280187432343</c:v>
                </c:pt>
                <c:pt idx="55">
                  <c:v>74.592943973706028</c:v>
                </c:pt>
                <c:pt idx="57">
                  <c:v>65.603119296499131</c:v>
                </c:pt>
                <c:pt idx="59">
                  <c:v>71.677451468392221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04384"/>
        <c:axId val="356715584"/>
      </c:scatterChart>
      <c:valAx>
        <c:axId val="3567043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15584"/>
        <c:crosses val="autoZero"/>
        <c:crossBetween val="midCat"/>
        <c:majorUnit val="5"/>
      </c:valAx>
      <c:valAx>
        <c:axId val="35671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043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Exports,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(All)'!$AY$7:$AY$107</c:f>
              <c:numCache>
                <c:formatCode>0.0000</c:formatCode>
                <c:ptCount val="76"/>
                <c:pt idx="40">
                  <c:v>40.271428571428551</c:v>
                </c:pt>
                <c:pt idx="41">
                  <c:v>40.24999999999995</c:v>
                </c:pt>
                <c:pt idx="42">
                  <c:v>40.24999999999995</c:v>
                </c:pt>
                <c:pt idx="43">
                  <c:v>40.264285714285705</c:v>
                </c:pt>
                <c:pt idx="44">
                  <c:v>40.24999999999995</c:v>
                </c:pt>
                <c:pt idx="45">
                  <c:v>40.24999999999995</c:v>
                </c:pt>
                <c:pt idx="46">
                  <c:v>40.549999999999955</c:v>
                </c:pt>
                <c:pt idx="47">
                  <c:v>40.24999999999995</c:v>
                </c:pt>
                <c:pt idx="48">
                  <c:v>40.99999999999995</c:v>
                </c:pt>
                <c:pt idx="49">
                  <c:v>42.24999999999995</c:v>
                </c:pt>
                <c:pt idx="50">
                  <c:v>42.77777777777775</c:v>
                </c:pt>
                <c:pt idx="51">
                  <c:v>42.18749999999995</c:v>
                </c:pt>
                <c:pt idx="52">
                  <c:v>42.49999999999995</c:v>
                </c:pt>
                <c:pt idx="53">
                  <c:v>42.019230769230752</c:v>
                </c:pt>
                <c:pt idx="54">
                  <c:v>42.2222222222222</c:v>
                </c:pt>
                <c:pt idx="55">
                  <c:v>42.24999999999995</c:v>
                </c:pt>
                <c:pt idx="56">
                  <c:v>42.2222222222222</c:v>
                </c:pt>
                <c:pt idx="57">
                  <c:v>42.142857142857103</c:v>
                </c:pt>
                <c:pt idx="58">
                  <c:v>42.071428571428555</c:v>
                </c:pt>
                <c:pt idx="59">
                  <c:v>42.099999999999952</c:v>
                </c:pt>
                <c:pt idx="60">
                  <c:v>41.99999999999995</c:v>
                </c:pt>
                <c:pt idx="61">
                  <c:v>41.745000000000005</c:v>
                </c:pt>
                <c:pt idx="62">
                  <c:v>41.745000000000005</c:v>
                </c:pt>
                <c:pt idx="63">
                  <c:v>41.414999999999999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(All)'!$AY$7:$AY$107</c:f>
              <c:numCache>
                <c:formatCode>0.0000</c:formatCode>
                <c:ptCount val="76"/>
                <c:pt idx="40">
                  <c:v>40.271428571428551</c:v>
                </c:pt>
                <c:pt idx="41">
                  <c:v>40.24999999999995</c:v>
                </c:pt>
                <c:pt idx="42">
                  <c:v>40.24999999999995</c:v>
                </c:pt>
                <c:pt idx="43">
                  <c:v>40.264285714285705</c:v>
                </c:pt>
                <c:pt idx="44">
                  <c:v>40.24999999999995</c:v>
                </c:pt>
                <c:pt idx="45">
                  <c:v>40.24999999999995</c:v>
                </c:pt>
                <c:pt idx="46">
                  <c:v>40.549999999999955</c:v>
                </c:pt>
                <c:pt idx="47">
                  <c:v>40.24999999999995</c:v>
                </c:pt>
                <c:pt idx="48">
                  <c:v>40.99999999999995</c:v>
                </c:pt>
                <c:pt idx="49">
                  <c:v>42.24999999999995</c:v>
                </c:pt>
                <c:pt idx="50">
                  <c:v>42.77777777777775</c:v>
                </c:pt>
                <c:pt idx="51">
                  <c:v>42.18749999999995</c:v>
                </c:pt>
                <c:pt idx="52">
                  <c:v>42.49999999999995</c:v>
                </c:pt>
                <c:pt idx="53">
                  <c:v>42.019230769230752</c:v>
                </c:pt>
                <c:pt idx="54">
                  <c:v>42.2222222222222</c:v>
                </c:pt>
                <c:pt idx="55">
                  <c:v>42.24999999999995</c:v>
                </c:pt>
                <c:pt idx="56">
                  <c:v>42.2222222222222</c:v>
                </c:pt>
                <c:pt idx="57">
                  <c:v>42.142857142857103</c:v>
                </c:pt>
                <c:pt idx="58">
                  <c:v>42.071428571428555</c:v>
                </c:pt>
                <c:pt idx="59">
                  <c:v>42.099999999999952</c:v>
                </c:pt>
                <c:pt idx="60">
                  <c:v>41.99999999999995</c:v>
                </c:pt>
                <c:pt idx="61">
                  <c:v>41.745000000000005</c:v>
                </c:pt>
                <c:pt idx="62">
                  <c:v>41.745000000000005</c:v>
                </c:pt>
                <c:pt idx="63">
                  <c:v>41.414999999999999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79888"/>
        <c:axId val="762280448"/>
      </c:scatterChart>
      <c:valAx>
        <c:axId val="7622798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80448"/>
        <c:crosses val="autoZero"/>
        <c:crossBetween val="midCat"/>
        <c:majorUnit val="5"/>
      </c:valAx>
      <c:valAx>
        <c:axId val="7622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79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Bazaar (Local),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(All)'!$BC$7:$BC$107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(All)'!$BC$7:$BC$107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76528"/>
        <c:axId val="762274848"/>
      </c:scatterChart>
      <c:valAx>
        <c:axId val="7622765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74848"/>
        <c:crosses val="autoZero"/>
        <c:crossBetween val="midCat"/>
        <c:majorUnit val="5"/>
      </c:valAx>
      <c:valAx>
        <c:axId val="76227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765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Exports,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(All)'!$AV$7:$AV$107</c:f>
              <c:numCache>
                <c:formatCode>0.0000</c:formatCode>
                <c:ptCount val="76"/>
                <c:pt idx="14">
                  <c:v>75.600000000000009</c:v>
                </c:pt>
                <c:pt idx="15">
                  <c:v>6.5333333333333297</c:v>
                </c:pt>
                <c:pt idx="16">
                  <c:v>95.2</c:v>
                </c:pt>
                <c:pt idx="18">
                  <c:v>106.39999999999999</c:v>
                </c:pt>
                <c:pt idx="19">
                  <c:v>235.20000000000002</c:v>
                </c:pt>
                <c:pt idx="21">
                  <c:v>95.2</c:v>
                </c:pt>
                <c:pt idx="22">
                  <c:v>156.79999999999998</c:v>
                </c:pt>
                <c:pt idx="24">
                  <c:v>156.79999999999998</c:v>
                </c:pt>
                <c:pt idx="25">
                  <c:v>89.600000000000009</c:v>
                </c:pt>
                <c:pt idx="26">
                  <c:v>117.60000000000001</c:v>
                </c:pt>
                <c:pt idx="27">
                  <c:v>111.719875401682</c:v>
                </c:pt>
                <c:pt idx="28">
                  <c:v>95.569935291189495</c:v>
                </c:pt>
                <c:pt idx="29">
                  <c:v>100.33933223710851</c:v>
                </c:pt>
                <c:pt idx="30">
                  <c:v>131.962769852267</c:v>
                </c:pt>
                <c:pt idx="31">
                  <c:v>79.641612742658012</c:v>
                </c:pt>
                <c:pt idx="32">
                  <c:v>79.641612742658012</c:v>
                </c:pt>
                <c:pt idx="33">
                  <c:v>71.677451468391993</c:v>
                </c:pt>
                <c:pt idx="34">
                  <c:v>79.641612742658012</c:v>
                </c:pt>
                <c:pt idx="35">
                  <c:v>70.084619213539</c:v>
                </c:pt>
                <c:pt idx="36">
                  <c:v>81.035289742595012</c:v>
                </c:pt>
                <c:pt idx="38">
                  <c:v>63.7132901941265</c:v>
                </c:pt>
                <c:pt idx="39">
                  <c:v>62.056317043104507</c:v>
                </c:pt>
                <c:pt idx="40">
                  <c:v>54.15629666500751</c:v>
                </c:pt>
                <c:pt idx="41">
                  <c:v>50.970632155301004</c:v>
                </c:pt>
                <c:pt idx="42">
                  <c:v>50.970632155301004</c:v>
                </c:pt>
                <c:pt idx="44">
                  <c:v>59.606314189388506</c:v>
                </c:pt>
                <c:pt idx="48">
                  <c:v>68.027491408934495</c:v>
                </c:pt>
                <c:pt idx="49">
                  <c:v>104.18681856440952</c:v>
                </c:pt>
                <c:pt idx="50">
                  <c:v>66.103703703703502</c:v>
                </c:pt>
                <c:pt idx="51">
                  <c:v>66.761777777778008</c:v>
                </c:pt>
                <c:pt idx="52">
                  <c:v>66.896666666666505</c:v>
                </c:pt>
                <c:pt idx="53">
                  <c:v>53.326288659794002</c:v>
                </c:pt>
                <c:pt idx="54">
                  <c:v>59.541237113401998</c:v>
                </c:pt>
                <c:pt idx="55">
                  <c:v>54.513526570048498</c:v>
                </c:pt>
                <c:pt idx="56">
                  <c:v>54.913833992095</c:v>
                </c:pt>
                <c:pt idx="57">
                  <c:v>55.597000000000008</c:v>
                </c:pt>
                <c:pt idx="58">
                  <c:v>44.371341463414652</c:v>
                </c:pt>
                <c:pt idx="60">
                  <c:v>86.501666666666495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(All)'!$AV$7:$AV$107</c:f>
              <c:numCache>
                <c:formatCode>0.0000</c:formatCode>
                <c:ptCount val="76"/>
                <c:pt idx="14">
                  <c:v>75.600000000000009</c:v>
                </c:pt>
                <c:pt idx="15">
                  <c:v>6.5333333333333297</c:v>
                </c:pt>
                <c:pt idx="16">
                  <c:v>95.2</c:v>
                </c:pt>
                <c:pt idx="18">
                  <c:v>106.39999999999999</c:v>
                </c:pt>
                <c:pt idx="19">
                  <c:v>235.20000000000002</c:v>
                </c:pt>
                <c:pt idx="21">
                  <c:v>95.2</c:v>
                </c:pt>
                <c:pt idx="22">
                  <c:v>156.79999999999998</c:v>
                </c:pt>
                <c:pt idx="24">
                  <c:v>156.79999999999998</c:v>
                </c:pt>
                <c:pt idx="25">
                  <c:v>89.600000000000009</c:v>
                </c:pt>
                <c:pt idx="26">
                  <c:v>117.60000000000001</c:v>
                </c:pt>
                <c:pt idx="27">
                  <c:v>111.719875401682</c:v>
                </c:pt>
                <c:pt idx="28">
                  <c:v>95.569935291189495</c:v>
                </c:pt>
                <c:pt idx="29">
                  <c:v>100.33933223710851</c:v>
                </c:pt>
                <c:pt idx="30">
                  <c:v>131.962769852267</c:v>
                </c:pt>
                <c:pt idx="31">
                  <c:v>79.641612742658012</c:v>
                </c:pt>
                <c:pt idx="32">
                  <c:v>79.641612742658012</c:v>
                </c:pt>
                <c:pt idx="33">
                  <c:v>71.677451468391993</c:v>
                </c:pt>
                <c:pt idx="34">
                  <c:v>79.641612742658012</c:v>
                </c:pt>
                <c:pt idx="35">
                  <c:v>70.084619213539</c:v>
                </c:pt>
                <c:pt idx="36">
                  <c:v>81.035289742595012</c:v>
                </c:pt>
                <c:pt idx="38">
                  <c:v>63.7132901941265</c:v>
                </c:pt>
                <c:pt idx="39">
                  <c:v>62.056317043104507</c:v>
                </c:pt>
                <c:pt idx="40">
                  <c:v>54.15629666500751</c:v>
                </c:pt>
                <c:pt idx="41">
                  <c:v>50.970632155301004</c:v>
                </c:pt>
                <c:pt idx="42">
                  <c:v>50.970632155301004</c:v>
                </c:pt>
                <c:pt idx="44">
                  <c:v>59.606314189388506</c:v>
                </c:pt>
                <c:pt idx="48">
                  <c:v>68.027491408934495</c:v>
                </c:pt>
                <c:pt idx="49">
                  <c:v>104.18681856440952</c:v>
                </c:pt>
                <c:pt idx="50">
                  <c:v>66.103703703703502</c:v>
                </c:pt>
                <c:pt idx="51">
                  <c:v>66.761777777778008</c:v>
                </c:pt>
                <c:pt idx="52">
                  <c:v>66.896666666666505</c:v>
                </c:pt>
                <c:pt idx="53">
                  <c:v>53.326288659794002</c:v>
                </c:pt>
                <c:pt idx="54">
                  <c:v>59.541237113401998</c:v>
                </c:pt>
                <c:pt idx="55">
                  <c:v>54.513526570048498</c:v>
                </c:pt>
                <c:pt idx="56">
                  <c:v>54.913833992095</c:v>
                </c:pt>
                <c:pt idx="57">
                  <c:v>55.597000000000008</c:v>
                </c:pt>
                <c:pt idx="58">
                  <c:v>44.371341463414652</c:v>
                </c:pt>
                <c:pt idx="60">
                  <c:v>86.501666666666495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73168"/>
        <c:axId val="762273728"/>
      </c:scatterChart>
      <c:valAx>
        <c:axId val="762273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73728"/>
        <c:crosses val="autoZero"/>
        <c:crossBetween val="midCat"/>
        <c:majorUnit val="5"/>
      </c:valAx>
      <c:valAx>
        <c:axId val="76227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73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Ixmir, Bazaar (Local),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(All)'!$AW$7:$AW$107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(All)'!$AW$7:$AW$107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69808"/>
        <c:axId val="762268128"/>
      </c:scatterChart>
      <c:valAx>
        <c:axId val="762269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68128"/>
        <c:crosses val="autoZero"/>
        <c:crossBetween val="midCat"/>
        <c:majorUnit val="5"/>
      </c:valAx>
      <c:valAx>
        <c:axId val="76226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69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Imports,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(All)'!$AX$7:$AX$107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(All)'!$AX$7:$AX$107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66448"/>
        <c:axId val="762267008"/>
      </c:scatterChart>
      <c:valAx>
        <c:axId val="762266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67008"/>
        <c:crosses val="autoZero"/>
        <c:crossBetween val="midCat"/>
        <c:majorUnit val="5"/>
      </c:valAx>
      <c:valAx>
        <c:axId val="76226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66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Bazaar (Local),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(All)'!$AZ$7:$AZ$107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(All)'!$AZ$7:$AZ$107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63088"/>
        <c:axId val="762261408"/>
      </c:scatterChart>
      <c:valAx>
        <c:axId val="762263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61408"/>
        <c:crosses val="autoZero"/>
        <c:crossBetween val="midCat"/>
        <c:majorUnit val="5"/>
      </c:valAx>
      <c:valAx>
        <c:axId val="7622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63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Exports,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(All)'!$BB$7:$BB$107</c:f>
              <c:numCache>
                <c:formatCode>0.0000</c:formatCode>
                <c:ptCount val="76"/>
                <c:pt idx="44">
                  <c:v>62.030769230769231</c:v>
                </c:pt>
                <c:pt idx="45">
                  <c:v>49.107692307692304</c:v>
                </c:pt>
                <c:pt idx="48">
                  <c:v>50.051282051282044</c:v>
                </c:pt>
                <c:pt idx="51">
                  <c:v>40.743589743589745</c:v>
                </c:pt>
                <c:pt idx="52">
                  <c:v>48.533333333333324</c:v>
                </c:pt>
                <c:pt idx="55">
                  <c:v>73.34282861025163</c:v>
                </c:pt>
                <c:pt idx="60">
                  <c:v>80.84</c:v>
                </c:pt>
                <c:pt idx="61">
                  <c:v>113.75291375291376</c:v>
                </c:pt>
                <c:pt idx="62">
                  <c:v>85.256159561986706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(All)'!$BB$7:$BB$107</c:f>
              <c:numCache>
                <c:formatCode>0.0000</c:formatCode>
                <c:ptCount val="76"/>
                <c:pt idx="44">
                  <c:v>62.030769230769231</c:v>
                </c:pt>
                <c:pt idx="45">
                  <c:v>49.107692307692304</c:v>
                </c:pt>
                <c:pt idx="48">
                  <c:v>50.051282051282044</c:v>
                </c:pt>
                <c:pt idx="51">
                  <c:v>40.743589743589745</c:v>
                </c:pt>
                <c:pt idx="52">
                  <c:v>48.533333333333324</c:v>
                </c:pt>
                <c:pt idx="55">
                  <c:v>73.34282861025163</c:v>
                </c:pt>
                <c:pt idx="60">
                  <c:v>80.84</c:v>
                </c:pt>
                <c:pt idx="61">
                  <c:v>113.75291375291376</c:v>
                </c:pt>
                <c:pt idx="62">
                  <c:v>85.256159561986706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59728"/>
        <c:axId val="762260288"/>
      </c:scatterChart>
      <c:valAx>
        <c:axId val="7622597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60288"/>
        <c:crosses val="autoZero"/>
        <c:crossBetween val="midCat"/>
        <c:majorUnit val="5"/>
      </c:valAx>
      <c:valAx>
        <c:axId val="76226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59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Imports,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(All)'!$BA$7:$BA$107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(All)'!$BA$7:$BA$107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56368"/>
        <c:axId val="762254688"/>
      </c:scatterChart>
      <c:valAx>
        <c:axId val="762256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54688"/>
        <c:crosses val="autoZero"/>
        <c:crossBetween val="midCat"/>
        <c:majorUnit val="5"/>
      </c:valAx>
      <c:valAx>
        <c:axId val="76225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56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Yezd, Imports,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(All)'!$BD$7:$BD$107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(All)'!$BD$7:$BD$107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53008"/>
        <c:axId val="762253568"/>
      </c:scatterChart>
      <c:valAx>
        <c:axId val="762253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53568"/>
        <c:crosses val="autoZero"/>
        <c:crossBetween val="midCat"/>
        <c:majorUnit val="5"/>
      </c:valAx>
      <c:valAx>
        <c:axId val="76225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53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Exports, in pound/cwts.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(All)'!$BE$7:$BE$107</c:f>
              <c:numCache>
                <c:formatCode>0.0000</c:formatCode>
                <c:ptCount val="76"/>
                <c:pt idx="55">
                  <c:v>64.174975033970185</c:v>
                </c:pt>
                <c:pt idx="56">
                  <c:v>79.139880292618102</c:v>
                </c:pt>
                <c:pt idx="62">
                  <c:v>70.564102564102569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(All)'!$BE$7:$BE$107</c:f>
              <c:numCache>
                <c:formatCode>0.0000</c:formatCode>
                <c:ptCount val="76"/>
                <c:pt idx="55">
                  <c:v>64.174975033970185</c:v>
                </c:pt>
                <c:pt idx="56">
                  <c:v>79.139880292618102</c:v>
                </c:pt>
                <c:pt idx="62">
                  <c:v>70.564102564102569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49648"/>
        <c:axId val="762247968"/>
      </c:scatterChart>
      <c:valAx>
        <c:axId val="762249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47968"/>
        <c:crosses val="autoZero"/>
        <c:crossBetween val="midCat"/>
        <c:majorUnit val="5"/>
      </c:valAx>
      <c:valAx>
        <c:axId val="76224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49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Basrah, Exports,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(All)'!$I$7:$I$107</c:f>
              <c:numCache>
                <c:formatCode>0.0000</c:formatCode>
                <c:ptCount val="76"/>
                <c:pt idx="37">
                  <c:v>56.123284147510716</c:v>
                </c:pt>
                <c:pt idx="38">
                  <c:v>81.600539507699409</c:v>
                </c:pt>
                <c:pt idx="39">
                  <c:v>81.776336383182894</c:v>
                </c:pt>
                <c:pt idx="40">
                  <c:v>81.458747578854357</c:v>
                </c:pt>
                <c:pt idx="41">
                  <c:v>30.622009569377965</c:v>
                </c:pt>
                <c:pt idx="42">
                  <c:v>79.641612742658054</c:v>
                </c:pt>
                <c:pt idx="43">
                  <c:v>79.641612742658054</c:v>
                </c:pt>
                <c:pt idx="46">
                  <c:v>79.641612742658054</c:v>
                </c:pt>
                <c:pt idx="47">
                  <c:v>79.641612742658054</c:v>
                </c:pt>
                <c:pt idx="48">
                  <c:v>79.641612742658054</c:v>
                </c:pt>
                <c:pt idx="49">
                  <c:v>79.641612742658054</c:v>
                </c:pt>
                <c:pt idx="50">
                  <c:v>79.641612742658054</c:v>
                </c:pt>
                <c:pt idx="51">
                  <c:v>79.641612742658054</c:v>
                </c:pt>
                <c:pt idx="52">
                  <c:v>79.641612742658054</c:v>
                </c:pt>
                <c:pt idx="53">
                  <c:v>79.641612742658054</c:v>
                </c:pt>
                <c:pt idx="54">
                  <c:v>79.641612742658054</c:v>
                </c:pt>
                <c:pt idx="55">
                  <c:v>79.641612742658054</c:v>
                </c:pt>
                <c:pt idx="56">
                  <c:v>79.641612742658054</c:v>
                </c:pt>
                <c:pt idx="57">
                  <c:v>79.641612742658054</c:v>
                </c:pt>
                <c:pt idx="58">
                  <c:v>79.641612742658054</c:v>
                </c:pt>
                <c:pt idx="59">
                  <c:v>79.641612742658054</c:v>
                </c:pt>
                <c:pt idx="60">
                  <c:v>79.641612742658054</c:v>
                </c:pt>
                <c:pt idx="61">
                  <c:v>79.641612742658054</c:v>
                </c:pt>
                <c:pt idx="62">
                  <c:v>79.641612742658054</c:v>
                </c:pt>
                <c:pt idx="63">
                  <c:v>79.641612742658054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(All)'!$I$7:$I$107</c:f>
              <c:numCache>
                <c:formatCode>0.0000</c:formatCode>
                <c:ptCount val="76"/>
                <c:pt idx="37">
                  <c:v>56.123284147510716</c:v>
                </c:pt>
                <c:pt idx="38">
                  <c:v>81.600539507699409</c:v>
                </c:pt>
                <c:pt idx="39">
                  <c:v>81.776336383182894</c:v>
                </c:pt>
                <c:pt idx="40">
                  <c:v>81.458747578854357</c:v>
                </c:pt>
                <c:pt idx="41">
                  <c:v>30.622009569377965</c:v>
                </c:pt>
                <c:pt idx="42">
                  <c:v>79.641612742658054</c:v>
                </c:pt>
                <c:pt idx="43">
                  <c:v>79.641612742658054</c:v>
                </c:pt>
                <c:pt idx="46">
                  <c:v>79.641612742658054</c:v>
                </c:pt>
                <c:pt idx="47">
                  <c:v>79.641612742658054</c:v>
                </c:pt>
                <c:pt idx="48">
                  <c:v>79.641612742658054</c:v>
                </c:pt>
                <c:pt idx="49">
                  <c:v>79.641612742658054</c:v>
                </c:pt>
                <c:pt idx="50">
                  <c:v>79.641612742658054</c:v>
                </c:pt>
                <c:pt idx="51">
                  <c:v>79.641612742658054</c:v>
                </c:pt>
                <c:pt idx="52">
                  <c:v>79.641612742658054</c:v>
                </c:pt>
                <c:pt idx="53">
                  <c:v>79.641612742658054</c:v>
                </c:pt>
                <c:pt idx="54">
                  <c:v>79.641612742658054</c:v>
                </c:pt>
                <c:pt idx="55">
                  <c:v>79.641612742658054</c:v>
                </c:pt>
                <c:pt idx="56">
                  <c:v>79.641612742658054</c:v>
                </c:pt>
                <c:pt idx="57">
                  <c:v>79.641612742658054</c:v>
                </c:pt>
                <c:pt idx="58">
                  <c:v>79.641612742658054</c:v>
                </c:pt>
                <c:pt idx="59">
                  <c:v>79.641612742658054</c:v>
                </c:pt>
                <c:pt idx="60">
                  <c:v>79.641612742658054</c:v>
                </c:pt>
                <c:pt idx="61">
                  <c:v>79.641612742658054</c:v>
                </c:pt>
                <c:pt idx="62">
                  <c:v>79.641612742658054</c:v>
                </c:pt>
                <c:pt idx="63">
                  <c:v>79.641612742658054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41344"/>
        <c:axId val="356725664"/>
      </c:scatterChart>
      <c:valAx>
        <c:axId val="3567413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25664"/>
        <c:crosses val="autoZero"/>
        <c:crossBetween val="midCat"/>
        <c:majorUnit val="5"/>
      </c:valAx>
      <c:valAx>
        <c:axId val="35672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413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Bazaar (Local), in pound/cwts.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(All)'!$BF$7:$BF$107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(All)'!$BF$7:$BF$107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46288"/>
        <c:axId val="762246848"/>
      </c:scatterChart>
      <c:valAx>
        <c:axId val="7622462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46848"/>
        <c:crosses val="autoZero"/>
        <c:crossBetween val="midCat"/>
        <c:majorUnit val="5"/>
      </c:valAx>
      <c:valAx>
        <c:axId val="76224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46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Imports,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(All)'!$BG$7:$BG$107</c:f>
              <c:numCache>
                <c:formatCode>0.0000</c:formatCode>
                <c:ptCount val="76"/>
                <c:pt idx="52">
                  <c:v>42.349328214971237</c:v>
                </c:pt>
                <c:pt idx="53">
                  <c:v>49.538461538461505</c:v>
                </c:pt>
                <c:pt idx="54">
                  <c:v>47.38461538461538</c:v>
                </c:pt>
                <c:pt idx="55">
                  <c:v>53.694117647058782</c:v>
                </c:pt>
                <c:pt idx="56">
                  <c:v>65.790209790209744</c:v>
                </c:pt>
                <c:pt idx="57">
                  <c:v>44.800000000000004</c:v>
                </c:pt>
                <c:pt idx="58">
                  <c:v>46.735511064278178</c:v>
                </c:pt>
                <c:pt idx="59">
                  <c:v>40.669201520912495</c:v>
                </c:pt>
                <c:pt idx="60">
                  <c:v>48.415584415584405</c:v>
                </c:pt>
                <c:pt idx="61">
                  <c:v>305.67092568448459</c:v>
                </c:pt>
                <c:pt idx="62">
                  <c:v>135.31221719457008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(All)'!$BG$7:$BG$107</c:f>
              <c:numCache>
                <c:formatCode>0.0000</c:formatCode>
                <c:ptCount val="76"/>
                <c:pt idx="52">
                  <c:v>42.349328214971237</c:v>
                </c:pt>
                <c:pt idx="53">
                  <c:v>49.538461538461505</c:v>
                </c:pt>
                <c:pt idx="54">
                  <c:v>47.38461538461538</c:v>
                </c:pt>
                <c:pt idx="55">
                  <c:v>53.694117647058782</c:v>
                </c:pt>
                <c:pt idx="56">
                  <c:v>65.790209790209744</c:v>
                </c:pt>
                <c:pt idx="57">
                  <c:v>44.800000000000004</c:v>
                </c:pt>
                <c:pt idx="58">
                  <c:v>46.735511064278178</c:v>
                </c:pt>
                <c:pt idx="59">
                  <c:v>40.669201520912495</c:v>
                </c:pt>
                <c:pt idx="60">
                  <c:v>48.415584415584405</c:v>
                </c:pt>
                <c:pt idx="61">
                  <c:v>305.67092568448459</c:v>
                </c:pt>
                <c:pt idx="62">
                  <c:v>135.31221719457008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42368"/>
        <c:axId val="762242928"/>
      </c:scatterChart>
      <c:valAx>
        <c:axId val="762242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42928"/>
        <c:crosses val="autoZero"/>
        <c:crossBetween val="midCat"/>
        <c:majorUnit val="5"/>
      </c:valAx>
      <c:valAx>
        <c:axId val="76224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42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Exports,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(All)'!$BH$7:$BH$107</c:f>
              <c:numCache>
                <c:formatCode>0.0000</c:formatCode>
                <c:ptCount val="76"/>
                <c:pt idx="52">
                  <c:v>38.228545204222129</c:v>
                </c:pt>
                <c:pt idx="53">
                  <c:v>6.3063787522512005</c:v>
                </c:pt>
                <c:pt idx="54">
                  <c:v>60.715845874167897</c:v>
                </c:pt>
                <c:pt idx="55">
                  <c:v>33.781003417865755</c:v>
                </c:pt>
                <c:pt idx="56">
                  <c:v>66.357021788793674</c:v>
                </c:pt>
                <c:pt idx="57">
                  <c:v>55.693006500117505</c:v>
                </c:pt>
                <c:pt idx="58">
                  <c:v>69.039882499152654</c:v>
                </c:pt>
                <c:pt idx="59">
                  <c:v>70.866766741112272</c:v>
                </c:pt>
                <c:pt idx="60">
                  <c:v>73.235356762513334</c:v>
                </c:pt>
                <c:pt idx="61">
                  <c:v>180.01009251471791</c:v>
                </c:pt>
                <c:pt idx="62">
                  <c:v>92.556936141207899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(All)'!$BH$7:$BH$107</c:f>
              <c:numCache>
                <c:formatCode>0.0000</c:formatCode>
                <c:ptCount val="76"/>
                <c:pt idx="52">
                  <c:v>38.228545204222129</c:v>
                </c:pt>
                <c:pt idx="53">
                  <c:v>6.3063787522512005</c:v>
                </c:pt>
                <c:pt idx="54">
                  <c:v>60.715845874167897</c:v>
                </c:pt>
                <c:pt idx="55">
                  <c:v>33.781003417865755</c:v>
                </c:pt>
                <c:pt idx="56">
                  <c:v>66.357021788793674</c:v>
                </c:pt>
                <c:pt idx="57">
                  <c:v>55.693006500117505</c:v>
                </c:pt>
                <c:pt idx="58">
                  <c:v>69.039882499152654</c:v>
                </c:pt>
                <c:pt idx="59">
                  <c:v>70.866766741112272</c:v>
                </c:pt>
                <c:pt idx="60">
                  <c:v>73.235356762513334</c:v>
                </c:pt>
                <c:pt idx="61">
                  <c:v>180.01009251471791</c:v>
                </c:pt>
                <c:pt idx="62">
                  <c:v>92.556936141207899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39568"/>
        <c:axId val="762237888"/>
      </c:scatterChart>
      <c:valAx>
        <c:axId val="7622395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37888"/>
        <c:crosses val="autoZero"/>
        <c:crossBetween val="midCat"/>
        <c:majorUnit val="5"/>
      </c:valAx>
      <c:valAx>
        <c:axId val="76223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395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Bazaar (Local),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(All)'!$BI$7:$BI$107</c:f>
              <c:numCache>
                <c:formatCode>0.0000</c:formatCode>
                <c:ptCount val="76"/>
                <c:pt idx="39">
                  <c:v>27.533333333333296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(All)'!$BI$7:$BI$107</c:f>
              <c:numCache>
                <c:formatCode>0.0000</c:formatCode>
                <c:ptCount val="76"/>
                <c:pt idx="39">
                  <c:v>27.533333333333296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36208"/>
        <c:axId val="762236768"/>
      </c:scatterChart>
      <c:valAx>
        <c:axId val="7622362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36768"/>
        <c:crosses val="autoZero"/>
        <c:crossBetween val="midCat"/>
        <c:majorUnit val="5"/>
      </c:valAx>
      <c:valAx>
        <c:axId val="76223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362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Kermanshah, Imports,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(All)'!$BJ$7:$BJ$107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(All)'!$BJ$7:$BJ$107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31168"/>
        <c:axId val="762231728"/>
      </c:scatterChart>
      <c:valAx>
        <c:axId val="762231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31728"/>
        <c:crosses val="autoZero"/>
        <c:crossBetween val="midCat"/>
        <c:majorUnit val="5"/>
      </c:valAx>
      <c:valAx>
        <c:axId val="76223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31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Exports, in pound/cwts.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(All)'!$BK$7:$BK$107</c:f>
              <c:numCache>
                <c:formatCode>0.0000</c:formatCode>
                <c:ptCount val="76"/>
                <c:pt idx="46">
                  <c:v>25.84605461572129</c:v>
                </c:pt>
                <c:pt idx="50">
                  <c:v>46.041202628260429</c:v>
                </c:pt>
                <c:pt idx="51">
                  <c:v>54.63641825512223</c:v>
                </c:pt>
                <c:pt idx="52">
                  <c:v>33.594837191598323</c:v>
                </c:pt>
                <c:pt idx="53">
                  <c:v>42.481106718414772</c:v>
                </c:pt>
                <c:pt idx="54">
                  <c:v>49.136296649582661</c:v>
                </c:pt>
                <c:pt idx="55">
                  <c:v>67.478789974070878</c:v>
                </c:pt>
                <c:pt idx="57">
                  <c:v>52.564568462037641</c:v>
                </c:pt>
                <c:pt idx="58">
                  <c:v>58.023407022106632</c:v>
                </c:pt>
                <c:pt idx="59">
                  <c:v>65.857558139534888</c:v>
                </c:pt>
                <c:pt idx="60">
                  <c:v>65.274611398963728</c:v>
                </c:pt>
                <c:pt idx="61">
                  <c:v>71.698209718670071</c:v>
                </c:pt>
                <c:pt idx="62">
                  <c:v>100.81200289226319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(All)'!$BK$7:$BK$107</c:f>
              <c:numCache>
                <c:formatCode>0.0000</c:formatCode>
                <c:ptCount val="76"/>
                <c:pt idx="46">
                  <c:v>25.84605461572129</c:v>
                </c:pt>
                <c:pt idx="50">
                  <c:v>46.041202628260429</c:v>
                </c:pt>
                <c:pt idx="51">
                  <c:v>54.63641825512223</c:v>
                </c:pt>
                <c:pt idx="52">
                  <c:v>33.594837191598323</c:v>
                </c:pt>
                <c:pt idx="53">
                  <c:v>42.481106718414772</c:v>
                </c:pt>
                <c:pt idx="54">
                  <c:v>49.136296649582661</c:v>
                </c:pt>
                <c:pt idx="55">
                  <c:v>67.478789974070878</c:v>
                </c:pt>
                <c:pt idx="57">
                  <c:v>52.564568462037641</c:v>
                </c:pt>
                <c:pt idx="58">
                  <c:v>58.023407022106632</c:v>
                </c:pt>
                <c:pt idx="59">
                  <c:v>65.857558139534888</c:v>
                </c:pt>
                <c:pt idx="60">
                  <c:v>65.274611398963728</c:v>
                </c:pt>
                <c:pt idx="61">
                  <c:v>71.698209718670071</c:v>
                </c:pt>
                <c:pt idx="62">
                  <c:v>100.81200289226319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27808"/>
        <c:axId val="762228368"/>
      </c:scatterChart>
      <c:valAx>
        <c:axId val="762227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28368"/>
        <c:crosses val="autoZero"/>
        <c:crossBetween val="midCat"/>
        <c:majorUnit val="5"/>
      </c:valAx>
      <c:valAx>
        <c:axId val="76222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27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Bazaar (Local), in pound/cwts.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(All)'!$BL$7:$BL$107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(All)'!$BL$7:$BL$107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24448"/>
        <c:axId val="762225008"/>
      </c:scatterChart>
      <c:valAx>
        <c:axId val="762224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25008"/>
        <c:crosses val="autoZero"/>
        <c:crossBetween val="midCat"/>
        <c:majorUnit val="5"/>
      </c:valAx>
      <c:valAx>
        <c:axId val="7622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24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Imports,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(All)'!$BM$7:$BM$107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(All)'!$BM$7:$BM$107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21088"/>
        <c:axId val="762221648"/>
      </c:scatterChart>
      <c:valAx>
        <c:axId val="762221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21648"/>
        <c:crosses val="autoZero"/>
        <c:crossBetween val="midCat"/>
        <c:majorUnit val="5"/>
      </c:valAx>
      <c:valAx>
        <c:axId val="76222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21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Exports,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(All)'!$BN$7:$BN$107</c:f>
              <c:numCache>
                <c:formatCode>0.0000</c:formatCode>
                <c:ptCount val="76"/>
                <c:pt idx="44">
                  <c:v>31.015384615384622</c:v>
                </c:pt>
                <c:pt idx="55">
                  <c:v>53.28000000000003</c:v>
                </c:pt>
                <c:pt idx="56">
                  <c:v>44.373333333333306</c:v>
                </c:pt>
                <c:pt idx="57">
                  <c:v>69.119999999999976</c:v>
                </c:pt>
                <c:pt idx="58">
                  <c:v>76.80000000000004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(All)'!$BN$7:$BN$107</c:f>
              <c:numCache>
                <c:formatCode>0.0000</c:formatCode>
                <c:ptCount val="76"/>
                <c:pt idx="44">
                  <c:v>31.015384615384622</c:v>
                </c:pt>
                <c:pt idx="55">
                  <c:v>53.28000000000003</c:v>
                </c:pt>
                <c:pt idx="56">
                  <c:v>44.373333333333306</c:v>
                </c:pt>
                <c:pt idx="57">
                  <c:v>69.119999999999976</c:v>
                </c:pt>
                <c:pt idx="58">
                  <c:v>76.80000000000004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17728"/>
        <c:axId val="762218288"/>
      </c:scatterChart>
      <c:valAx>
        <c:axId val="7622177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18288"/>
        <c:crosses val="autoZero"/>
        <c:crossBetween val="midCat"/>
        <c:majorUnit val="5"/>
      </c:valAx>
      <c:valAx>
        <c:axId val="76221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17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Kerman, Bazaar (Local), in pound/cwts.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(All)'!$BO$7:$BO$107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(All)'!$BO$7:$BO$107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14928"/>
        <c:axId val="762213248"/>
      </c:scatterChart>
      <c:valAx>
        <c:axId val="7622149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13248"/>
        <c:crosses val="autoZero"/>
        <c:crossBetween val="midCat"/>
        <c:majorUnit val="5"/>
      </c:valAx>
      <c:valAx>
        <c:axId val="76221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149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Bazaar (Local), in pound/cwts.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(All)'!$J$7:$J$107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(All)'!$J$7:$J$107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26784"/>
        <c:axId val="356742464"/>
      </c:scatterChart>
      <c:valAx>
        <c:axId val="3567267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42464"/>
        <c:crosses val="autoZero"/>
        <c:crossBetween val="midCat"/>
        <c:majorUnit val="5"/>
      </c:valAx>
      <c:valAx>
        <c:axId val="35674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267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Bam, Imports,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(All)'!$BP$7:$BP$107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(All)'!$BP$7:$BP$107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12688"/>
        <c:axId val="762211008"/>
      </c:scatterChart>
      <c:valAx>
        <c:axId val="7622126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11008"/>
        <c:crosses val="autoZero"/>
        <c:crossBetween val="midCat"/>
        <c:majorUnit val="5"/>
      </c:valAx>
      <c:valAx>
        <c:axId val="76221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126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Exports, 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(All)'!$BQ$7:$BQ$107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(All)'!$BQ$7:$BQ$107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09328"/>
        <c:axId val="762209888"/>
      </c:scatterChart>
      <c:valAx>
        <c:axId val="7622093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09888"/>
        <c:crosses val="autoZero"/>
        <c:crossBetween val="midCat"/>
        <c:majorUnit val="5"/>
      </c:valAx>
      <c:valAx>
        <c:axId val="76220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093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Bazaar (Local),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(All)'!$BR$7:$BR$107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(All)'!$BR$7:$BR$107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05968"/>
        <c:axId val="762204288"/>
      </c:scatterChart>
      <c:valAx>
        <c:axId val="762205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04288"/>
        <c:crosses val="autoZero"/>
        <c:crossBetween val="midCat"/>
        <c:majorUnit val="5"/>
      </c:valAx>
      <c:valAx>
        <c:axId val="7622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05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Imports,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(All)'!$BS$7:$BS$107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(All)'!$BS$7:$BS$107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02608"/>
        <c:axId val="762203168"/>
      </c:scatterChart>
      <c:valAx>
        <c:axId val="7622026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03168"/>
        <c:crosses val="autoZero"/>
        <c:crossBetween val="midCat"/>
        <c:majorUnit val="5"/>
      </c:valAx>
      <c:valAx>
        <c:axId val="76220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026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Exports,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(All)'!$BT$7:$BT$107</c:f>
              <c:numCache>
                <c:formatCode>0.0000</c:formatCode>
                <c:ptCount val="76"/>
                <c:pt idx="52">
                  <c:v>58.652173913043427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(All)'!$BT$7:$BT$107</c:f>
              <c:numCache>
                <c:formatCode>0.0000</c:formatCode>
                <c:ptCount val="76"/>
                <c:pt idx="52">
                  <c:v>58.652173913043427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99248"/>
        <c:axId val="762197568"/>
      </c:scatterChart>
      <c:valAx>
        <c:axId val="762199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97568"/>
        <c:crosses val="autoZero"/>
        <c:crossBetween val="midCat"/>
        <c:majorUnit val="5"/>
      </c:valAx>
      <c:valAx>
        <c:axId val="76219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99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Bazaar (Local),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(All)'!$BU$7:$BU$107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(All)'!$BU$7:$BU$107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95888"/>
        <c:axId val="762196448"/>
      </c:scatterChart>
      <c:valAx>
        <c:axId val="7621958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96448"/>
        <c:crosses val="autoZero"/>
        <c:crossBetween val="midCat"/>
        <c:majorUnit val="5"/>
      </c:valAx>
      <c:valAx>
        <c:axId val="76219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95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Mazandaran, Imports,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(All)'!$BV$7:$BV$107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(All)'!$BV$7:$BV$107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91968"/>
        <c:axId val="762192528"/>
      </c:scatterChart>
      <c:valAx>
        <c:axId val="762191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92528"/>
        <c:crosses val="autoZero"/>
        <c:crossBetween val="midCat"/>
        <c:majorUnit val="5"/>
      </c:valAx>
      <c:valAx>
        <c:axId val="76219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91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Exports,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(All)'!$BW$7:$BW$107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(All)'!$BW$7:$BW$107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91408"/>
        <c:axId val="762189728"/>
      </c:scatterChart>
      <c:valAx>
        <c:axId val="7621914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89728"/>
        <c:crosses val="autoZero"/>
        <c:crossBetween val="midCat"/>
        <c:majorUnit val="5"/>
      </c:valAx>
      <c:valAx>
        <c:axId val="76218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91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Bazaar (Local),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(All)'!$BX$7:$BX$107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(All)'!$BX$7:$BX$107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88048"/>
        <c:axId val="762186368"/>
      </c:scatterChart>
      <c:valAx>
        <c:axId val="7621880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86368"/>
        <c:crosses val="autoZero"/>
        <c:crossBetween val="midCat"/>
        <c:majorUnit val="5"/>
      </c:valAx>
      <c:valAx>
        <c:axId val="76218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880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Ghilan &amp; Tunekabun, Imports,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(All)'!$BY$7:$BY$107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(All)'!$BY$7:$BY$107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82448"/>
        <c:axId val="762183008"/>
      </c:scatterChart>
      <c:valAx>
        <c:axId val="762182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83008"/>
        <c:crosses val="autoZero"/>
        <c:crossBetween val="midCat"/>
        <c:majorUnit val="5"/>
      </c:valAx>
      <c:valAx>
        <c:axId val="76218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82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Imports,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(All)'!$Q$7:$Q$107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(All)'!$Q$7:$Q$107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20624"/>
        <c:axId val="356743024"/>
      </c:scatterChart>
      <c:valAx>
        <c:axId val="3567206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43024"/>
        <c:crosses val="autoZero"/>
        <c:crossBetween val="midCat"/>
        <c:majorUnit val="5"/>
      </c:valAx>
      <c:valAx>
        <c:axId val="35674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206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Exports,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(All)'!$BZ$7:$BZ$107</c:f>
              <c:numCache>
                <c:formatCode>0.0000</c:formatCode>
                <c:ptCount val="76"/>
                <c:pt idx="56">
                  <c:v>98.3934147033778</c:v>
                </c:pt>
                <c:pt idx="57">
                  <c:v>96.327332242225836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(All)'!$BZ$7:$BZ$107</c:f>
              <c:numCache>
                <c:formatCode>0.0000</c:formatCode>
                <c:ptCount val="76"/>
                <c:pt idx="56">
                  <c:v>98.3934147033778</c:v>
                </c:pt>
                <c:pt idx="57">
                  <c:v>96.327332242225836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77408"/>
        <c:axId val="762177968"/>
      </c:scatterChart>
      <c:valAx>
        <c:axId val="7621774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77968"/>
        <c:crosses val="autoZero"/>
        <c:crossBetween val="midCat"/>
        <c:majorUnit val="5"/>
      </c:valAx>
      <c:valAx>
        <c:axId val="76217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77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Bazaar (Local),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(All)'!$CA$7:$CA$107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(All)'!$CA$7:$CA$107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74048"/>
        <c:axId val="762174608"/>
      </c:scatterChart>
      <c:valAx>
        <c:axId val="7621740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74608"/>
        <c:crosses val="autoZero"/>
        <c:crossBetween val="midCat"/>
        <c:majorUnit val="5"/>
      </c:valAx>
      <c:valAx>
        <c:axId val="76217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740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Bender Gez &amp; Astarabad, Imports,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(All)'!$CB$7:$CB$107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(All)'!$CB$7:$CB$107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70688"/>
        <c:axId val="762171248"/>
      </c:scatterChart>
      <c:valAx>
        <c:axId val="7621706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71248"/>
        <c:crosses val="autoZero"/>
        <c:crossBetween val="midCat"/>
        <c:majorUnit val="5"/>
      </c:valAx>
      <c:valAx>
        <c:axId val="76217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706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Exports,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(All)'!$CC$7:$CC$107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(All)'!$CC$7:$CC$107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67328"/>
        <c:axId val="762167888"/>
      </c:scatterChart>
      <c:valAx>
        <c:axId val="7621673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67888"/>
        <c:crosses val="autoZero"/>
        <c:crossBetween val="midCat"/>
        <c:majorUnit val="5"/>
      </c:valAx>
      <c:valAx>
        <c:axId val="76216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673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Bazaar (Local),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(All)'!$CD$7:$CD$107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(All)'!$CD$7:$CD$107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63968"/>
        <c:axId val="762164528"/>
      </c:scatterChart>
      <c:valAx>
        <c:axId val="762163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64528"/>
        <c:crosses val="autoZero"/>
        <c:crossBetween val="midCat"/>
        <c:majorUnit val="5"/>
      </c:valAx>
      <c:valAx>
        <c:axId val="76216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63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Astara (Imports),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(All)'!$CE$7:$CE$107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(All)'!$CE$7:$CE$107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60608"/>
        <c:axId val="762161168"/>
      </c:scatterChart>
      <c:valAx>
        <c:axId val="7621606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61168"/>
        <c:crosses val="autoZero"/>
        <c:crossBetween val="midCat"/>
        <c:majorUnit val="5"/>
      </c:valAx>
      <c:valAx>
        <c:axId val="76216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606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 (Exports),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(All)'!$CF$7:$CF$107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(All)'!$CF$7:$CF$107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57248"/>
        <c:axId val="762157808"/>
      </c:scatterChart>
      <c:valAx>
        <c:axId val="762157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57808"/>
        <c:crosses val="autoZero"/>
        <c:crossBetween val="midCat"/>
        <c:majorUnit val="5"/>
      </c:valAx>
      <c:valAx>
        <c:axId val="76215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57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Astara, Bazaar (Local),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(All)'!$CG$7:$CG$107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(All)'!$CG$7:$CG$107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53888"/>
        <c:axId val="762154448"/>
      </c:scatterChart>
      <c:valAx>
        <c:axId val="7621538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54448"/>
        <c:crosses val="autoZero"/>
        <c:crossBetween val="midCat"/>
        <c:majorUnit val="5"/>
      </c:valAx>
      <c:valAx>
        <c:axId val="76215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53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Sultanabad, Imports,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(All)'!$CH$7:$CH$107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(All)'!$CH$7:$CH$107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50528"/>
        <c:axId val="762151088"/>
      </c:scatterChart>
      <c:valAx>
        <c:axId val="7621505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51088"/>
        <c:crosses val="autoZero"/>
        <c:crossBetween val="midCat"/>
        <c:majorUnit val="5"/>
      </c:valAx>
      <c:valAx>
        <c:axId val="76215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505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Exports,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(All)'!$CI$7:$CI$107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(All)'!$CI$7:$CI$107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47728"/>
        <c:axId val="762148288"/>
      </c:scatterChart>
      <c:valAx>
        <c:axId val="7621477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48288"/>
        <c:crosses val="autoZero"/>
        <c:crossBetween val="midCat"/>
        <c:majorUnit val="5"/>
      </c:valAx>
      <c:valAx>
        <c:axId val="76214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47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Exports,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(All)'!$R$7:$R$107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(All)'!$R$7:$R$107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31824"/>
        <c:axId val="356713904"/>
      </c:scatterChart>
      <c:valAx>
        <c:axId val="3567318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13904"/>
        <c:crosses val="autoZero"/>
        <c:crossBetween val="midCat"/>
        <c:majorUnit val="5"/>
      </c:valAx>
      <c:valAx>
        <c:axId val="35671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318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Bazaar (Local),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(All)'!$CJ$7:$CJ$107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(All)'!$CJ$7:$CJ$107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44368"/>
        <c:axId val="762144928"/>
      </c:scatterChart>
      <c:valAx>
        <c:axId val="762144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44928"/>
        <c:crosses val="autoZero"/>
        <c:crossBetween val="midCat"/>
        <c:majorUnit val="5"/>
      </c:valAx>
      <c:valAx>
        <c:axId val="76214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44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Bahrain, Imports,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(All)'!$CK$7:$CK$107</c:f>
              <c:numCache>
                <c:formatCode>0.0000</c:formatCode>
                <c:ptCount val="76"/>
                <c:pt idx="58">
                  <c:v>89.600000000000009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(All)'!$CK$7:$CK$107</c:f>
              <c:numCache>
                <c:formatCode>0.0000</c:formatCode>
                <c:ptCount val="76"/>
                <c:pt idx="58">
                  <c:v>89.600000000000009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41008"/>
        <c:axId val="762141568"/>
      </c:scatterChart>
      <c:valAx>
        <c:axId val="762141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41568"/>
        <c:crosses val="autoZero"/>
        <c:crossBetween val="midCat"/>
        <c:majorUnit val="5"/>
      </c:valAx>
      <c:valAx>
        <c:axId val="76214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41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Exports,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(All)'!$CL$7:$CL$107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(All)'!$CL$7:$CL$107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38768"/>
        <c:axId val="762139328"/>
      </c:scatterChart>
      <c:valAx>
        <c:axId val="7621387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39328"/>
        <c:crosses val="autoZero"/>
        <c:crossBetween val="midCat"/>
        <c:majorUnit val="5"/>
      </c:valAx>
      <c:valAx>
        <c:axId val="76213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387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Bazaar (Local),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(All)'!$CM$7:$CM$107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(All)'!$CM$7:$CM$107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35408"/>
        <c:axId val="762133728"/>
      </c:scatterChart>
      <c:valAx>
        <c:axId val="7621354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33728"/>
        <c:crosses val="autoZero"/>
        <c:crossBetween val="midCat"/>
        <c:majorUnit val="5"/>
      </c:valAx>
      <c:valAx>
        <c:axId val="76213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35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Muscat, Imports,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(All)'!$CN$7:$CN$107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(All)'!$CN$7:$CN$107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32048"/>
        <c:axId val="762132608"/>
      </c:scatterChart>
      <c:valAx>
        <c:axId val="7621320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32608"/>
        <c:crosses val="autoZero"/>
        <c:crossBetween val="midCat"/>
        <c:majorUnit val="5"/>
      </c:valAx>
      <c:valAx>
        <c:axId val="76213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320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Exports,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(All)'!$CO$7:$CO$107</c:f>
              <c:numCache>
                <c:formatCode>0.0000</c:formatCode>
                <c:ptCount val="76"/>
                <c:pt idx="25">
                  <c:v>45.874401330591034</c:v>
                </c:pt>
                <c:pt idx="27">
                  <c:v>55.263530174352113</c:v>
                </c:pt>
                <c:pt idx="28">
                  <c:v>70.660021097119142</c:v>
                </c:pt>
                <c:pt idx="29">
                  <c:v>68.89562104594259</c:v>
                </c:pt>
                <c:pt idx="30">
                  <c:v>122.91987023196832</c:v>
                </c:pt>
                <c:pt idx="31">
                  <c:v>69.483754396334788</c:v>
                </c:pt>
                <c:pt idx="32">
                  <c:v>90.219655950162377</c:v>
                </c:pt>
                <c:pt idx="33">
                  <c:v>60.419032440290017</c:v>
                </c:pt>
                <c:pt idx="34">
                  <c:v>68.055430545382308</c:v>
                </c:pt>
                <c:pt idx="35">
                  <c:v>32.641400946766701</c:v>
                </c:pt>
                <c:pt idx="36">
                  <c:v>97.596528545081611</c:v>
                </c:pt>
                <c:pt idx="37">
                  <c:v>100.12270131676613</c:v>
                </c:pt>
                <c:pt idx="38">
                  <c:v>92.219309341495858</c:v>
                </c:pt>
                <c:pt idx="39">
                  <c:v>8.6077516782400227</c:v>
                </c:pt>
                <c:pt idx="40">
                  <c:v>64.190554242805035</c:v>
                </c:pt>
                <c:pt idx="41">
                  <c:v>60.577735090395862</c:v>
                </c:pt>
                <c:pt idx="42">
                  <c:v>53.436115835633515</c:v>
                </c:pt>
                <c:pt idx="43">
                  <c:v>48.260542352182213</c:v>
                </c:pt>
                <c:pt idx="44">
                  <c:v>39.212026737348275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(All)'!$CO$7:$CO$107</c:f>
              <c:numCache>
                <c:formatCode>0.0000</c:formatCode>
                <c:ptCount val="76"/>
                <c:pt idx="25">
                  <c:v>45.874401330591034</c:v>
                </c:pt>
                <c:pt idx="27">
                  <c:v>55.263530174352113</c:v>
                </c:pt>
                <c:pt idx="28">
                  <c:v>70.660021097119142</c:v>
                </c:pt>
                <c:pt idx="29">
                  <c:v>68.89562104594259</c:v>
                </c:pt>
                <c:pt idx="30">
                  <c:v>122.91987023196832</c:v>
                </c:pt>
                <c:pt idx="31">
                  <c:v>69.483754396334788</c:v>
                </c:pt>
                <c:pt idx="32">
                  <c:v>90.219655950162377</c:v>
                </c:pt>
                <c:pt idx="33">
                  <c:v>60.419032440290017</c:v>
                </c:pt>
                <c:pt idx="34">
                  <c:v>68.055430545382308</c:v>
                </c:pt>
                <c:pt idx="35">
                  <c:v>32.641400946766701</c:v>
                </c:pt>
                <c:pt idx="36">
                  <c:v>97.596528545081611</c:v>
                </c:pt>
                <c:pt idx="37">
                  <c:v>100.12270131676613</c:v>
                </c:pt>
                <c:pt idx="38">
                  <c:v>92.219309341495858</c:v>
                </c:pt>
                <c:pt idx="39">
                  <c:v>8.6077516782400227</c:v>
                </c:pt>
                <c:pt idx="40">
                  <c:v>64.190554242805035</c:v>
                </c:pt>
                <c:pt idx="41">
                  <c:v>60.577735090395862</c:v>
                </c:pt>
                <c:pt idx="42">
                  <c:v>53.436115835633515</c:v>
                </c:pt>
                <c:pt idx="43">
                  <c:v>48.260542352182213</c:v>
                </c:pt>
                <c:pt idx="44">
                  <c:v>39.212026737348275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28688"/>
        <c:axId val="762127008"/>
      </c:scatterChart>
      <c:valAx>
        <c:axId val="7621286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27008"/>
        <c:crosses val="autoZero"/>
        <c:crossBetween val="midCat"/>
        <c:majorUnit val="5"/>
      </c:valAx>
      <c:valAx>
        <c:axId val="76212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286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Bazaar (Local),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(All)'!$CP$7:$CP$107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(All)'!$CP$7:$CP$107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25328"/>
        <c:axId val="762125888"/>
      </c:scatterChart>
      <c:valAx>
        <c:axId val="7621253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25888"/>
        <c:crosses val="autoZero"/>
        <c:crossBetween val="midCat"/>
        <c:majorUnit val="5"/>
      </c:valAx>
      <c:valAx>
        <c:axId val="76212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253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Mohammerah, Imports,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(All)'!$CQ$7:$CQ$107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(All)'!$CQ$7:$CQ$107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21968"/>
        <c:axId val="762120288"/>
      </c:scatterChart>
      <c:valAx>
        <c:axId val="762121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20288"/>
        <c:crosses val="autoZero"/>
        <c:crossBetween val="midCat"/>
        <c:majorUnit val="5"/>
      </c:valAx>
      <c:valAx>
        <c:axId val="76212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21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Exports,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(All)'!$CR$7:$CR$107</c:f>
              <c:numCache>
                <c:formatCode>0.0000</c:formatCode>
                <c:ptCount val="76"/>
                <c:pt idx="42">
                  <c:v>60.876780108390349</c:v>
                </c:pt>
                <c:pt idx="44">
                  <c:v>47.784967645594826</c:v>
                </c:pt>
                <c:pt idx="45">
                  <c:v>16.525634644101544</c:v>
                </c:pt>
                <c:pt idx="46">
                  <c:v>55.136501129532483</c:v>
                </c:pt>
                <c:pt idx="47">
                  <c:v>46.192135390741669</c:v>
                </c:pt>
                <c:pt idx="48">
                  <c:v>46.192135390741662</c:v>
                </c:pt>
                <c:pt idx="50">
                  <c:v>47.784967645594826</c:v>
                </c:pt>
                <c:pt idx="51">
                  <c:v>69.573462981017542</c:v>
                </c:pt>
                <c:pt idx="52">
                  <c:v>63.757083664139806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(All)'!$CR$7:$CR$107</c:f>
              <c:numCache>
                <c:formatCode>0.0000</c:formatCode>
                <c:ptCount val="76"/>
                <c:pt idx="42">
                  <c:v>60.876780108390349</c:v>
                </c:pt>
                <c:pt idx="44">
                  <c:v>47.784967645594826</c:v>
                </c:pt>
                <c:pt idx="45">
                  <c:v>16.525634644101544</c:v>
                </c:pt>
                <c:pt idx="46">
                  <c:v>55.136501129532483</c:v>
                </c:pt>
                <c:pt idx="47">
                  <c:v>46.192135390741669</c:v>
                </c:pt>
                <c:pt idx="48">
                  <c:v>46.192135390741662</c:v>
                </c:pt>
                <c:pt idx="50">
                  <c:v>47.784967645594826</c:v>
                </c:pt>
                <c:pt idx="51">
                  <c:v>69.573462981017542</c:v>
                </c:pt>
                <c:pt idx="52">
                  <c:v>63.757083664139806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18048"/>
        <c:axId val="762116368"/>
      </c:scatterChart>
      <c:valAx>
        <c:axId val="7621180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16368"/>
        <c:crosses val="autoZero"/>
        <c:crossBetween val="midCat"/>
        <c:majorUnit val="5"/>
      </c:valAx>
      <c:valAx>
        <c:axId val="76211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180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Bazaar (Local),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(All)'!$CS$7:$CS$107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(All)'!$CS$7:$CS$107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19168"/>
        <c:axId val="762074368"/>
      </c:scatterChart>
      <c:valAx>
        <c:axId val="762119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74368"/>
        <c:crosses val="autoZero"/>
        <c:crossBetween val="midCat"/>
        <c:majorUnit val="5"/>
      </c:valAx>
      <c:valAx>
        <c:axId val="76207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119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Bazaar (Local),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(All)'!$S$7:$S$107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(All)'!$S$7:$S$107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39104"/>
        <c:axId val="356723984"/>
      </c:scatterChart>
      <c:valAx>
        <c:axId val="3567391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23984"/>
        <c:crosses val="autoZero"/>
        <c:crossBetween val="midCat"/>
        <c:majorUnit val="5"/>
      </c:valAx>
      <c:valAx>
        <c:axId val="35672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7391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Lingah, Imports,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(All)'!$CT$7:$CT$107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(All)'!$CT$7:$CT$107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59808"/>
        <c:axId val="762059248"/>
      </c:scatterChart>
      <c:valAx>
        <c:axId val="762059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59248"/>
        <c:crosses val="autoZero"/>
        <c:crossBetween val="midCat"/>
        <c:majorUnit val="5"/>
      </c:valAx>
      <c:valAx>
        <c:axId val="76205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59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Exports,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(All)'!$CU$7:$CU$107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(All)'!$CU$7:$CU$107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50848"/>
        <c:axId val="762041328"/>
      </c:scatterChart>
      <c:valAx>
        <c:axId val="7620508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41328"/>
        <c:crosses val="autoZero"/>
        <c:crossBetween val="midCat"/>
        <c:majorUnit val="5"/>
      </c:valAx>
      <c:valAx>
        <c:axId val="76204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508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Bazaar (Local),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(All)'!$CV$7:$CV$107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(All)'!$CV$7:$CV$107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65968"/>
        <c:axId val="762089488"/>
      </c:scatterChart>
      <c:valAx>
        <c:axId val="762065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89488"/>
        <c:crosses val="autoZero"/>
        <c:crossBetween val="midCat"/>
        <c:majorUnit val="5"/>
      </c:valAx>
      <c:valAx>
        <c:axId val="76208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65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Shiraz, Imports,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(All)'!$CW$7:$CW$107</c:f>
              <c:numCache>
                <c:formatCode>General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(All)'!$CW$7:$CW$107</c:f>
              <c:numCache>
                <c:formatCode>General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071008"/>
        <c:axId val="762037968"/>
      </c:scatterChart>
      <c:valAx>
        <c:axId val="762071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37968"/>
        <c:crosses val="autoZero"/>
        <c:crossBetween val="midCat"/>
        <c:majorUnit val="5"/>
      </c:valAx>
      <c:valAx>
        <c:axId val="76203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071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Exports,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(All)'!$CX$7:$CX$107</c:f>
              <c:numCache>
                <c:formatCode>General</c:formatCode>
                <c:ptCount val="76"/>
                <c:pt idx="37">
                  <c:v>41.776129445389266</c:v>
                </c:pt>
                <c:pt idx="38">
                  <c:v>41.593435001750528</c:v>
                </c:pt>
                <c:pt idx="39">
                  <c:v>69.381153040345183</c:v>
                </c:pt>
                <c:pt idx="40">
                  <c:v>64.192345937389504</c:v>
                </c:pt>
                <c:pt idx="41">
                  <c:v>38.937735275282769</c:v>
                </c:pt>
                <c:pt idx="42">
                  <c:v>38.227108720243343</c:v>
                </c:pt>
                <c:pt idx="43">
                  <c:v>53.518033580812002</c:v>
                </c:pt>
                <c:pt idx="44">
                  <c:v>62.809425228793422</c:v>
                </c:pt>
                <c:pt idx="45">
                  <c:v>61.19895876004091</c:v>
                </c:pt>
                <c:pt idx="46">
                  <c:v>47.746419598761904</c:v>
                </c:pt>
                <c:pt idx="47">
                  <c:v>45.225269282122582</c:v>
                </c:pt>
                <c:pt idx="48">
                  <c:v>49.376515177207267</c:v>
                </c:pt>
                <c:pt idx="49">
                  <c:v>53.237936690037358</c:v>
                </c:pt>
                <c:pt idx="50">
                  <c:v>67.475203838484489</c:v>
                </c:pt>
                <c:pt idx="51">
                  <c:v>58.441708904054735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(All)'!$CX$7:$CX$107</c:f>
              <c:numCache>
                <c:formatCode>General</c:formatCode>
                <c:ptCount val="76"/>
                <c:pt idx="37">
                  <c:v>41.776129445389266</c:v>
                </c:pt>
                <c:pt idx="38">
                  <c:v>41.593435001750528</c:v>
                </c:pt>
                <c:pt idx="39">
                  <c:v>69.381153040345183</c:v>
                </c:pt>
                <c:pt idx="40">
                  <c:v>64.192345937389504</c:v>
                </c:pt>
                <c:pt idx="41">
                  <c:v>38.937735275282769</c:v>
                </c:pt>
                <c:pt idx="42">
                  <c:v>38.227108720243343</c:v>
                </c:pt>
                <c:pt idx="43">
                  <c:v>53.518033580812002</c:v>
                </c:pt>
                <c:pt idx="44">
                  <c:v>62.809425228793422</c:v>
                </c:pt>
                <c:pt idx="45">
                  <c:v>61.19895876004091</c:v>
                </c:pt>
                <c:pt idx="46">
                  <c:v>47.746419598761904</c:v>
                </c:pt>
                <c:pt idx="47">
                  <c:v>45.225269282122582</c:v>
                </c:pt>
                <c:pt idx="48">
                  <c:v>49.376515177207267</c:v>
                </c:pt>
                <c:pt idx="49">
                  <c:v>53.237936690037358</c:v>
                </c:pt>
                <c:pt idx="50">
                  <c:v>67.475203838484489</c:v>
                </c:pt>
                <c:pt idx="51">
                  <c:v>58.441708904054735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97248"/>
        <c:axId val="704664896"/>
      </c:scatterChart>
      <c:valAx>
        <c:axId val="762297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664896"/>
        <c:crosses val="autoZero"/>
        <c:crossBetween val="midCat"/>
        <c:majorUnit val="5"/>
      </c:valAx>
      <c:valAx>
        <c:axId val="70466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2297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Bazaar (Local), in pound/cwts.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(All)'!$CY$7:$CY$107</c:f>
              <c:numCache>
                <c:formatCode>General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(All)'!$CY$7:$CY$107</c:f>
              <c:numCache>
                <c:formatCode>General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29296"/>
        <c:axId val="704734336"/>
      </c:scatterChart>
      <c:valAx>
        <c:axId val="7047292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34336"/>
        <c:crosses val="autoZero"/>
        <c:crossBetween val="midCat"/>
        <c:majorUnit val="5"/>
      </c:valAx>
      <c:valAx>
        <c:axId val="70473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292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Imports,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(All)'!$N$7:$N$107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(All)'!$N$7:$N$107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27056"/>
        <c:axId val="704726496"/>
      </c:scatterChart>
      <c:valAx>
        <c:axId val="7047270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26496"/>
        <c:crosses val="autoZero"/>
        <c:crossBetween val="midCat"/>
        <c:majorUnit val="5"/>
      </c:valAx>
      <c:valAx>
        <c:axId val="70472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270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Bazaar (Local),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65260807916258E-2"/>
          <c:y val="1.8024038777882567E-2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(All)'!$P$7:$P$107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(All)'!$P$7:$P$107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32656"/>
        <c:axId val="704732096"/>
      </c:scatterChart>
      <c:valAx>
        <c:axId val="7047326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32096"/>
        <c:crosses val="autoZero"/>
        <c:crossBetween val="midCat"/>
        <c:majorUnit val="5"/>
      </c:valAx>
      <c:valAx>
        <c:axId val="70473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326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Exports, in pound/cwts.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(All)'!$O$7:$O$107</c:f>
              <c:numCache>
                <c:formatCode>0.0000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(All)'!$O$7:$O$107</c:f>
              <c:numCache>
                <c:formatCode>0.0000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30976"/>
        <c:axId val="704730416"/>
      </c:scatterChart>
      <c:valAx>
        <c:axId val="7047309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30416"/>
        <c:crosses val="autoZero"/>
        <c:crossBetween val="midCat"/>
        <c:majorUnit val="5"/>
      </c:valAx>
      <c:valAx>
        <c:axId val="70473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309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Bengal, Imports, in pound/cwts.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(All)'!$CZ$7:$CZ$107</c:f>
              <c:numCache>
                <c:formatCode>General</c:formatCode>
                <c:ptCount val="7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'Opium (All)'!$A$7:$A$107</c:f>
              <c:numCache>
                <c:formatCode>General</c:formatCode>
                <c:ptCount val="7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</c:numCache>
            </c:numRef>
          </c:xVal>
          <c:yVal>
            <c:numRef>
              <c:f>'Opium (All)'!$CZ$7:$CZ$107</c:f>
              <c:numCache>
                <c:formatCode>General</c:formatCode>
                <c:ptCount val="7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20336"/>
        <c:axId val="704719776"/>
      </c:scatterChart>
      <c:valAx>
        <c:axId val="7047203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19776"/>
        <c:crosses val="autoZero"/>
        <c:crossBetween val="midCat"/>
        <c:majorUnit val="5"/>
      </c:valAx>
      <c:valAx>
        <c:axId val="70471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47203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103" Type="http://schemas.openxmlformats.org/officeDocument/2006/relationships/chart" Target="../charts/chart103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</xdr:row>
      <xdr:rowOff>38100</xdr:rowOff>
    </xdr:from>
    <xdr:to>
      <xdr:col>22</xdr:col>
      <xdr:colOff>571500</xdr:colOff>
      <xdr:row>27</xdr:row>
      <xdr:rowOff>139700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1</xdr:row>
      <xdr:rowOff>38100</xdr:rowOff>
    </xdr:from>
    <xdr:to>
      <xdr:col>11</xdr:col>
      <xdr:colOff>152400</xdr:colOff>
      <xdr:row>27</xdr:row>
      <xdr:rowOff>139700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25400</xdr:colOff>
      <xdr:row>30</xdr:row>
      <xdr:rowOff>50800</xdr:rowOff>
    </xdr:from>
    <xdr:to>
      <xdr:col>22</xdr:col>
      <xdr:colOff>558800</xdr:colOff>
      <xdr:row>56</xdr:row>
      <xdr:rowOff>165100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533400</xdr:colOff>
      <xdr:row>30</xdr:row>
      <xdr:rowOff>76200</xdr:rowOff>
    </xdr:from>
    <xdr:to>
      <xdr:col>34</xdr:col>
      <xdr:colOff>457200</xdr:colOff>
      <xdr:row>57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25400</xdr:colOff>
      <xdr:row>59</xdr:row>
      <xdr:rowOff>50800</xdr:rowOff>
    </xdr:from>
    <xdr:to>
      <xdr:col>22</xdr:col>
      <xdr:colOff>558800</xdr:colOff>
      <xdr:row>85</xdr:row>
      <xdr:rowOff>152400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558800</xdr:colOff>
      <xdr:row>59</xdr:row>
      <xdr:rowOff>101600</xdr:rowOff>
    </xdr:from>
    <xdr:to>
      <xdr:col>34</xdr:col>
      <xdr:colOff>482600</xdr:colOff>
      <xdr:row>86</xdr:row>
      <xdr:rowOff>25400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149</xdr:row>
      <xdr:rowOff>50800</xdr:rowOff>
    </xdr:from>
    <xdr:to>
      <xdr:col>11</xdr:col>
      <xdr:colOff>95250</xdr:colOff>
      <xdr:row>175</xdr:row>
      <xdr:rowOff>127000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552450</xdr:colOff>
      <xdr:row>149</xdr:row>
      <xdr:rowOff>50800</xdr:rowOff>
    </xdr:from>
    <xdr:to>
      <xdr:col>22</xdr:col>
      <xdr:colOff>476250</xdr:colOff>
      <xdr:row>175</xdr:row>
      <xdr:rowOff>127000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552450</xdr:colOff>
      <xdr:row>149</xdr:row>
      <xdr:rowOff>76200</xdr:rowOff>
    </xdr:from>
    <xdr:to>
      <xdr:col>34</xdr:col>
      <xdr:colOff>476250</xdr:colOff>
      <xdr:row>176</xdr:row>
      <xdr:rowOff>25400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203200</xdr:colOff>
      <xdr:row>30</xdr:row>
      <xdr:rowOff>50800</xdr:rowOff>
    </xdr:from>
    <xdr:to>
      <xdr:col>11</xdr:col>
      <xdr:colOff>127000</xdr:colOff>
      <xdr:row>56</xdr:row>
      <xdr:rowOff>152400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59</xdr:row>
      <xdr:rowOff>50800</xdr:rowOff>
    </xdr:from>
    <xdr:to>
      <xdr:col>11</xdr:col>
      <xdr:colOff>152400</xdr:colOff>
      <xdr:row>85</xdr:row>
      <xdr:rowOff>152400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88</xdr:row>
      <xdr:rowOff>76200</xdr:rowOff>
    </xdr:from>
    <xdr:to>
      <xdr:col>11</xdr:col>
      <xdr:colOff>152400</xdr:colOff>
      <xdr:row>115</xdr:row>
      <xdr:rowOff>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50800</xdr:colOff>
      <xdr:row>88</xdr:row>
      <xdr:rowOff>50800</xdr:rowOff>
    </xdr:from>
    <xdr:to>
      <xdr:col>22</xdr:col>
      <xdr:colOff>584200</xdr:colOff>
      <xdr:row>114</xdr:row>
      <xdr:rowOff>152400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25400</xdr:colOff>
      <xdr:row>88</xdr:row>
      <xdr:rowOff>76200</xdr:rowOff>
    </xdr:from>
    <xdr:to>
      <xdr:col>34</xdr:col>
      <xdr:colOff>558800</xdr:colOff>
      <xdr:row>115</xdr:row>
      <xdr:rowOff>0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196850</xdr:colOff>
      <xdr:row>178</xdr:row>
      <xdr:rowOff>76200</xdr:rowOff>
    </xdr:from>
    <xdr:to>
      <xdr:col>11</xdr:col>
      <xdr:colOff>120650</xdr:colOff>
      <xdr:row>205</xdr:row>
      <xdr:rowOff>25400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577850</xdr:colOff>
      <xdr:row>178</xdr:row>
      <xdr:rowOff>101600</xdr:rowOff>
    </xdr:from>
    <xdr:to>
      <xdr:col>22</xdr:col>
      <xdr:colOff>501650</xdr:colOff>
      <xdr:row>205</xdr:row>
      <xdr:rowOff>50800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577850</xdr:colOff>
      <xdr:row>178</xdr:row>
      <xdr:rowOff>101600</xdr:rowOff>
    </xdr:from>
    <xdr:to>
      <xdr:col>34</xdr:col>
      <xdr:colOff>501650</xdr:colOff>
      <xdr:row>205</xdr:row>
      <xdr:rowOff>50800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222250</xdr:colOff>
      <xdr:row>207</xdr:row>
      <xdr:rowOff>127000</xdr:rowOff>
    </xdr:from>
    <xdr:to>
      <xdr:col>11</xdr:col>
      <xdr:colOff>146050</xdr:colOff>
      <xdr:row>234</xdr:row>
      <xdr:rowOff>76200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603250</xdr:colOff>
      <xdr:row>208</xdr:row>
      <xdr:rowOff>0</xdr:rowOff>
    </xdr:from>
    <xdr:to>
      <xdr:col>34</xdr:col>
      <xdr:colOff>527050</xdr:colOff>
      <xdr:row>234</xdr:row>
      <xdr:rowOff>76200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603250</xdr:colOff>
      <xdr:row>207</xdr:row>
      <xdr:rowOff>127000</xdr:rowOff>
    </xdr:from>
    <xdr:to>
      <xdr:col>22</xdr:col>
      <xdr:colOff>527050</xdr:colOff>
      <xdr:row>234</xdr:row>
      <xdr:rowOff>76200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222250</xdr:colOff>
      <xdr:row>236</xdr:row>
      <xdr:rowOff>101600</xdr:rowOff>
    </xdr:from>
    <xdr:to>
      <xdr:col>11</xdr:col>
      <xdr:colOff>146050</xdr:colOff>
      <xdr:row>263</xdr:row>
      <xdr:rowOff>50800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222250</xdr:colOff>
      <xdr:row>265</xdr:row>
      <xdr:rowOff>101600</xdr:rowOff>
    </xdr:from>
    <xdr:to>
      <xdr:col>11</xdr:col>
      <xdr:colOff>146050</xdr:colOff>
      <xdr:row>292</xdr:row>
      <xdr:rowOff>50800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11</xdr:col>
      <xdr:colOff>501650</xdr:colOff>
      <xdr:row>236</xdr:row>
      <xdr:rowOff>76200</xdr:rowOff>
    </xdr:from>
    <xdr:to>
      <xdr:col>22</xdr:col>
      <xdr:colOff>425450</xdr:colOff>
      <xdr:row>263</xdr:row>
      <xdr:rowOff>25400</xdr:rowOff>
    </xdr:to>
    <xdr:graphicFrame macro="">
      <xdr:nvGraphicFramePr>
        <xdr:cNvPr id="55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23</xdr:col>
      <xdr:colOff>501650</xdr:colOff>
      <xdr:row>236</xdr:row>
      <xdr:rowOff>76200</xdr:rowOff>
    </xdr:from>
    <xdr:to>
      <xdr:col>34</xdr:col>
      <xdr:colOff>425450</xdr:colOff>
      <xdr:row>263</xdr:row>
      <xdr:rowOff>25400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501650</xdr:colOff>
      <xdr:row>265</xdr:row>
      <xdr:rowOff>76200</xdr:rowOff>
    </xdr:from>
    <xdr:to>
      <xdr:col>22</xdr:col>
      <xdr:colOff>425450</xdr:colOff>
      <xdr:row>292</xdr:row>
      <xdr:rowOff>25400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23</xdr:col>
      <xdr:colOff>501650</xdr:colOff>
      <xdr:row>265</xdr:row>
      <xdr:rowOff>76200</xdr:rowOff>
    </xdr:from>
    <xdr:to>
      <xdr:col>34</xdr:col>
      <xdr:colOff>425450</xdr:colOff>
      <xdr:row>292</xdr:row>
      <xdr:rowOff>25400</xdr:rowOff>
    </xdr:to>
    <xdr:graphicFrame macro="">
      <xdr:nvGraphicFramePr>
        <xdr:cNvPr id="5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558800</xdr:colOff>
      <xdr:row>294</xdr:row>
      <xdr:rowOff>76200</xdr:rowOff>
    </xdr:from>
    <xdr:to>
      <xdr:col>22</xdr:col>
      <xdr:colOff>482600</xdr:colOff>
      <xdr:row>321</xdr:row>
      <xdr:rowOff>25400</xdr:rowOff>
    </xdr:to>
    <xdr:graphicFrame macro="">
      <xdr:nvGraphicFramePr>
        <xdr:cNvPr id="60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234950</xdr:colOff>
      <xdr:row>294</xdr:row>
      <xdr:rowOff>76200</xdr:rowOff>
    </xdr:from>
    <xdr:to>
      <xdr:col>11</xdr:col>
      <xdr:colOff>158750</xdr:colOff>
      <xdr:row>321</xdr:row>
      <xdr:rowOff>25400</xdr:rowOff>
    </xdr:to>
    <xdr:graphicFrame macro="">
      <xdr:nvGraphicFramePr>
        <xdr:cNvPr id="67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23</xdr:col>
      <xdr:colOff>501650</xdr:colOff>
      <xdr:row>294</xdr:row>
      <xdr:rowOff>76200</xdr:rowOff>
    </xdr:from>
    <xdr:to>
      <xdr:col>34</xdr:col>
      <xdr:colOff>425450</xdr:colOff>
      <xdr:row>321</xdr:row>
      <xdr:rowOff>25400</xdr:rowOff>
    </xdr:to>
    <xdr:graphicFrame macro="">
      <xdr:nvGraphicFramePr>
        <xdr:cNvPr id="68" name="Chart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254000</xdr:colOff>
      <xdr:row>323</xdr:row>
      <xdr:rowOff>57150</xdr:rowOff>
    </xdr:from>
    <xdr:to>
      <xdr:col>11</xdr:col>
      <xdr:colOff>177800</xdr:colOff>
      <xdr:row>349</xdr:row>
      <xdr:rowOff>139700</xdr:rowOff>
    </xdr:to>
    <xdr:graphicFrame macro="">
      <xdr:nvGraphicFramePr>
        <xdr:cNvPr id="69" name="Chart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11</xdr:col>
      <xdr:colOff>558800</xdr:colOff>
      <xdr:row>323</xdr:row>
      <xdr:rowOff>76200</xdr:rowOff>
    </xdr:from>
    <xdr:to>
      <xdr:col>22</xdr:col>
      <xdr:colOff>482600</xdr:colOff>
      <xdr:row>350</xdr:row>
      <xdr:rowOff>6350</xdr:rowOff>
    </xdr:to>
    <xdr:graphicFrame macro="">
      <xdr:nvGraphicFramePr>
        <xdr:cNvPr id="70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23</xdr:col>
      <xdr:colOff>501650</xdr:colOff>
      <xdr:row>324</xdr:row>
      <xdr:rowOff>0</xdr:rowOff>
    </xdr:from>
    <xdr:to>
      <xdr:col>34</xdr:col>
      <xdr:colOff>425450</xdr:colOff>
      <xdr:row>350</xdr:row>
      <xdr:rowOff>82550</xdr:rowOff>
    </xdr:to>
    <xdr:graphicFrame macro="">
      <xdr:nvGraphicFramePr>
        <xdr:cNvPr id="71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292100</xdr:colOff>
      <xdr:row>352</xdr:row>
      <xdr:rowOff>38100</xdr:rowOff>
    </xdr:from>
    <xdr:to>
      <xdr:col>11</xdr:col>
      <xdr:colOff>215900</xdr:colOff>
      <xdr:row>378</xdr:row>
      <xdr:rowOff>120650</xdr:rowOff>
    </xdr:to>
    <xdr:graphicFrame macro="">
      <xdr:nvGraphicFramePr>
        <xdr:cNvPr id="72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11</xdr:col>
      <xdr:colOff>558800</xdr:colOff>
      <xdr:row>352</xdr:row>
      <xdr:rowOff>19050</xdr:rowOff>
    </xdr:from>
    <xdr:to>
      <xdr:col>22</xdr:col>
      <xdr:colOff>482600</xdr:colOff>
      <xdr:row>378</xdr:row>
      <xdr:rowOff>101600</xdr:rowOff>
    </xdr:to>
    <xdr:graphicFrame macro="">
      <xdr:nvGraphicFramePr>
        <xdr:cNvPr id="76" name="Chart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23</xdr:col>
      <xdr:colOff>539750</xdr:colOff>
      <xdr:row>352</xdr:row>
      <xdr:rowOff>38100</xdr:rowOff>
    </xdr:from>
    <xdr:to>
      <xdr:col>34</xdr:col>
      <xdr:colOff>463550</xdr:colOff>
      <xdr:row>378</xdr:row>
      <xdr:rowOff>120650</xdr:rowOff>
    </xdr:to>
    <xdr:graphicFrame macro="">
      <xdr:nvGraphicFramePr>
        <xdr:cNvPr id="77" name="Chart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311150</xdr:colOff>
      <xdr:row>380</xdr:row>
      <xdr:rowOff>114300</xdr:rowOff>
    </xdr:from>
    <xdr:to>
      <xdr:col>11</xdr:col>
      <xdr:colOff>234950</xdr:colOff>
      <xdr:row>407</xdr:row>
      <xdr:rowOff>63500</xdr:rowOff>
    </xdr:to>
    <xdr:graphicFrame macro="">
      <xdr:nvGraphicFramePr>
        <xdr:cNvPr id="78" name="Chart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11</xdr:col>
      <xdr:colOff>520700</xdr:colOff>
      <xdr:row>380</xdr:row>
      <xdr:rowOff>114300</xdr:rowOff>
    </xdr:from>
    <xdr:to>
      <xdr:col>22</xdr:col>
      <xdr:colOff>444500</xdr:colOff>
      <xdr:row>407</xdr:row>
      <xdr:rowOff>63500</xdr:rowOff>
    </xdr:to>
    <xdr:graphicFrame macro="">
      <xdr:nvGraphicFramePr>
        <xdr:cNvPr id="79" name="Chart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23</xdr:col>
      <xdr:colOff>520700</xdr:colOff>
      <xdr:row>380</xdr:row>
      <xdr:rowOff>133350</xdr:rowOff>
    </xdr:from>
    <xdr:to>
      <xdr:col>34</xdr:col>
      <xdr:colOff>444500</xdr:colOff>
      <xdr:row>407</xdr:row>
      <xdr:rowOff>82550</xdr:rowOff>
    </xdr:to>
    <xdr:graphicFrame macro="">
      <xdr:nvGraphicFramePr>
        <xdr:cNvPr id="80" name="Chart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311150</xdr:colOff>
      <xdr:row>409</xdr:row>
      <xdr:rowOff>76200</xdr:rowOff>
    </xdr:from>
    <xdr:to>
      <xdr:col>11</xdr:col>
      <xdr:colOff>234950</xdr:colOff>
      <xdr:row>436</xdr:row>
      <xdr:rowOff>6350</xdr:rowOff>
    </xdr:to>
    <xdr:graphicFrame macro="">
      <xdr:nvGraphicFramePr>
        <xdr:cNvPr id="81" name="Chart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11</xdr:col>
      <xdr:colOff>577850</xdr:colOff>
      <xdr:row>438</xdr:row>
      <xdr:rowOff>57150</xdr:rowOff>
    </xdr:from>
    <xdr:to>
      <xdr:col>22</xdr:col>
      <xdr:colOff>501650</xdr:colOff>
      <xdr:row>464</xdr:row>
      <xdr:rowOff>139700</xdr:rowOff>
    </xdr:to>
    <xdr:graphicFrame macro="">
      <xdr:nvGraphicFramePr>
        <xdr:cNvPr id="82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23</xdr:col>
      <xdr:colOff>520700</xdr:colOff>
      <xdr:row>467</xdr:row>
      <xdr:rowOff>0</xdr:rowOff>
    </xdr:from>
    <xdr:to>
      <xdr:col>34</xdr:col>
      <xdr:colOff>444500</xdr:colOff>
      <xdr:row>493</xdr:row>
      <xdr:rowOff>82550</xdr:rowOff>
    </xdr:to>
    <xdr:graphicFrame macro="">
      <xdr:nvGraphicFramePr>
        <xdr:cNvPr id="83" name="Chart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11</xdr:col>
      <xdr:colOff>539750</xdr:colOff>
      <xdr:row>409</xdr:row>
      <xdr:rowOff>76200</xdr:rowOff>
    </xdr:from>
    <xdr:to>
      <xdr:col>22</xdr:col>
      <xdr:colOff>463550</xdr:colOff>
      <xdr:row>436</xdr:row>
      <xdr:rowOff>6350</xdr:rowOff>
    </xdr:to>
    <xdr:graphicFrame macro="">
      <xdr:nvGraphicFramePr>
        <xdr:cNvPr id="84" name="Chart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23</xdr:col>
      <xdr:colOff>501650</xdr:colOff>
      <xdr:row>409</xdr:row>
      <xdr:rowOff>76200</xdr:rowOff>
    </xdr:from>
    <xdr:to>
      <xdr:col>34</xdr:col>
      <xdr:colOff>425450</xdr:colOff>
      <xdr:row>436</xdr:row>
      <xdr:rowOff>25400</xdr:rowOff>
    </xdr:to>
    <xdr:graphicFrame macro="">
      <xdr:nvGraphicFramePr>
        <xdr:cNvPr id="85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311150</xdr:colOff>
      <xdr:row>438</xdr:row>
      <xdr:rowOff>76200</xdr:rowOff>
    </xdr:from>
    <xdr:to>
      <xdr:col>11</xdr:col>
      <xdr:colOff>234950</xdr:colOff>
      <xdr:row>465</xdr:row>
      <xdr:rowOff>6350</xdr:rowOff>
    </xdr:to>
    <xdr:graphicFrame macro="">
      <xdr:nvGraphicFramePr>
        <xdr:cNvPr id="86" name="Chart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23</xdr:col>
      <xdr:colOff>501650</xdr:colOff>
      <xdr:row>438</xdr:row>
      <xdr:rowOff>76200</xdr:rowOff>
    </xdr:from>
    <xdr:to>
      <xdr:col>34</xdr:col>
      <xdr:colOff>425450</xdr:colOff>
      <xdr:row>465</xdr:row>
      <xdr:rowOff>6350</xdr:rowOff>
    </xdr:to>
    <xdr:graphicFrame macro="">
      <xdr:nvGraphicFramePr>
        <xdr:cNvPr id="87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11</xdr:col>
      <xdr:colOff>558800</xdr:colOff>
      <xdr:row>466</xdr:row>
      <xdr:rowOff>133350</xdr:rowOff>
    </xdr:from>
    <xdr:to>
      <xdr:col>22</xdr:col>
      <xdr:colOff>482600</xdr:colOff>
      <xdr:row>493</xdr:row>
      <xdr:rowOff>82550</xdr:rowOff>
    </xdr:to>
    <xdr:graphicFrame macro="">
      <xdr:nvGraphicFramePr>
        <xdr:cNvPr id="88" name="Chart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330200</xdr:colOff>
      <xdr:row>466</xdr:row>
      <xdr:rowOff>133350</xdr:rowOff>
    </xdr:from>
    <xdr:to>
      <xdr:col>11</xdr:col>
      <xdr:colOff>254000</xdr:colOff>
      <xdr:row>493</xdr:row>
      <xdr:rowOff>82550</xdr:rowOff>
    </xdr:to>
    <xdr:graphicFrame macro="">
      <xdr:nvGraphicFramePr>
        <xdr:cNvPr id="89" name="Chart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311150</xdr:colOff>
      <xdr:row>495</xdr:row>
      <xdr:rowOff>76200</xdr:rowOff>
    </xdr:from>
    <xdr:to>
      <xdr:col>11</xdr:col>
      <xdr:colOff>234950</xdr:colOff>
      <xdr:row>522</xdr:row>
      <xdr:rowOff>25400</xdr:rowOff>
    </xdr:to>
    <xdr:graphicFrame macro="">
      <xdr:nvGraphicFramePr>
        <xdr:cNvPr id="97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11</xdr:col>
      <xdr:colOff>577850</xdr:colOff>
      <xdr:row>495</xdr:row>
      <xdr:rowOff>76200</xdr:rowOff>
    </xdr:from>
    <xdr:to>
      <xdr:col>22</xdr:col>
      <xdr:colOff>501650</xdr:colOff>
      <xdr:row>522</xdr:row>
      <xdr:rowOff>25400</xdr:rowOff>
    </xdr:to>
    <xdr:graphicFrame macro="">
      <xdr:nvGraphicFramePr>
        <xdr:cNvPr id="98" name="Chart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23</xdr:col>
      <xdr:colOff>514350</xdr:colOff>
      <xdr:row>495</xdr:row>
      <xdr:rowOff>76200</xdr:rowOff>
    </xdr:from>
    <xdr:to>
      <xdr:col>34</xdr:col>
      <xdr:colOff>438150</xdr:colOff>
      <xdr:row>522</xdr:row>
      <xdr:rowOff>25400</xdr:rowOff>
    </xdr:to>
    <xdr:graphicFrame macro="">
      <xdr:nvGraphicFramePr>
        <xdr:cNvPr id="99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330200</xdr:colOff>
      <xdr:row>524</xdr:row>
      <xdr:rowOff>0</xdr:rowOff>
    </xdr:from>
    <xdr:to>
      <xdr:col>11</xdr:col>
      <xdr:colOff>254000</xdr:colOff>
      <xdr:row>550</xdr:row>
      <xdr:rowOff>82550</xdr:rowOff>
    </xdr:to>
    <xdr:graphicFrame macro="">
      <xdr:nvGraphicFramePr>
        <xdr:cNvPr id="100" name="Chart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11</xdr:col>
      <xdr:colOff>577850</xdr:colOff>
      <xdr:row>524</xdr:row>
      <xdr:rowOff>19050</xdr:rowOff>
    </xdr:from>
    <xdr:to>
      <xdr:col>22</xdr:col>
      <xdr:colOff>501650</xdr:colOff>
      <xdr:row>550</xdr:row>
      <xdr:rowOff>101600</xdr:rowOff>
    </xdr:to>
    <xdr:graphicFrame macro="">
      <xdr:nvGraphicFramePr>
        <xdr:cNvPr id="101" name="Chart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23</xdr:col>
      <xdr:colOff>539750</xdr:colOff>
      <xdr:row>524</xdr:row>
      <xdr:rowOff>19050</xdr:rowOff>
    </xdr:from>
    <xdr:to>
      <xdr:col>34</xdr:col>
      <xdr:colOff>463550</xdr:colOff>
      <xdr:row>550</xdr:row>
      <xdr:rowOff>101600</xdr:rowOff>
    </xdr:to>
    <xdr:graphicFrame macro="">
      <xdr:nvGraphicFramePr>
        <xdr:cNvPr id="102" name="Chart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298450</xdr:colOff>
      <xdr:row>553</xdr:row>
      <xdr:rowOff>0</xdr:rowOff>
    </xdr:from>
    <xdr:to>
      <xdr:col>11</xdr:col>
      <xdr:colOff>222250</xdr:colOff>
      <xdr:row>579</xdr:row>
      <xdr:rowOff>76200</xdr:rowOff>
    </xdr:to>
    <xdr:graphicFrame macro="">
      <xdr:nvGraphicFramePr>
        <xdr:cNvPr id="125" name="Chart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11</xdr:col>
      <xdr:colOff>577850</xdr:colOff>
      <xdr:row>553</xdr:row>
      <xdr:rowOff>50800</xdr:rowOff>
    </xdr:from>
    <xdr:to>
      <xdr:col>22</xdr:col>
      <xdr:colOff>501650</xdr:colOff>
      <xdr:row>579</xdr:row>
      <xdr:rowOff>127000</xdr:rowOff>
    </xdr:to>
    <xdr:graphicFrame macro="">
      <xdr:nvGraphicFramePr>
        <xdr:cNvPr id="12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23</xdr:col>
      <xdr:colOff>501650</xdr:colOff>
      <xdr:row>553</xdr:row>
      <xdr:rowOff>50800</xdr:rowOff>
    </xdr:from>
    <xdr:to>
      <xdr:col>34</xdr:col>
      <xdr:colOff>425450</xdr:colOff>
      <xdr:row>579</xdr:row>
      <xdr:rowOff>127000</xdr:rowOff>
    </xdr:to>
    <xdr:graphicFrame macro="">
      <xdr:nvGraphicFramePr>
        <xdr:cNvPr id="12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247650</xdr:colOff>
      <xdr:row>582</xdr:row>
      <xdr:rowOff>0</xdr:rowOff>
    </xdr:from>
    <xdr:to>
      <xdr:col>11</xdr:col>
      <xdr:colOff>171450</xdr:colOff>
      <xdr:row>608</xdr:row>
      <xdr:rowOff>76200</xdr:rowOff>
    </xdr:to>
    <xdr:graphicFrame macro="">
      <xdr:nvGraphicFramePr>
        <xdr:cNvPr id="128" name="Chart 1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11</xdr:col>
      <xdr:colOff>527050</xdr:colOff>
      <xdr:row>582</xdr:row>
      <xdr:rowOff>50800</xdr:rowOff>
    </xdr:from>
    <xdr:to>
      <xdr:col>22</xdr:col>
      <xdr:colOff>450850</xdr:colOff>
      <xdr:row>608</xdr:row>
      <xdr:rowOff>127000</xdr:rowOff>
    </xdr:to>
    <xdr:graphicFrame macro="">
      <xdr:nvGraphicFramePr>
        <xdr:cNvPr id="129" name="Chart 1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23</xdr:col>
      <xdr:colOff>450850</xdr:colOff>
      <xdr:row>582</xdr:row>
      <xdr:rowOff>50800</xdr:rowOff>
    </xdr:from>
    <xdr:to>
      <xdr:col>34</xdr:col>
      <xdr:colOff>374650</xdr:colOff>
      <xdr:row>608</xdr:row>
      <xdr:rowOff>127000</xdr:rowOff>
    </xdr:to>
    <xdr:graphicFrame macro="">
      <xdr:nvGraphicFramePr>
        <xdr:cNvPr id="130" name="Chart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247650</xdr:colOff>
      <xdr:row>610</xdr:row>
      <xdr:rowOff>127000</xdr:rowOff>
    </xdr:from>
    <xdr:to>
      <xdr:col>11</xdr:col>
      <xdr:colOff>171450</xdr:colOff>
      <xdr:row>637</xdr:row>
      <xdr:rowOff>76200</xdr:rowOff>
    </xdr:to>
    <xdr:graphicFrame macro="">
      <xdr:nvGraphicFramePr>
        <xdr:cNvPr id="131" name="Chart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11</xdr:col>
      <xdr:colOff>527050</xdr:colOff>
      <xdr:row>611</xdr:row>
      <xdr:rowOff>25400</xdr:rowOff>
    </xdr:from>
    <xdr:to>
      <xdr:col>22</xdr:col>
      <xdr:colOff>450850</xdr:colOff>
      <xdr:row>637</xdr:row>
      <xdr:rowOff>101600</xdr:rowOff>
    </xdr:to>
    <xdr:graphicFrame macro="">
      <xdr:nvGraphicFramePr>
        <xdr:cNvPr id="132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23</xdr:col>
      <xdr:colOff>450850</xdr:colOff>
      <xdr:row>611</xdr:row>
      <xdr:rowOff>25400</xdr:rowOff>
    </xdr:from>
    <xdr:to>
      <xdr:col>34</xdr:col>
      <xdr:colOff>374650</xdr:colOff>
      <xdr:row>637</xdr:row>
      <xdr:rowOff>101600</xdr:rowOff>
    </xdr:to>
    <xdr:graphicFrame macro="">
      <xdr:nvGraphicFramePr>
        <xdr:cNvPr id="133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196850</xdr:colOff>
      <xdr:row>639</xdr:row>
      <xdr:rowOff>127000</xdr:rowOff>
    </xdr:from>
    <xdr:to>
      <xdr:col>11</xdr:col>
      <xdr:colOff>120650</xdr:colOff>
      <xdr:row>666</xdr:row>
      <xdr:rowOff>76200</xdr:rowOff>
    </xdr:to>
    <xdr:graphicFrame macro="">
      <xdr:nvGraphicFramePr>
        <xdr:cNvPr id="134" name="Chart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11</xdr:col>
      <xdr:colOff>533400</xdr:colOff>
      <xdr:row>640</xdr:row>
      <xdr:rowOff>6350</xdr:rowOff>
    </xdr:from>
    <xdr:to>
      <xdr:col>22</xdr:col>
      <xdr:colOff>457200</xdr:colOff>
      <xdr:row>666</xdr:row>
      <xdr:rowOff>82550</xdr:rowOff>
    </xdr:to>
    <xdr:graphicFrame macro="">
      <xdr:nvGraphicFramePr>
        <xdr:cNvPr id="135" name="Chart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23</xdr:col>
      <xdr:colOff>400050</xdr:colOff>
      <xdr:row>640</xdr:row>
      <xdr:rowOff>25400</xdr:rowOff>
    </xdr:from>
    <xdr:to>
      <xdr:col>34</xdr:col>
      <xdr:colOff>323850</xdr:colOff>
      <xdr:row>666</xdr:row>
      <xdr:rowOff>101600</xdr:rowOff>
    </xdr:to>
    <xdr:graphicFrame macro="">
      <xdr:nvGraphicFramePr>
        <xdr:cNvPr id="136" name="Chart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196850</xdr:colOff>
      <xdr:row>669</xdr:row>
      <xdr:rowOff>50800</xdr:rowOff>
    </xdr:from>
    <xdr:to>
      <xdr:col>11</xdr:col>
      <xdr:colOff>120650</xdr:colOff>
      <xdr:row>695</xdr:row>
      <xdr:rowOff>127000</xdr:rowOff>
    </xdr:to>
    <xdr:graphicFrame macro="">
      <xdr:nvGraphicFramePr>
        <xdr:cNvPr id="13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11</xdr:col>
      <xdr:colOff>552450</xdr:colOff>
      <xdr:row>669</xdr:row>
      <xdr:rowOff>76200</xdr:rowOff>
    </xdr:from>
    <xdr:to>
      <xdr:col>22</xdr:col>
      <xdr:colOff>476250</xdr:colOff>
      <xdr:row>696</xdr:row>
      <xdr:rowOff>25400</xdr:rowOff>
    </xdr:to>
    <xdr:graphicFrame macro="">
      <xdr:nvGraphicFramePr>
        <xdr:cNvPr id="13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23</xdr:col>
      <xdr:colOff>400050</xdr:colOff>
      <xdr:row>669</xdr:row>
      <xdr:rowOff>76200</xdr:rowOff>
    </xdr:from>
    <xdr:to>
      <xdr:col>34</xdr:col>
      <xdr:colOff>323850</xdr:colOff>
      <xdr:row>696</xdr:row>
      <xdr:rowOff>25400</xdr:rowOff>
    </xdr:to>
    <xdr:graphicFrame macro="">
      <xdr:nvGraphicFramePr>
        <xdr:cNvPr id="13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146050</xdr:colOff>
      <xdr:row>698</xdr:row>
      <xdr:rowOff>50800</xdr:rowOff>
    </xdr:from>
    <xdr:to>
      <xdr:col>11</xdr:col>
      <xdr:colOff>69850</xdr:colOff>
      <xdr:row>724</xdr:row>
      <xdr:rowOff>127000</xdr:rowOff>
    </xdr:to>
    <xdr:graphicFrame macro="">
      <xdr:nvGraphicFramePr>
        <xdr:cNvPr id="140" name="Chart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11</xdr:col>
      <xdr:colOff>558800</xdr:colOff>
      <xdr:row>698</xdr:row>
      <xdr:rowOff>76200</xdr:rowOff>
    </xdr:from>
    <xdr:to>
      <xdr:col>22</xdr:col>
      <xdr:colOff>482600</xdr:colOff>
      <xdr:row>725</xdr:row>
      <xdr:rowOff>6350</xdr:rowOff>
    </xdr:to>
    <xdr:graphicFrame macro="">
      <xdr:nvGraphicFramePr>
        <xdr:cNvPr id="141" name="Chart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23</xdr:col>
      <xdr:colOff>349250</xdr:colOff>
      <xdr:row>698</xdr:row>
      <xdr:rowOff>76200</xdr:rowOff>
    </xdr:from>
    <xdr:to>
      <xdr:col>34</xdr:col>
      <xdr:colOff>273050</xdr:colOff>
      <xdr:row>725</xdr:row>
      <xdr:rowOff>25400</xdr:rowOff>
    </xdr:to>
    <xdr:graphicFrame macro="">
      <xdr:nvGraphicFramePr>
        <xdr:cNvPr id="142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152400</xdr:colOff>
      <xdr:row>727</xdr:row>
      <xdr:rowOff>0</xdr:rowOff>
    </xdr:from>
    <xdr:to>
      <xdr:col>11</xdr:col>
      <xdr:colOff>76200</xdr:colOff>
      <xdr:row>753</xdr:row>
      <xdr:rowOff>76200</xdr:rowOff>
    </xdr:to>
    <xdr:graphicFrame macro="">
      <xdr:nvGraphicFramePr>
        <xdr:cNvPr id="143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11</xdr:col>
      <xdr:colOff>546100</xdr:colOff>
      <xdr:row>727</xdr:row>
      <xdr:rowOff>44450</xdr:rowOff>
    </xdr:from>
    <xdr:to>
      <xdr:col>22</xdr:col>
      <xdr:colOff>469900</xdr:colOff>
      <xdr:row>753</xdr:row>
      <xdr:rowOff>127000</xdr:rowOff>
    </xdr:to>
    <xdr:graphicFrame macro="">
      <xdr:nvGraphicFramePr>
        <xdr:cNvPr id="144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23</xdr:col>
      <xdr:colOff>355600</xdr:colOff>
      <xdr:row>727</xdr:row>
      <xdr:rowOff>44450</xdr:rowOff>
    </xdr:from>
    <xdr:to>
      <xdr:col>34</xdr:col>
      <xdr:colOff>279400</xdr:colOff>
      <xdr:row>753</xdr:row>
      <xdr:rowOff>127000</xdr:rowOff>
    </xdr:to>
    <xdr:graphicFrame macro="">
      <xdr:nvGraphicFramePr>
        <xdr:cNvPr id="145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101600</xdr:colOff>
      <xdr:row>756</xdr:row>
      <xdr:rowOff>0</xdr:rowOff>
    </xdr:from>
    <xdr:to>
      <xdr:col>11</xdr:col>
      <xdr:colOff>25400</xdr:colOff>
      <xdr:row>782</xdr:row>
      <xdr:rowOff>76200</xdr:rowOff>
    </xdr:to>
    <xdr:graphicFrame macro="">
      <xdr:nvGraphicFramePr>
        <xdr:cNvPr id="146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11</xdr:col>
      <xdr:colOff>533400</xdr:colOff>
      <xdr:row>756</xdr:row>
      <xdr:rowOff>63500</xdr:rowOff>
    </xdr:from>
    <xdr:to>
      <xdr:col>22</xdr:col>
      <xdr:colOff>457200</xdr:colOff>
      <xdr:row>782</xdr:row>
      <xdr:rowOff>146050</xdr:rowOff>
    </xdr:to>
    <xdr:graphicFrame macro="">
      <xdr:nvGraphicFramePr>
        <xdr:cNvPr id="147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23</xdr:col>
      <xdr:colOff>304800</xdr:colOff>
      <xdr:row>756</xdr:row>
      <xdr:rowOff>44450</xdr:rowOff>
    </xdr:from>
    <xdr:to>
      <xdr:col>34</xdr:col>
      <xdr:colOff>228600</xdr:colOff>
      <xdr:row>782</xdr:row>
      <xdr:rowOff>127000</xdr:rowOff>
    </xdr:to>
    <xdr:graphicFrame macro="">
      <xdr:nvGraphicFramePr>
        <xdr:cNvPr id="148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95250</xdr:colOff>
      <xdr:row>784</xdr:row>
      <xdr:rowOff>76200</xdr:rowOff>
    </xdr:from>
    <xdr:to>
      <xdr:col>11</xdr:col>
      <xdr:colOff>19050</xdr:colOff>
      <xdr:row>811</xdr:row>
      <xdr:rowOff>19050</xdr:rowOff>
    </xdr:to>
    <xdr:graphicFrame macro="">
      <xdr:nvGraphicFramePr>
        <xdr:cNvPr id="149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11</xdr:col>
      <xdr:colOff>546100</xdr:colOff>
      <xdr:row>784</xdr:row>
      <xdr:rowOff>120650</xdr:rowOff>
    </xdr:from>
    <xdr:to>
      <xdr:col>22</xdr:col>
      <xdr:colOff>469900</xdr:colOff>
      <xdr:row>811</xdr:row>
      <xdr:rowOff>69850</xdr:rowOff>
    </xdr:to>
    <xdr:graphicFrame macro="">
      <xdr:nvGraphicFramePr>
        <xdr:cNvPr id="150" name="Chart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23</xdr:col>
      <xdr:colOff>298450</xdr:colOff>
      <xdr:row>784</xdr:row>
      <xdr:rowOff>120650</xdr:rowOff>
    </xdr:from>
    <xdr:to>
      <xdr:col>34</xdr:col>
      <xdr:colOff>222250</xdr:colOff>
      <xdr:row>811</xdr:row>
      <xdr:rowOff>69850</xdr:rowOff>
    </xdr:to>
    <xdr:graphicFrame macro="">
      <xdr:nvGraphicFramePr>
        <xdr:cNvPr id="151" name="Chart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44450</xdr:colOff>
      <xdr:row>813</xdr:row>
      <xdr:rowOff>76200</xdr:rowOff>
    </xdr:from>
    <xdr:to>
      <xdr:col>10</xdr:col>
      <xdr:colOff>577850</xdr:colOff>
      <xdr:row>840</xdr:row>
      <xdr:rowOff>19050</xdr:rowOff>
    </xdr:to>
    <xdr:graphicFrame macro="">
      <xdr:nvGraphicFramePr>
        <xdr:cNvPr id="152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11</xdr:col>
      <xdr:colOff>571500</xdr:colOff>
      <xdr:row>813</xdr:row>
      <xdr:rowOff>82550</xdr:rowOff>
    </xdr:from>
    <xdr:to>
      <xdr:col>22</xdr:col>
      <xdr:colOff>495300</xdr:colOff>
      <xdr:row>840</xdr:row>
      <xdr:rowOff>31750</xdr:rowOff>
    </xdr:to>
    <xdr:graphicFrame macro="">
      <xdr:nvGraphicFramePr>
        <xdr:cNvPr id="153" name="Chart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23</xdr:col>
      <xdr:colOff>247650</xdr:colOff>
      <xdr:row>813</xdr:row>
      <xdr:rowOff>120650</xdr:rowOff>
    </xdr:from>
    <xdr:to>
      <xdr:col>34</xdr:col>
      <xdr:colOff>171450</xdr:colOff>
      <xdr:row>840</xdr:row>
      <xdr:rowOff>69850</xdr:rowOff>
    </xdr:to>
    <xdr:graphicFrame macro="">
      <xdr:nvGraphicFramePr>
        <xdr:cNvPr id="154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57150</xdr:colOff>
      <xdr:row>842</xdr:row>
      <xdr:rowOff>57150</xdr:rowOff>
    </xdr:from>
    <xdr:to>
      <xdr:col>10</xdr:col>
      <xdr:colOff>590550</xdr:colOff>
      <xdr:row>868</xdr:row>
      <xdr:rowOff>133350</xdr:rowOff>
    </xdr:to>
    <xdr:graphicFrame macro="">
      <xdr:nvGraphicFramePr>
        <xdr:cNvPr id="155" name="Chart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11</xdr:col>
      <xdr:colOff>584200</xdr:colOff>
      <xdr:row>842</xdr:row>
      <xdr:rowOff>82550</xdr:rowOff>
    </xdr:from>
    <xdr:to>
      <xdr:col>22</xdr:col>
      <xdr:colOff>508000</xdr:colOff>
      <xdr:row>869</xdr:row>
      <xdr:rowOff>31750</xdr:rowOff>
    </xdr:to>
    <xdr:graphicFrame macro="">
      <xdr:nvGraphicFramePr>
        <xdr:cNvPr id="156" name="Chart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23</xdr:col>
      <xdr:colOff>260350</xdr:colOff>
      <xdr:row>842</xdr:row>
      <xdr:rowOff>82550</xdr:rowOff>
    </xdr:from>
    <xdr:to>
      <xdr:col>34</xdr:col>
      <xdr:colOff>184150</xdr:colOff>
      <xdr:row>869</xdr:row>
      <xdr:rowOff>31750</xdr:rowOff>
    </xdr:to>
    <xdr:graphicFrame macro="">
      <xdr:nvGraphicFramePr>
        <xdr:cNvPr id="157" name="Chart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6350</xdr:colOff>
      <xdr:row>871</xdr:row>
      <xdr:rowOff>57150</xdr:rowOff>
    </xdr:from>
    <xdr:to>
      <xdr:col>10</xdr:col>
      <xdr:colOff>539750</xdr:colOff>
      <xdr:row>897</xdr:row>
      <xdr:rowOff>133350</xdr:rowOff>
    </xdr:to>
    <xdr:graphicFrame macro="">
      <xdr:nvGraphicFramePr>
        <xdr:cNvPr id="158" name="Chart 1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11</xdr:col>
      <xdr:colOff>571500</xdr:colOff>
      <xdr:row>871</xdr:row>
      <xdr:rowOff>101600</xdr:rowOff>
    </xdr:from>
    <xdr:to>
      <xdr:col>22</xdr:col>
      <xdr:colOff>495300</xdr:colOff>
      <xdr:row>898</xdr:row>
      <xdr:rowOff>50800</xdr:rowOff>
    </xdr:to>
    <xdr:graphicFrame macro="">
      <xdr:nvGraphicFramePr>
        <xdr:cNvPr id="159" name="Chart 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23</xdr:col>
      <xdr:colOff>209550</xdr:colOff>
      <xdr:row>871</xdr:row>
      <xdr:rowOff>82550</xdr:rowOff>
    </xdr:from>
    <xdr:to>
      <xdr:col>34</xdr:col>
      <xdr:colOff>133350</xdr:colOff>
      <xdr:row>898</xdr:row>
      <xdr:rowOff>31750</xdr:rowOff>
    </xdr:to>
    <xdr:graphicFrame macro="">
      <xdr:nvGraphicFramePr>
        <xdr:cNvPr id="160" name="Chart 1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0</xdr:colOff>
      <xdr:row>900</xdr:row>
      <xdr:rowOff>0</xdr:rowOff>
    </xdr:from>
    <xdr:to>
      <xdr:col>10</xdr:col>
      <xdr:colOff>533400</xdr:colOff>
      <xdr:row>926</xdr:row>
      <xdr:rowOff>76200</xdr:rowOff>
    </xdr:to>
    <xdr:graphicFrame macro="">
      <xdr:nvGraphicFramePr>
        <xdr:cNvPr id="161" name="Chart 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11</xdr:col>
      <xdr:colOff>546100</xdr:colOff>
      <xdr:row>900</xdr:row>
      <xdr:rowOff>63500</xdr:rowOff>
    </xdr:from>
    <xdr:to>
      <xdr:col>22</xdr:col>
      <xdr:colOff>469900</xdr:colOff>
      <xdr:row>926</xdr:row>
      <xdr:rowOff>146050</xdr:rowOff>
    </xdr:to>
    <xdr:graphicFrame macro="">
      <xdr:nvGraphicFramePr>
        <xdr:cNvPr id="16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23</xdr:col>
      <xdr:colOff>203200</xdr:colOff>
      <xdr:row>900</xdr:row>
      <xdr:rowOff>44450</xdr:rowOff>
    </xdr:from>
    <xdr:to>
      <xdr:col>34</xdr:col>
      <xdr:colOff>127000</xdr:colOff>
      <xdr:row>926</xdr:row>
      <xdr:rowOff>127000</xdr:rowOff>
    </xdr:to>
    <xdr:graphicFrame macro="">
      <xdr:nvGraphicFramePr>
        <xdr:cNvPr id="163" name="Chart 1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44450</xdr:colOff>
      <xdr:row>929</xdr:row>
      <xdr:rowOff>0</xdr:rowOff>
    </xdr:from>
    <xdr:to>
      <xdr:col>10</xdr:col>
      <xdr:colOff>577850</xdr:colOff>
      <xdr:row>955</xdr:row>
      <xdr:rowOff>76200</xdr:rowOff>
    </xdr:to>
    <xdr:graphicFrame macro="">
      <xdr:nvGraphicFramePr>
        <xdr:cNvPr id="164" name="Chart 1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11</xdr:col>
      <xdr:colOff>495300</xdr:colOff>
      <xdr:row>929</xdr:row>
      <xdr:rowOff>6350</xdr:rowOff>
    </xdr:from>
    <xdr:to>
      <xdr:col>22</xdr:col>
      <xdr:colOff>419100</xdr:colOff>
      <xdr:row>955</xdr:row>
      <xdr:rowOff>88900</xdr:rowOff>
    </xdr:to>
    <xdr:graphicFrame macro="">
      <xdr:nvGraphicFramePr>
        <xdr:cNvPr id="165" name="Chart 1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23</xdr:col>
      <xdr:colOff>152400</xdr:colOff>
      <xdr:row>929</xdr:row>
      <xdr:rowOff>44450</xdr:rowOff>
    </xdr:from>
    <xdr:to>
      <xdr:col>34</xdr:col>
      <xdr:colOff>76200</xdr:colOff>
      <xdr:row>955</xdr:row>
      <xdr:rowOff>127000</xdr:rowOff>
    </xdr:to>
    <xdr:graphicFrame macro="">
      <xdr:nvGraphicFramePr>
        <xdr:cNvPr id="166" name="Chart 1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190500</xdr:colOff>
      <xdr:row>119</xdr:row>
      <xdr:rowOff>76200</xdr:rowOff>
    </xdr:from>
    <xdr:to>
      <xdr:col>11</xdr:col>
      <xdr:colOff>114300</xdr:colOff>
      <xdr:row>146</xdr:row>
      <xdr:rowOff>6350</xdr:rowOff>
    </xdr:to>
    <xdr:graphicFrame macro="">
      <xdr:nvGraphicFramePr>
        <xdr:cNvPr id="103" name="Chart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24</xdr:col>
      <xdr:colOff>0</xdr:colOff>
      <xdr:row>119</xdr:row>
      <xdr:rowOff>76200</xdr:rowOff>
    </xdr:from>
    <xdr:to>
      <xdr:col>34</xdr:col>
      <xdr:colOff>533400</xdr:colOff>
      <xdr:row>146</xdr:row>
      <xdr:rowOff>6350</xdr:rowOff>
    </xdr:to>
    <xdr:graphicFrame macro="">
      <xdr:nvGraphicFramePr>
        <xdr:cNvPr id="104" name="Chart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12</xdr:col>
      <xdr:colOff>19050</xdr:colOff>
      <xdr:row>119</xdr:row>
      <xdr:rowOff>95250</xdr:rowOff>
    </xdr:from>
    <xdr:to>
      <xdr:col>22</xdr:col>
      <xdr:colOff>552450</xdr:colOff>
      <xdr:row>146</xdr:row>
      <xdr:rowOff>25400</xdr:rowOff>
    </xdr:to>
    <xdr:graphicFrame macro="">
      <xdr:nvGraphicFramePr>
        <xdr:cNvPr id="105" name="Chart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0</xdr:col>
      <xdr:colOff>0</xdr:colOff>
      <xdr:row>958</xdr:row>
      <xdr:rowOff>0</xdr:rowOff>
    </xdr:from>
    <xdr:to>
      <xdr:col>10</xdr:col>
      <xdr:colOff>533400</xdr:colOff>
      <xdr:row>984</xdr:row>
      <xdr:rowOff>76200</xdr:rowOff>
    </xdr:to>
    <xdr:graphicFrame macro="">
      <xdr:nvGraphicFramePr>
        <xdr:cNvPr id="109" name="Chart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11</xdr:col>
      <xdr:colOff>495300</xdr:colOff>
      <xdr:row>958</xdr:row>
      <xdr:rowOff>0</xdr:rowOff>
    </xdr:from>
    <xdr:to>
      <xdr:col>22</xdr:col>
      <xdr:colOff>419100</xdr:colOff>
      <xdr:row>984</xdr:row>
      <xdr:rowOff>76200</xdr:rowOff>
    </xdr:to>
    <xdr:graphicFrame macro="">
      <xdr:nvGraphicFramePr>
        <xdr:cNvPr id="110" name="Chart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23</xdr:col>
      <xdr:colOff>171450</xdr:colOff>
      <xdr:row>958</xdr:row>
      <xdr:rowOff>19050</xdr:rowOff>
    </xdr:from>
    <xdr:to>
      <xdr:col>34</xdr:col>
      <xdr:colOff>95250</xdr:colOff>
      <xdr:row>984</xdr:row>
      <xdr:rowOff>95250</xdr:rowOff>
    </xdr:to>
    <xdr:graphicFrame macro="">
      <xdr:nvGraphicFramePr>
        <xdr:cNvPr id="111" name="Chart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35</xdr:col>
      <xdr:colOff>552450</xdr:colOff>
      <xdr:row>265</xdr:row>
      <xdr:rowOff>101600</xdr:rowOff>
    </xdr:from>
    <xdr:to>
      <xdr:col>46</xdr:col>
      <xdr:colOff>476250</xdr:colOff>
      <xdr:row>292</xdr:row>
      <xdr:rowOff>50800</xdr:rowOff>
    </xdr:to>
    <xdr:graphicFrame macro="">
      <xdr:nvGraphicFramePr>
        <xdr:cNvPr id="106" name="Chart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47</xdr:col>
      <xdr:colOff>222250</xdr:colOff>
      <xdr:row>265</xdr:row>
      <xdr:rowOff>76200</xdr:rowOff>
    </xdr:from>
    <xdr:to>
      <xdr:col>58</xdr:col>
      <xdr:colOff>146050</xdr:colOff>
      <xdr:row>292</xdr:row>
      <xdr:rowOff>25400</xdr:rowOff>
    </xdr:to>
    <xdr:graphicFrame macro="">
      <xdr:nvGraphicFramePr>
        <xdr:cNvPr id="107" name="Chart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59</xdr:col>
      <xdr:colOff>222250</xdr:colOff>
      <xdr:row>265</xdr:row>
      <xdr:rowOff>76200</xdr:rowOff>
    </xdr:from>
    <xdr:to>
      <xdr:col>70</xdr:col>
      <xdr:colOff>146050</xdr:colOff>
      <xdr:row>292</xdr:row>
      <xdr:rowOff>25400</xdr:rowOff>
    </xdr:to>
    <xdr:graphicFrame macro="">
      <xdr:nvGraphicFramePr>
        <xdr:cNvPr id="108" name="Chart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195580</xdr:colOff>
      <xdr:row>1</xdr:row>
      <xdr:rowOff>25400</xdr:rowOff>
    </xdr:from>
    <xdr:to>
      <xdr:col>47</xdr:col>
      <xdr:colOff>594360</xdr:colOff>
      <xdr:row>66</xdr:row>
      <xdr:rowOff>160712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0</xdr:row>
      <xdr:rowOff>83820</xdr:rowOff>
    </xdr:from>
    <xdr:to>
      <xdr:col>19</xdr:col>
      <xdr:colOff>388620</xdr:colOff>
      <xdr:row>32</xdr:row>
      <xdr:rowOff>60960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45720</xdr:rowOff>
    </xdr:from>
    <xdr:to>
      <xdr:col>19</xdr:col>
      <xdr:colOff>556260</xdr:colOff>
      <xdr:row>32</xdr:row>
      <xdr:rowOff>22860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15240</xdr:rowOff>
    </xdr:from>
    <xdr:to>
      <xdr:col>19</xdr:col>
      <xdr:colOff>342900</xdr:colOff>
      <xdr:row>32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19</xdr:col>
      <xdr:colOff>243840</xdr:colOff>
      <xdr:row>32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91440</xdr:rowOff>
    </xdr:from>
    <xdr:to>
      <xdr:col>18</xdr:col>
      <xdr:colOff>297180</xdr:colOff>
      <xdr:row>32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9"/>
  <sheetViews>
    <sheetView tabSelected="1" workbookViewId="0">
      <selection activeCell="L21" sqref="L21"/>
    </sheetView>
  </sheetViews>
  <sheetFormatPr defaultRowHeight="13.2" x14ac:dyDescent="0.25"/>
  <cols>
    <col min="1" max="16384" width="8.88671875" style="12"/>
  </cols>
  <sheetData>
    <row r="1" spans="1:1" x14ac:dyDescent="0.25">
      <c r="A1" s="12" t="s">
        <v>38</v>
      </c>
    </row>
    <row r="2" spans="1:1" x14ac:dyDescent="0.25">
      <c r="A2" s="12" t="s">
        <v>40</v>
      </c>
    </row>
    <row r="4" spans="1:1" x14ac:dyDescent="0.25">
      <c r="A4" s="12" t="s">
        <v>54</v>
      </c>
    </row>
    <row r="5" spans="1:1" x14ac:dyDescent="0.25">
      <c r="A5" s="12" t="s">
        <v>52</v>
      </c>
    </row>
    <row r="7" spans="1:1" x14ac:dyDescent="0.25">
      <c r="A7" s="12" t="s">
        <v>53</v>
      </c>
    </row>
    <row r="9" spans="1:1" x14ac:dyDescent="0.25">
      <c r="A9" s="12" t="s">
        <v>39</v>
      </c>
    </row>
  </sheetData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>
      <selection activeCell="J30" sqref="J30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3:B3"/>
  <sheetViews>
    <sheetView workbookViewId="0">
      <selection activeCell="E17" sqref="E17"/>
    </sheetView>
  </sheetViews>
  <sheetFormatPr defaultRowHeight="13.2" x14ac:dyDescent="0.25"/>
  <sheetData>
    <row r="3" spans="1:2" ht="14.4" x14ac:dyDescent="0.3">
      <c r="A3" s="7"/>
      <c r="B3" s="4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DB313"/>
  <sheetViews>
    <sheetView zoomScale="70" zoomScaleNormal="70" workbookViewId="0">
      <pane xSplit="2" ySplit="5" topLeftCell="BV6" activePane="bottomRight" state="frozen"/>
      <selection activeCell="CE20" sqref="CE20"/>
      <selection pane="topRight" activeCell="CE20" sqref="CE20"/>
      <selection pane="bottomLeft" activeCell="CE20" sqref="CE20"/>
      <selection pane="bottomRight" activeCell="A93" sqref="A93:XFD145"/>
    </sheetView>
  </sheetViews>
  <sheetFormatPr defaultRowHeight="13.2" x14ac:dyDescent="0.25"/>
  <cols>
    <col min="2" max="2" width="12.33203125" bestFit="1" customWidth="1"/>
    <col min="3" max="3" width="12" customWidth="1"/>
    <col min="4" max="4" width="14.77734375" customWidth="1"/>
    <col min="5" max="18" width="12" customWidth="1"/>
    <col min="19" max="19" width="11.33203125" customWidth="1"/>
    <col min="20" max="33" width="12" customWidth="1"/>
    <col min="34" max="34" width="14.44140625" customWidth="1"/>
    <col min="35" max="37" width="12" customWidth="1"/>
    <col min="38" max="40" width="13.77734375" customWidth="1"/>
    <col min="41" max="41" width="13.44140625" customWidth="1"/>
    <col min="42" max="94" width="12" customWidth="1"/>
    <col min="95" max="95" width="12.88671875" customWidth="1"/>
    <col min="96" max="96" width="13.33203125" customWidth="1"/>
    <col min="97" max="97" width="14" customWidth="1"/>
    <col min="98" max="100" width="12" customWidth="1"/>
    <col min="101" max="103" width="13.5546875" customWidth="1"/>
  </cols>
  <sheetData>
    <row r="1" spans="1:106" s="15" customFormat="1" x14ac:dyDescent="0.25"/>
    <row r="2" spans="1:106" s="2" customFormat="1" ht="39" customHeight="1" x14ac:dyDescent="0.25">
      <c r="B2" s="6" t="s">
        <v>29</v>
      </c>
      <c r="C2" s="8" t="s">
        <v>1</v>
      </c>
      <c r="D2" s="8" t="s">
        <v>1</v>
      </c>
      <c r="E2" s="8" t="s">
        <v>0</v>
      </c>
      <c r="F2" s="8" t="s">
        <v>0</v>
      </c>
      <c r="G2" s="8" t="s">
        <v>0</v>
      </c>
      <c r="H2" s="8" t="s">
        <v>24</v>
      </c>
      <c r="I2" s="8" t="s">
        <v>24</v>
      </c>
      <c r="J2" s="8" t="s">
        <v>24</v>
      </c>
      <c r="K2" s="8" t="s">
        <v>25</v>
      </c>
      <c r="L2" s="8" t="s">
        <v>25</v>
      </c>
      <c r="M2" s="8" t="s">
        <v>25</v>
      </c>
      <c r="N2" s="8" t="s">
        <v>41</v>
      </c>
      <c r="O2" s="8" t="s">
        <v>41</v>
      </c>
      <c r="P2" s="8" t="s">
        <v>41</v>
      </c>
      <c r="Q2" s="8" t="s">
        <v>26</v>
      </c>
      <c r="R2" s="8" t="s">
        <v>26</v>
      </c>
      <c r="S2" s="8" t="s">
        <v>26</v>
      </c>
      <c r="T2" s="8" t="s">
        <v>2</v>
      </c>
      <c r="U2" s="8" t="s">
        <v>2</v>
      </c>
      <c r="V2" s="8" t="s">
        <v>2</v>
      </c>
      <c r="W2" s="8" t="s">
        <v>4</v>
      </c>
      <c r="X2" s="8" t="s">
        <v>4</v>
      </c>
      <c r="Y2" s="8" t="s">
        <v>4</v>
      </c>
      <c r="Z2" s="8" t="s">
        <v>48</v>
      </c>
      <c r="AA2" s="8" t="s">
        <v>48</v>
      </c>
      <c r="AB2" s="8" t="s">
        <v>48</v>
      </c>
      <c r="AC2" s="8" t="s">
        <v>49</v>
      </c>
      <c r="AD2" s="8" t="s">
        <v>49</v>
      </c>
      <c r="AE2" s="8" t="s">
        <v>49</v>
      </c>
      <c r="AF2" s="8" t="s">
        <v>50</v>
      </c>
      <c r="AG2" s="8" t="s">
        <v>50</v>
      </c>
      <c r="AH2" s="8" t="s">
        <v>50</v>
      </c>
      <c r="AI2" s="8" t="s">
        <v>11</v>
      </c>
      <c r="AJ2" s="8" t="s">
        <v>11</v>
      </c>
      <c r="AK2" s="8" t="s">
        <v>11</v>
      </c>
      <c r="AL2" s="8" t="s">
        <v>12</v>
      </c>
      <c r="AM2" s="8" t="s">
        <v>12</v>
      </c>
      <c r="AN2" s="8" t="s">
        <v>12</v>
      </c>
      <c r="AO2" s="8" t="s">
        <v>28</v>
      </c>
      <c r="AP2" s="8" t="s">
        <v>28</v>
      </c>
      <c r="AQ2" s="8" t="s">
        <v>28</v>
      </c>
      <c r="AR2" s="8" t="s">
        <v>37</v>
      </c>
      <c r="AS2" s="8" t="s">
        <v>37</v>
      </c>
      <c r="AT2" s="8" t="s">
        <v>37</v>
      </c>
      <c r="AU2" s="8" t="s">
        <v>3</v>
      </c>
      <c r="AV2" s="8" t="s">
        <v>3</v>
      </c>
      <c r="AW2" s="8" t="s">
        <v>3</v>
      </c>
      <c r="AX2" s="8" t="s">
        <v>9</v>
      </c>
      <c r="AY2" s="8" t="s">
        <v>9</v>
      </c>
      <c r="AZ2" s="8" t="s">
        <v>9</v>
      </c>
      <c r="BA2" s="8" t="s">
        <v>20</v>
      </c>
      <c r="BB2" s="8" t="s">
        <v>20</v>
      </c>
      <c r="BC2" s="8" t="s">
        <v>20</v>
      </c>
      <c r="BD2" s="8" t="s">
        <v>34</v>
      </c>
      <c r="BE2" s="8" t="s">
        <v>34</v>
      </c>
      <c r="BF2" s="8" t="s">
        <v>34</v>
      </c>
      <c r="BG2" s="8" t="s">
        <v>15</v>
      </c>
      <c r="BH2" s="8" t="s">
        <v>15</v>
      </c>
      <c r="BI2" s="8" t="s">
        <v>15</v>
      </c>
      <c r="BJ2" s="8" t="s">
        <v>16</v>
      </c>
      <c r="BK2" s="8" t="s">
        <v>16</v>
      </c>
      <c r="BL2" s="8" t="s">
        <v>16</v>
      </c>
      <c r="BM2" s="8" t="s">
        <v>17</v>
      </c>
      <c r="BN2" s="8" t="s">
        <v>17</v>
      </c>
      <c r="BO2" s="8" t="s">
        <v>17</v>
      </c>
      <c r="BP2" s="8" t="s">
        <v>6</v>
      </c>
      <c r="BQ2" s="8" t="s">
        <v>6</v>
      </c>
      <c r="BR2" s="8" t="s">
        <v>6</v>
      </c>
      <c r="BS2" s="8" t="s">
        <v>19</v>
      </c>
      <c r="BT2" s="8" t="s">
        <v>19</v>
      </c>
      <c r="BU2" s="8" t="s">
        <v>19</v>
      </c>
      <c r="BV2" s="8" t="s">
        <v>35</v>
      </c>
      <c r="BW2" s="8" t="s">
        <v>35</v>
      </c>
      <c r="BX2" s="8" t="s">
        <v>35</v>
      </c>
      <c r="BY2" s="8" t="s">
        <v>21</v>
      </c>
      <c r="BZ2" s="8" t="s">
        <v>21</v>
      </c>
      <c r="CA2" s="8" t="s">
        <v>21</v>
      </c>
      <c r="CB2" s="8" t="s">
        <v>22</v>
      </c>
      <c r="CC2" s="8" t="s">
        <v>22</v>
      </c>
      <c r="CD2" s="8" t="s">
        <v>22</v>
      </c>
      <c r="CE2" s="8" t="s">
        <v>23</v>
      </c>
      <c r="CF2" s="8" t="s">
        <v>23</v>
      </c>
      <c r="CG2" s="8" t="s">
        <v>23</v>
      </c>
      <c r="CH2" s="8" t="s">
        <v>18</v>
      </c>
      <c r="CI2" s="8" t="s">
        <v>18</v>
      </c>
      <c r="CJ2" s="8" t="s">
        <v>18</v>
      </c>
      <c r="CK2" s="8" t="s">
        <v>5</v>
      </c>
      <c r="CL2" s="8" t="s">
        <v>5</v>
      </c>
      <c r="CM2" s="8" t="s">
        <v>5</v>
      </c>
      <c r="CN2" s="8" t="s">
        <v>27</v>
      </c>
      <c r="CO2" s="8" t="s">
        <v>27</v>
      </c>
      <c r="CP2" s="8" t="s">
        <v>27</v>
      </c>
      <c r="CQ2" s="8" t="s">
        <v>13</v>
      </c>
      <c r="CR2" s="8" t="s">
        <v>13</v>
      </c>
      <c r="CS2" s="8" t="s">
        <v>13</v>
      </c>
      <c r="CT2" s="8" t="s">
        <v>14</v>
      </c>
      <c r="CU2" s="8" t="s">
        <v>14</v>
      </c>
      <c r="CV2" s="8" t="s">
        <v>14</v>
      </c>
      <c r="CW2" s="8" t="s">
        <v>36</v>
      </c>
      <c r="CX2" s="8" t="s">
        <v>36</v>
      </c>
      <c r="CY2" s="8" t="s">
        <v>36</v>
      </c>
      <c r="CZ2" s="8" t="s">
        <v>45</v>
      </c>
      <c r="DA2" s="8" t="s">
        <v>45</v>
      </c>
      <c r="DB2" s="8" t="s">
        <v>45</v>
      </c>
    </row>
    <row r="3" spans="1:106" x14ac:dyDescent="0.25">
      <c r="B3" s="6" t="s">
        <v>31</v>
      </c>
      <c r="C3" s="8" t="s">
        <v>43</v>
      </c>
      <c r="D3" s="8" t="s">
        <v>43</v>
      </c>
      <c r="E3" s="8" t="s">
        <v>43</v>
      </c>
      <c r="F3" s="8" t="s">
        <v>43</v>
      </c>
      <c r="G3" s="8" t="s">
        <v>43</v>
      </c>
      <c r="H3" s="8" t="s">
        <v>43</v>
      </c>
      <c r="I3" s="8" t="s">
        <v>43</v>
      </c>
      <c r="J3" s="8" t="s">
        <v>43</v>
      </c>
      <c r="K3" s="8" t="s">
        <v>43</v>
      </c>
      <c r="L3" s="8" t="s">
        <v>43</v>
      </c>
      <c r="M3" s="8" t="s">
        <v>43</v>
      </c>
      <c r="N3" s="8" t="s">
        <v>43</v>
      </c>
      <c r="O3" s="8" t="s">
        <v>43</v>
      </c>
      <c r="P3" s="8" t="s">
        <v>43</v>
      </c>
      <c r="Q3" s="8" t="s">
        <v>43</v>
      </c>
      <c r="R3" s="8" t="s">
        <v>43</v>
      </c>
      <c r="S3" s="8" t="s">
        <v>43</v>
      </c>
      <c r="T3" s="8" t="s">
        <v>43</v>
      </c>
      <c r="U3" s="8" t="s">
        <v>43</v>
      </c>
      <c r="V3" s="8" t="s">
        <v>43</v>
      </c>
      <c r="W3" s="8" t="s">
        <v>43</v>
      </c>
      <c r="X3" s="8" t="s">
        <v>43</v>
      </c>
      <c r="Y3" s="8" t="s">
        <v>43</v>
      </c>
      <c r="Z3" s="8" t="s">
        <v>43</v>
      </c>
      <c r="AA3" s="8" t="s">
        <v>43</v>
      </c>
      <c r="AB3" s="8" t="s">
        <v>43</v>
      </c>
      <c r="AC3" s="8" t="s">
        <v>43</v>
      </c>
      <c r="AD3" s="8" t="s">
        <v>43</v>
      </c>
      <c r="AE3" s="8" t="s">
        <v>43</v>
      </c>
      <c r="AF3" s="8" t="s">
        <v>43</v>
      </c>
      <c r="AG3" s="8" t="s">
        <v>43</v>
      </c>
      <c r="AH3" s="8" t="s">
        <v>43</v>
      </c>
      <c r="AI3" s="8" t="s">
        <v>43</v>
      </c>
      <c r="AJ3" s="8" t="s">
        <v>43</v>
      </c>
      <c r="AK3" s="8" t="s">
        <v>43</v>
      </c>
      <c r="AL3" s="8" t="s">
        <v>43</v>
      </c>
      <c r="AM3" s="8" t="s">
        <v>43</v>
      </c>
      <c r="AN3" s="8" t="s">
        <v>43</v>
      </c>
      <c r="AO3" s="8" t="s">
        <v>43</v>
      </c>
      <c r="AP3" s="8" t="s">
        <v>43</v>
      </c>
      <c r="AQ3" s="8" t="s">
        <v>43</v>
      </c>
      <c r="AR3" s="8" t="s">
        <v>43</v>
      </c>
      <c r="AS3" s="8" t="s">
        <v>43</v>
      </c>
      <c r="AT3" s="8" t="s">
        <v>43</v>
      </c>
      <c r="AU3" s="8" t="s">
        <v>43</v>
      </c>
      <c r="AV3" s="8" t="s">
        <v>43</v>
      </c>
      <c r="AW3" s="8" t="s">
        <v>43</v>
      </c>
      <c r="AX3" s="8" t="s">
        <v>43</v>
      </c>
      <c r="AY3" s="8" t="s">
        <v>43</v>
      </c>
      <c r="AZ3" s="8" t="s">
        <v>43</v>
      </c>
      <c r="BA3" s="8" t="s">
        <v>43</v>
      </c>
      <c r="BB3" s="8" t="s">
        <v>43</v>
      </c>
      <c r="BC3" s="8" t="s">
        <v>43</v>
      </c>
      <c r="BD3" s="8" t="s">
        <v>43</v>
      </c>
      <c r="BE3" s="8" t="s">
        <v>43</v>
      </c>
      <c r="BF3" s="8" t="s">
        <v>43</v>
      </c>
      <c r="BG3" s="8" t="s">
        <v>43</v>
      </c>
      <c r="BH3" s="8" t="s">
        <v>43</v>
      </c>
      <c r="BI3" s="8" t="s">
        <v>43</v>
      </c>
      <c r="BJ3" s="8" t="s">
        <v>43</v>
      </c>
      <c r="BK3" s="8" t="s">
        <v>43</v>
      </c>
      <c r="BL3" s="8" t="s">
        <v>43</v>
      </c>
      <c r="BM3" s="8" t="s">
        <v>43</v>
      </c>
      <c r="BN3" s="8" t="s">
        <v>43</v>
      </c>
      <c r="BO3" s="8" t="s">
        <v>43</v>
      </c>
      <c r="BP3" s="8" t="s">
        <v>43</v>
      </c>
      <c r="BQ3" s="8" t="s">
        <v>43</v>
      </c>
      <c r="BR3" s="8" t="s">
        <v>43</v>
      </c>
      <c r="BS3" s="8" t="s">
        <v>43</v>
      </c>
      <c r="BT3" s="8" t="s">
        <v>43</v>
      </c>
      <c r="BU3" s="8" t="s">
        <v>43</v>
      </c>
      <c r="BV3" s="8" t="s">
        <v>43</v>
      </c>
      <c r="BW3" s="8" t="s">
        <v>43</v>
      </c>
      <c r="BX3" s="8" t="s">
        <v>43</v>
      </c>
      <c r="BY3" s="8" t="s">
        <v>43</v>
      </c>
      <c r="BZ3" s="8" t="s">
        <v>43</v>
      </c>
      <c r="CA3" s="8" t="s">
        <v>43</v>
      </c>
      <c r="CB3" s="8" t="s">
        <v>43</v>
      </c>
      <c r="CC3" s="8" t="s">
        <v>43</v>
      </c>
      <c r="CD3" s="8" t="s">
        <v>43</v>
      </c>
      <c r="CE3" s="8" t="s">
        <v>43</v>
      </c>
      <c r="CF3" s="8" t="s">
        <v>43</v>
      </c>
      <c r="CG3" s="8" t="s">
        <v>43</v>
      </c>
      <c r="CH3" s="8" t="s">
        <v>43</v>
      </c>
      <c r="CI3" s="8" t="s">
        <v>43</v>
      </c>
      <c r="CJ3" s="8" t="s">
        <v>43</v>
      </c>
      <c r="CK3" s="8" t="s">
        <v>43</v>
      </c>
      <c r="CL3" s="8" t="s">
        <v>43</v>
      </c>
      <c r="CM3" s="8" t="s">
        <v>43</v>
      </c>
      <c r="CN3" s="8" t="s">
        <v>43</v>
      </c>
      <c r="CO3" s="8" t="s">
        <v>43</v>
      </c>
      <c r="CP3" s="8" t="s">
        <v>43</v>
      </c>
      <c r="CQ3" s="8" t="s">
        <v>43</v>
      </c>
      <c r="CR3" s="8" t="s">
        <v>43</v>
      </c>
      <c r="CS3" s="8" t="s">
        <v>43</v>
      </c>
      <c r="CT3" s="8" t="s">
        <v>43</v>
      </c>
      <c r="CU3" s="8" t="s">
        <v>43</v>
      </c>
      <c r="CV3" s="8" t="s">
        <v>43</v>
      </c>
      <c r="CW3" s="8" t="s">
        <v>43</v>
      </c>
      <c r="CX3" s="8" t="s">
        <v>43</v>
      </c>
      <c r="CY3" s="8" t="s">
        <v>43</v>
      </c>
      <c r="CZ3" s="8" t="s">
        <v>43</v>
      </c>
      <c r="DA3" s="8" t="s">
        <v>43</v>
      </c>
      <c r="DB3" s="8" t="s">
        <v>43</v>
      </c>
    </row>
    <row r="4" spans="1:106" s="2" customFormat="1" ht="27" customHeight="1" x14ac:dyDescent="0.25">
      <c r="B4" s="6" t="s">
        <v>30</v>
      </c>
      <c r="C4" s="6" t="s">
        <v>8</v>
      </c>
      <c r="D4" s="6" t="s">
        <v>44</v>
      </c>
      <c r="E4" s="6" t="s">
        <v>8</v>
      </c>
      <c r="F4" s="8" t="s">
        <v>7</v>
      </c>
      <c r="G4" s="6" t="s">
        <v>10</v>
      </c>
      <c r="H4" s="6" t="s">
        <v>8</v>
      </c>
      <c r="I4" s="6" t="s">
        <v>7</v>
      </c>
      <c r="J4" s="6" t="s">
        <v>10</v>
      </c>
      <c r="K4" s="6" t="s">
        <v>8</v>
      </c>
      <c r="L4" s="6" t="s">
        <v>7</v>
      </c>
      <c r="M4" s="6" t="s">
        <v>10</v>
      </c>
      <c r="N4" s="6" t="s">
        <v>8</v>
      </c>
      <c r="O4" s="6" t="s">
        <v>7</v>
      </c>
      <c r="P4" s="6" t="s">
        <v>10</v>
      </c>
      <c r="Q4" s="6" t="s">
        <v>8</v>
      </c>
      <c r="R4" s="6" t="s">
        <v>7</v>
      </c>
      <c r="S4" s="6" t="s">
        <v>10</v>
      </c>
      <c r="T4" s="6" t="s">
        <v>8</v>
      </c>
      <c r="U4" s="6" t="s">
        <v>7</v>
      </c>
      <c r="V4" s="6" t="s">
        <v>10</v>
      </c>
      <c r="W4" s="6" t="s">
        <v>8</v>
      </c>
      <c r="X4" s="6" t="s">
        <v>7</v>
      </c>
      <c r="Y4" s="6" t="s">
        <v>10</v>
      </c>
      <c r="Z4" s="6" t="s">
        <v>8</v>
      </c>
      <c r="AA4" s="6" t="s">
        <v>7</v>
      </c>
      <c r="AB4" s="6" t="s">
        <v>10</v>
      </c>
      <c r="AC4" s="6" t="s">
        <v>8</v>
      </c>
      <c r="AD4" s="6" t="s">
        <v>7</v>
      </c>
      <c r="AE4" s="6" t="s">
        <v>10</v>
      </c>
      <c r="AF4" s="6" t="s">
        <v>8</v>
      </c>
      <c r="AG4" s="6" t="s">
        <v>7</v>
      </c>
      <c r="AH4" s="6" t="s">
        <v>10</v>
      </c>
      <c r="AI4" s="6" t="s">
        <v>8</v>
      </c>
      <c r="AJ4" s="6" t="s">
        <v>7</v>
      </c>
      <c r="AK4" s="6" t="s">
        <v>10</v>
      </c>
      <c r="AL4" s="6" t="s">
        <v>8</v>
      </c>
      <c r="AM4" s="6" t="s">
        <v>7</v>
      </c>
      <c r="AN4" s="6" t="s">
        <v>10</v>
      </c>
      <c r="AO4" s="6" t="s">
        <v>8</v>
      </c>
      <c r="AP4" s="6" t="s">
        <v>7</v>
      </c>
      <c r="AQ4" s="6" t="s">
        <v>10</v>
      </c>
      <c r="AR4" s="6" t="s">
        <v>8</v>
      </c>
      <c r="AS4" s="6" t="s">
        <v>7</v>
      </c>
      <c r="AT4" s="6" t="s">
        <v>10</v>
      </c>
      <c r="AU4" s="6" t="s">
        <v>8</v>
      </c>
      <c r="AV4" s="6" t="s">
        <v>7</v>
      </c>
      <c r="AW4" s="6" t="s">
        <v>10</v>
      </c>
      <c r="AX4" s="6" t="s">
        <v>8</v>
      </c>
      <c r="AY4" s="6" t="s">
        <v>7</v>
      </c>
      <c r="AZ4" s="6" t="s">
        <v>10</v>
      </c>
      <c r="BA4" s="6" t="s">
        <v>8</v>
      </c>
      <c r="BB4" s="6" t="s">
        <v>7</v>
      </c>
      <c r="BC4" s="6" t="s">
        <v>10</v>
      </c>
      <c r="BD4" s="6" t="s">
        <v>8</v>
      </c>
      <c r="BE4" s="6" t="s">
        <v>7</v>
      </c>
      <c r="BF4" s="6" t="s">
        <v>10</v>
      </c>
      <c r="BG4" s="6" t="s">
        <v>8</v>
      </c>
      <c r="BH4" s="6" t="s">
        <v>7</v>
      </c>
      <c r="BI4" s="6" t="s">
        <v>10</v>
      </c>
      <c r="BJ4" s="6" t="s">
        <v>8</v>
      </c>
      <c r="BK4" s="6" t="s">
        <v>7</v>
      </c>
      <c r="BL4" s="6" t="s">
        <v>10</v>
      </c>
      <c r="BM4" s="6" t="s">
        <v>8</v>
      </c>
      <c r="BN4" s="6" t="s">
        <v>7</v>
      </c>
      <c r="BO4" s="6" t="s">
        <v>10</v>
      </c>
      <c r="BP4" s="6" t="s">
        <v>8</v>
      </c>
      <c r="BQ4" s="6" t="s">
        <v>7</v>
      </c>
      <c r="BR4" s="6" t="s">
        <v>10</v>
      </c>
      <c r="BS4" s="6" t="s">
        <v>8</v>
      </c>
      <c r="BT4" s="6" t="s">
        <v>7</v>
      </c>
      <c r="BU4" s="6" t="s">
        <v>10</v>
      </c>
      <c r="BV4" s="6" t="s">
        <v>8</v>
      </c>
      <c r="BW4" s="6" t="s">
        <v>7</v>
      </c>
      <c r="BX4" s="6" t="s">
        <v>10</v>
      </c>
      <c r="BY4" s="6" t="s">
        <v>8</v>
      </c>
      <c r="BZ4" s="6" t="s">
        <v>7</v>
      </c>
      <c r="CA4" s="6" t="s">
        <v>10</v>
      </c>
      <c r="CB4" s="6" t="s">
        <v>8</v>
      </c>
      <c r="CC4" s="6" t="s">
        <v>7</v>
      </c>
      <c r="CD4" s="6" t="s">
        <v>10</v>
      </c>
      <c r="CE4" s="6" t="s">
        <v>8</v>
      </c>
      <c r="CF4" s="6" t="s">
        <v>7</v>
      </c>
      <c r="CG4" s="6" t="s">
        <v>10</v>
      </c>
      <c r="CH4" s="6" t="s">
        <v>8</v>
      </c>
      <c r="CI4" s="6" t="s">
        <v>7</v>
      </c>
      <c r="CJ4" s="6" t="s">
        <v>10</v>
      </c>
      <c r="CK4" s="6" t="s">
        <v>8</v>
      </c>
      <c r="CL4" s="6" t="s">
        <v>7</v>
      </c>
      <c r="CM4" s="6" t="s">
        <v>10</v>
      </c>
      <c r="CN4" s="6" t="s">
        <v>8</v>
      </c>
      <c r="CO4" s="6" t="s">
        <v>7</v>
      </c>
      <c r="CP4" s="6" t="s">
        <v>10</v>
      </c>
      <c r="CQ4" s="6" t="s">
        <v>8</v>
      </c>
      <c r="CR4" s="6" t="s">
        <v>7</v>
      </c>
      <c r="CS4" s="6" t="s">
        <v>10</v>
      </c>
      <c r="CT4" s="6" t="s">
        <v>8</v>
      </c>
      <c r="CU4" s="6" t="s">
        <v>7</v>
      </c>
      <c r="CV4" s="6" t="s">
        <v>10</v>
      </c>
      <c r="CW4" s="6" t="s">
        <v>8</v>
      </c>
      <c r="CX4" s="6" t="s">
        <v>7</v>
      </c>
      <c r="CY4" s="6" t="s">
        <v>10</v>
      </c>
      <c r="CZ4" s="6" t="s">
        <v>8</v>
      </c>
      <c r="DA4" s="6" t="s">
        <v>7</v>
      </c>
      <c r="DB4" s="6" t="s">
        <v>10</v>
      </c>
    </row>
    <row r="5" spans="1:106" s="10" customFormat="1" x14ac:dyDescent="0.25">
      <c r="A5" s="5" t="s">
        <v>33</v>
      </c>
      <c r="B5" s="5" t="s">
        <v>32</v>
      </c>
      <c r="C5" s="7" t="s">
        <v>46</v>
      </c>
      <c r="D5" s="7" t="s">
        <v>46</v>
      </c>
      <c r="E5" s="7" t="s">
        <v>46</v>
      </c>
      <c r="F5" s="7" t="s">
        <v>46</v>
      </c>
      <c r="G5" s="7" t="s">
        <v>46</v>
      </c>
      <c r="H5" s="7" t="s">
        <v>46</v>
      </c>
      <c r="I5" s="7" t="s">
        <v>46</v>
      </c>
      <c r="J5" s="7" t="s">
        <v>46</v>
      </c>
      <c r="K5" s="7" t="s">
        <v>46</v>
      </c>
      <c r="L5" s="7" t="s">
        <v>46</v>
      </c>
      <c r="M5" s="7" t="s">
        <v>46</v>
      </c>
      <c r="N5" s="7" t="s">
        <v>46</v>
      </c>
      <c r="O5" s="7" t="s">
        <v>46</v>
      </c>
      <c r="P5" s="7" t="s">
        <v>46</v>
      </c>
      <c r="Q5" s="7" t="s">
        <v>46</v>
      </c>
      <c r="R5" s="7" t="s">
        <v>46</v>
      </c>
      <c r="S5" s="7" t="s">
        <v>46</v>
      </c>
      <c r="T5" s="7" t="s">
        <v>46</v>
      </c>
      <c r="U5" s="7" t="s">
        <v>46</v>
      </c>
      <c r="V5" s="7" t="s">
        <v>46</v>
      </c>
      <c r="W5" s="7" t="s">
        <v>46</v>
      </c>
      <c r="X5" s="7" t="s">
        <v>46</v>
      </c>
      <c r="Y5" s="7" t="s">
        <v>46</v>
      </c>
      <c r="Z5" s="7" t="s">
        <v>46</v>
      </c>
      <c r="AA5" s="7" t="s">
        <v>46</v>
      </c>
      <c r="AB5" s="7" t="s">
        <v>46</v>
      </c>
      <c r="AC5" s="7" t="s">
        <v>46</v>
      </c>
      <c r="AD5" s="7" t="s">
        <v>46</v>
      </c>
      <c r="AE5" s="7" t="s">
        <v>46</v>
      </c>
      <c r="AF5" s="7" t="s">
        <v>46</v>
      </c>
      <c r="AG5" s="7" t="s">
        <v>46</v>
      </c>
      <c r="AH5" s="7" t="s">
        <v>46</v>
      </c>
      <c r="AI5" s="7" t="s">
        <v>46</v>
      </c>
      <c r="AJ5" s="7" t="s">
        <v>46</v>
      </c>
      <c r="AK5" s="7" t="s">
        <v>46</v>
      </c>
      <c r="AL5" s="7" t="s">
        <v>46</v>
      </c>
      <c r="AM5" s="7" t="s">
        <v>46</v>
      </c>
      <c r="AN5" s="7" t="s">
        <v>46</v>
      </c>
      <c r="AO5" s="7" t="s">
        <v>46</v>
      </c>
      <c r="AP5" s="7" t="s">
        <v>46</v>
      </c>
      <c r="AQ5" s="7" t="s">
        <v>46</v>
      </c>
      <c r="AR5" s="7" t="s">
        <v>46</v>
      </c>
      <c r="AS5" s="7" t="s">
        <v>46</v>
      </c>
      <c r="AT5" s="7" t="s">
        <v>46</v>
      </c>
      <c r="AU5" s="7" t="s">
        <v>46</v>
      </c>
      <c r="AV5" s="7" t="s">
        <v>46</v>
      </c>
      <c r="AW5" s="7" t="s">
        <v>46</v>
      </c>
      <c r="AX5" s="7" t="s">
        <v>46</v>
      </c>
      <c r="AY5" s="7" t="s">
        <v>46</v>
      </c>
      <c r="AZ5" s="7" t="s">
        <v>46</v>
      </c>
      <c r="BA5" s="7" t="s">
        <v>46</v>
      </c>
      <c r="BB5" s="7" t="s">
        <v>46</v>
      </c>
      <c r="BC5" s="7" t="s">
        <v>46</v>
      </c>
      <c r="BD5" s="7" t="s">
        <v>46</v>
      </c>
      <c r="BE5" s="7" t="s">
        <v>46</v>
      </c>
      <c r="BF5" s="7" t="s">
        <v>46</v>
      </c>
      <c r="BG5" s="7" t="s">
        <v>46</v>
      </c>
      <c r="BH5" s="7" t="s">
        <v>46</v>
      </c>
      <c r="BI5" s="7" t="s">
        <v>46</v>
      </c>
      <c r="BJ5" s="7" t="s">
        <v>46</v>
      </c>
      <c r="BK5" s="7" t="s">
        <v>46</v>
      </c>
      <c r="BL5" s="7" t="s">
        <v>46</v>
      </c>
      <c r="BM5" s="7" t="s">
        <v>46</v>
      </c>
      <c r="BN5" s="7" t="s">
        <v>46</v>
      </c>
      <c r="BO5" s="7" t="s">
        <v>46</v>
      </c>
      <c r="BP5" s="7" t="s">
        <v>46</v>
      </c>
      <c r="BQ5" s="7" t="s">
        <v>46</v>
      </c>
      <c r="BR5" s="7" t="s">
        <v>46</v>
      </c>
      <c r="BS5" s="7" t="s">
        <v>46</v>
      </c>
      <c r="BT5" s="7" t="s">
        <v>46</v>
      </c>
      <c r="BU5" s="7" t="s">
        <v>46</v>
      </c>
      <c r="BV5" s="7" t="s">
        <v>46</v>
      </c>
      <c r="BW5" s="7" t="s">
        <v>46</v>
      </c>
      <c r="BX5" s="7" t="s">
        <v>46</v>
      </c>
      <c r="BY5" s="7" t="s">
        <v>46</v>
      </c>
      <c r="BZ5" s="7" t="s">
        <v>46</v>
      </c>
      <c r="CA5" s="7" t="s">
        <v>46</v>
      </c>
      <c r="CB5" s="7" t="s">
        <v>46</v>
      </c>
      <c r="CC5" s="7" t="s">
        <v>46</v>
      </c>
      <c r="CD5" s="7" t="s">
        <v>46</v>
      </c>
      <c r="CE5" s="7" t="s">
        <v>46</v>
      </c>
      <c r="CF5" s="7" t="s">
        <v>46</v>
      </c>
      <c r="CG5" s="7" t="s">
        <v>46</v>
      </c>
      <c r="CH5" s="7" t="s">
        <v>46</v>
      </c>
      <c r="CI5" s="7" t="s">
        <v>46</v>
      </c>
      <c r="CJ5" s="7" t="s">
        <v>46</v>
      </c>
      <c r="CK5" s="7" t="s">
        <v>46</v>
      </c>
      <c r="CL5" s="7" t="s">
        <v>46</v>
      </c>
      <c r="CM5" s="7" t="s">
        <v>46</v>
      </c>
      <c r="CN5" s="7" t="s">
        <v>46</v>
      </c>
      <c r="CO5" s="7" t="s">
        <v>46</v>
      </c>
      <c r="CP5" s="7" t="s">
        <v>46</v>
      </c>
      <c r="CQ5" s="7" t="s">
        <v>46</v>
      </c>
      <c r="CR5" s="7" t="s">
        <v>46</v>
      </c>
      <c r="CS5" s="7" t="s">
        <v>46</v>
      </c>
      <c r="CT5" s="7" t="s">
        <v>46</v>
      </c>
      <c r="CU5" s="7" t="s">
        <v>46</v>
      </c>
      <c r="CV5" s="7" t="s">
        <v>46</v>
      </c>
      <c r="CW5" s="7" t="s">
        <v>46</v>
      </c>
      <c r="CX5" s="7" t="s">
        <v>46</v>
      </c>
      <c r="CY5" s="7" t="s">
        <v>46</v>
      </c>
      <c r="CZ5" s="7" t="s">
        <v>46</v>
      </c>
      <c r="DA5" s="7" t="s">
        <v>46</v>
      </c>
      <c r="DB5" s="7" t="s">
        <v>46</v>
      </c>
    </row>
    <row r="6" spans="1:106" s="2" customFormat="1" ht="54.6" hidden="1" customHeight="1" x14ac:dyDescent="0.25">
      <c r="A6" s="5" t="s">
        <v>33</v>
      </c>
      <c r="B6" s="6" t="s">
        <v>29</v>
      </c>
      <c r="C6" s="8" t="str">
        <f t="shared" ref="C6:AQ6" si="0">CONCATENATE(C2,", ",C4,", ","in ",C5)</f>
        <v>UK, Imports, in pound/cwts.</v>
      </c>
      <c r="D6" s="8" t="str">
        <f t="shared" si="0"/>
        <v>UK, Exports (foreign and colonial), in pound/cwts.</v>
      </c>
      <c r="E6" s="8" t="str">
        <f t="shared" si="0"/>
        <v>Baghdad, Imports, in pound/cwts.</v>
      </c>
      <c r="F6" s="8" t="str">
        <f t="shared" si="0"/>
        <v>Baghdad, Exports, in pound/cwts.</v>
      </c>
      <c r="G6" s="8" t="str">
        <f t="shared" si="0"/>
        <v>Baghdad, Bazaar (Local), in pound/cwts.</v>
      </c>
      <c r="H6" s="8" t="str">
        <f t="shared" si="0"/>
        <v>Basrah, Imports, in pound/cwts.</v>
      </c>
      <c r="I6" s="8" t="str">
        <f t="shared" si="0"/>
        <v>Basrah, Exports, in pound/cwts.</v>
      </c>
      <c r="J6" s="8" t="str">
        <f t="shared" si="0"/>
        <v>Basrah, Bazaar (Local), in pound/cwts.</v>
      </c>
      <c r="K6" s="8" t="str">
        <f t="shared" si="0"/>
        <v>Mosul, Imports, in pound/cwts.</v>
      </c>
      <c r="L6" s="8" t="str">
        <f t="shared" si="0"/>
        <v>Mosul, Exports, in pound/cwts.</v>
      </c>
      <c r="M6" s="8" t="str">
        <f t="shared" si="0"/>
        <v>Mosul, Bazaar (Local), in pound/cwts.</v>
      </c>
      <c r="N6" s="8" t="str">
        <f t="shared" si="0"/>
        <v>Egypt, Imports, in pound/cwts.</v>
      </c>
      <c r="O6" s="8" t="str">
        <f t="shared" si="0"/>
        <v>Egypt, Exports, in pound/cwts.</v>
      </c>
      <c r="P6" s="8" t="str">
        <f t="shared" si="0"/>
        <v>Egypt, Bazaar (Local), in pound/cwts.</v>
      </c>
      <c r="Q6" s="8" t="str">
        <f t="shared" si="0"/>
        <v>Palestine, Imports, in pound/cwts.</v>
      </c>
      <c r="R6" s="8" t="str">
        <f t="shared" si="0"/>
        <v>Palestine, Exports, in pound/cwts.</v>
      </c>
      <c r="S6" s="8" t="str">
        <f t="shared" si="0"/>
        <v>Palestine, Bazaar (Local), in pound/cwts.</v>
      </c>
      <c r="T6" s="8" t="str">
        <f t="shared" si="0"/>
        <v>Damascus, Imports, in pound/cwts.</v>
      </c>
      <c r="U6" s="8" t="str">
        <f t="shared" si="0"/>
        <v>Damascus, Exports, in pound/cwts.</v>
      </c>
      <c r="V6" s="8" t="str">
        <f t="shared" si="0"/>
        <v>Damascus, Bazaar (Local), in pound/cwts.</v>
      </c>
      <c r="W6" s="8" t="str">
        <f t="shared" si="0"/>
        <v>Beirut, Imports, in pound/cwts.</v>
      </c>
      <c r="X6" s="8" t="str">
        <f t="shared" si="0"/>
        <v>Beirut, Exports, in pound/cwts.</v>
      </c>
      <c r="Y6" s="8" t="str">
        <f t="shared" si="0"/>
        <v>Beirut, Bazaar (Local), in pound/cwts.</v>
      </c>
      <c r="Z6" s="8" t="str">
        <f t="shared" si="0"/>
        <v>Istanbul (Malatya), Imports, in pound/cwts.</v>
      </c>
      <c r="AA6" s="8" t="str">
        <f t="shared" si="0"/>
        <v>Istanbul (Malatya), Exports, in pound/cwts.</v>
      </c>
      <c r="AB6" s="8" t="str">
        <f t="shared" si="0"/>
        <v>Istanbul (Malatya), Bazaar (Local), in pound/cwts.</v>
      </c>
      <c r="AC6" s="8" t="str">
        <f t="shared" si="0"/>
        <v>Istanbul (Geyve), Imports, in pound/cwts.</v>
      </c>
      <c r="AD6" s="8" t="str">
        <f t="shared" si="0"/>
        <v>Istanbul (Geyve), Exports, in pound/cwts.</v>
      </c>
      <c r="AE6" s="8" t="str">
        <f t="shared" si="0"/>
        <v>Istanbul (Geyve), Bazaar (Local), in pound/cwts.</v>
      </c>
      <c r="AF6" s="8" t="str">
        <f t="shared" si="0"/>
        <v>Istanbul (Nallrihan), Imports, in pound/cwts.</v>
      </c>
      <c r="AG6" s="8" t="str">
        <f t="shared" si="0"/>
        <v>Istanbul (Nallrihan), Exports, in pound/cwts.</v>
      </c>
      <c r="AH6" s="8" t="str">
        <f t="shared" si="0"/>
        <v>Istanbul (Nallrihan), Bazaar (Local), in pound/cwts.</v>
      </c>
      <c r="AI6" s="8" t="str">
        <f t="shared" si="0"/>
        <v>Turkey, Imports, in pound/cwts.</v>
      </c>
      <c r="AJ6" s="8" t="str">
        <f t="shared" si="0"/>
        <v>Turkey, Exports, in pound/cwts.</v>
      </c>
      <c r="AK6" s="8" t="str">
        <f t="shared" si="0"/>
        <v>Turkey, Bazaar (Local), in pound/cwts.</v>
      </c>
      <c r="AL6" s="8" t="str">
        <f t="shared" si="0"/>
        <v>Constantinople, Imports, in pound/cwts.</v>
      </c>
      <c r="AM6" s="8" t="str">
        <f t="shared" si="0"/>
        <v>Constantinople, Exports, in pound/cwts.</v>
      </c>
      <c r="AN6" s="8" t="str">
        <f t="shared" si="0"/>
        <v>Constantinople, Bazaar (Local), in pound/cwts.</v>
      </c>
      <c r="AO6" s="8" t="str">
        <f t="shared" si="0"/>
        <v>Trebizond (Anatolia), Imports, in pound/cwts.</v>
      </c>
      <c r="AP6" s="8" t="str">
        <f t="shared" si="0"/>
        <v>Trebizond (Anatolia), Exports, in pound/cwts.</v>
      </c>
      <c r="AQ6" s="8" t="str">
        <f t="shared" si="0"/>
        <v>Trebizond (Anatolia), Bazaar (Local), in pound/cwts.</v>
      </c>
      <c r="AR6" s="8" t="str">
        <f t="shared" ref="AR6:BW6" si="1">CONCATENATE(AR2,", ",AR4,", ","in ",AR5)</f>
        <v>Trebizond (Persia), Imports, in pound/cwts.</v>
      </c>
      <c r="AS6" s="8" t="str">
        <f t="shared" si="1"/>
        <v>Trebizond (Persia), Exports, in pound/cwts.</v>
      </c>
      <c r="AT6" s="8" t="str">
        <f t="shared" si="1"/>
        <v>Trebizond (Persia), Bazaar (Local), in pound/cwts.</v>
      </c>
      <c r="AU6" s="8" t="str">
        <f t="shared" si="1"/>
        <v>Izmir, Imports, in pound/cwts.</v>
      </c>
      <c r="AV6" s="8" t="str">
        <f t="shared" si="1"/>
        <v>Izmir, Exports, in pound/cwts.</v>
      </c>
      <c r="AW6" s="8" t="str">
        <f t="shared" si="1"/>
        <v>Izmir, Bazaar (Local), in pound/cwts.</v>
      </c>
      <c r="AX6" s="8" t="str">
        <f t="shared" si="1"/>
        <v>Alexandretta, Imports, in pound/cwts.</v>
      </c>
      <c r="AY6" s="8" t="str">
        <f t="shared" si="1"/>
        <v>Alexandretta, Exports, in pound/cwts.</v>
      </c>
      <c r="AZ6" s="8" t="str">
        <f t="shared" si="1"/>
        <v>Alexandretta, Bazaar (Local), in pound/cwts.</v>
      </c>
      <c r="BA6" s="8" t="str">
        <f t="shared" si="1"/>
        <v>Ispahan, Imports, in pound/cwts.</v>
      </c>
      <c r="BB6" s="8" t="str">
        <f t="shared" si="1"/>
        <v>Ispahan, Exports, in pound/cwts.</v>
      </c>
      <c r="BC6" s="8" t="str">
        <f t="shared" si="1"/>
        <v>Ispahan, Bazaar (Local), in pound/cwts.</v>
      </c>
      <c r="BD6" s="8" t="str">
        <f t="shared" si="1"/>
        <v>Yezd, Imports, in pound/cwts.</v>
      </c>
      <c r="BE6" s="8" t="str">
        <f t="shared" si="1"/>
        <v>Yezd, Exports, in pound/cwts.</v>
      </c>
      <c r="BF6" s="8" t="str">
        <f t="shared" si="1"/>
        <v>Yezd, Bazaar (Local), in pound/cwts.</v>
      </c>
      <c r="BG6" s="8" t="str">
        <f t="shared" si="1"/>
        <v>Khorasan, Imports, in pound/cwts.</v>
      </c>
      <c r="BH6" s="8" t="str">
        <f t="shared" si="1"/>
        <v>Khorasan, Exports, in pound/cwts.</v>
      </c>
      <c r="BI6" s="8" t="str">
        <f t="shared" si="1"/>
        <v>Khorasan, Bazaar (Local), in pound/cwts.</v>
      </c>
      <c r="BJ6" s="8" t="str">
        <f t="shared" si="1"/>
        <v>Kermanshah, Imports, in pound/cwts.</v>
      </c>
      <c r="BK6" s="8" t="str">
        <f t="shared" si="1"/>
        <v>Kermanshah, Exports, in pound/cwts.</v>
      </c>
      <c r="BL6" s="8" t="str">
        <f t="shared" si="1"/>
        <v>Kermanshah, Bazaar (Local), in pound/cwts.</v>
      </c>
      <c r="BM6" s="8" t="str">
        <f t="shared" si="1"/>
        <v>Kerman, Imports, in pound/cwts.</v>
      </c>
      <c r="BN6" s="8" t="str">
        <f t="shared" si="1"/>
        <v>Kerman, Exports, in pound/cwts.</v>
      </c>
      <c r="BO6" s="8" t="str">
        <f t="shared" si="1"/>
        <v>Kerman, Bazaar (Local), in pound/cwts.</v>
      </c>
      <c r="BP6" s="8" t="str">
        <f t="shared" si="1"/>
        <v>Bam, Imports, in pound/cwts.</v>
      </c>
      <c r="BQ6" s="8" t="str">
        <f t="shared" si="1"/>
        <v>Bam, Exports, in pound/cwts.</v>
      </c>
      <c r="BR6" s="8" t="str">
        <f t="shared" si="1"/>
        <v>Bam, Bazaar (Local), in pound/cwts.</v>
      </c>
      <c r="BS6" s="8" t="str">
        <f t="shared" si="1"/>
        <v>Resht, Imports, in pound/cwts.</v>
      </c>
      <c r="BT6" s="8" t="str">
        <f t="shared" si="1"/>
        <v>Resht, Exports, in pound/cwts.</v>
      </c>
      <c r="BU6" s="8" t="str">
        <f t="shared" si="1"/>
        <v>Resht, Bazaar (Local), in pound/cwts.</v>
      </c>
      <c r="BV6" s="8" t="str">
        <f t="shared" si="1"/>
        <v>Mazandaran, Imports, in pound/cwts.</v>
      </c>
      <c r="BW6" s="8" t="str">
        <f t="shared" si="1"/>
        <v>Mazandaran, Exports, in pound/cwts.</v>
      </c>
      <c r="BX6" s="8" t="str">
        <f t="shared" ref="BX6:DB6" si="2">CONCATENATE(BX2,", ",BX4,", ","in ",BX5)</f>
        <v>Mazandaran, Bazaar (Local), in pound/cwts.</v>
      </c>
      <c r="BY6" s="8" t="str">
        <f t="shared" si="2"/>
        <v>Ghilan &amp; Tunekabun, Imports, in pound/cwts.</v>
      </c>
      <c r="BZ6" s="8" t="str">
        <f t="shared" si="2"/>
        <v>Ghilan &amp; Tunekabun, Exports, in pound/cwts.</v>
      </c>
      <c r="CA6" s="8" t="str">
        <f t="shared" si="2"/>
        <v>Ghilan &amp; Tunekabun, Bazaar (Local), in pound/cwts.</v>
      </c>
      <c r="CB6" s="8" t="str">
        <f t="shared" si="2"/>
        <v>Bender Gez &amp; Astarabad, Imports, in pound/cwts.</v>
      </c>
      <c r="CC6" s="8" t="str">
        <f t="shared" si="2"/>
        <v>Bender Gez &amp; Astarabad, Exports, in pound/cwts.</v>
      </c>
      <c r="CD6" s="8" t="str">
        <f t="shared" si="2"/>
        <v>Bender Gez &amp; Astarabad, Bazaar (Local), in pound/cwts.</v>
      </c>
      <c r="CE6" s="8" t="str">
        <f t="shared" si="2"/>
        <v>Astara, Imports, in pound/cwts.</v>
      </c>
      <c r="CF6" s="8" t="str">
        <f t="shared" si="2"/>
        <v>Astara, Exports, in pound/cwts.</v>
      </c>
      <c r="CG6" s="8" t="str">
        <f t="shared" si="2"/>
        <v>Astara, Bazaar (Local), in pound/cwts.</v>
      </c>
      <c r="CH6" s="8" t="str">
        <f t="shared" si="2"/>
        <v>Sultanabad, Imports, in pound/cwts.</v>
      </c>
      <c r="CI6" s="8" t="str">
        <f t="shared" si="2"/>
        <v>Sultanabad, Exports, in pound/cwts.</v>
      </c>
      <c r="CJ6" s="8" t="str">
        <f t="shared" si="2"/>
        <v>Sultanabad, Bazaar (Local), in pound/cwts.</v>
      </c>
      <c r="CK6" s="8" t="str">
        <f t="shared" si="2"/>
        <v>Bahrain, Imports, in pound/cwts.</v>
      </c>
      <c r="CL6" s="8" t="str">
        <f t="shared" si="2"/>
        <v>Bahrain, Exports, in pound/cwts.</v>
      </c>
      <c r="CM6" s="8" t="str">
        <f t="shared" si="2"/>
        <v>Bahrain, Bazaar (Local), in pound/cwts.</v>
      </c>
      <c r="CN6" s="8" t="str">
        <f t="shared" si="2"/>
        <v>Muscat, Imports, in pound/cwts.</v>
      </c>
      <c r="CO6" s="8" t="str">
        <f t="shared" si="2"/>
        <v>Muscat, Exports, in pound/cwts.</v>
      </c>
      <c r="CP6" s="8" t="str">
        <f t="shared" si="2"/>
        <v>Muscat, Bazaar (Local), in pound/cwts.</v>
      </c>
      <c r="CQ6" s="8" t="str">
        <f t="shared" si="2"/>
        <v>Mohammerah, Imports, in pound/cwts.</v>
      </c>
      <c r="CR6" s="8" t="str">
        <f t="shared" si="2"/>
        <v>Mohammerah, Exports, in pound/cwts.</v>
      </c>
      <c r="CS6" s="8" t="str">
        <f t="shared" si="2"/>
        <v>Mohammerah, Bazaar (Local), in pound/cwts.</v>
      </c>
      <c r="CT6" s="8" t="str">
        <f t="shared" si="2"/>
        <v>Lingah, Imports, in pound/cwts.</v>
      </c>
      <c r="CU6" s="8" t="str">
        <f t="shared" si="2"/>
        <v>Lingah, Exports, in pound/cwts.</v>
      </c>
      <c r="CV6" s="8" t="str">
        <f t="shared" si="2"/>
        <v>Lingah, Bazaar (Local), in pound/cwts.</v>
      </c>
      <c r="CW6" s="8" t="str">
        <f t="shared" si="2"/>
        <v>Shiraz, Imports, in pound/cwts.</v>
      </c>
      <c r="CX6" s="8" t="str">
        <f t="shared" si="2"/>
        <v>Shiraz, Exports, in pound/cwts.</v>
      </c>
      <c r="CY6" s="8" t="str">
        <f t="shared" si="2"/>
        <v>Shiraz, Bazaar (Local), in pound/cwts.</v>
      </c>
      <c r="CZ6" s="8" t="str">
        <f t="shared" si="2"/>
        <v>Bengal, Imports, in pound/cwts.</v>
      </c>
      <c r="DA6" s="8" t="str">
        <f t="shared" si="2"/>
        <v>Bengal, Exports, in pound/cwts.</v>
      </c>
      <c r="DB6" s="8" t="str">
        <f t="shared" si="2"/>
        <v>Bengal, Bazaar (Local), in pound/cwts.</v>
      </c>
    </row>
    <row r="7" spans="1:106" hidden="1" x14ac:dyDescent="0.25">
      <c r="A7" s="9">
        <v>1840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</row>
    <row r="8" spans="1:106" hidden="1" x14ac:dyDescent="0.25">
      <c r="A8" s="9">
        <f t="shared" ref="A8:A39" si="3">A7+1</f>
        <v>1841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</row>
    <row r="9" spans="1:106" hidden="1" x14ac:dyDescent="0.25">
      <c r="A9" s="9">
        <f t="shared" si="3"/>
        <v>1842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6" hidden="1" x14ac:dyDescent="0.25">
      <c r="A10" s="9">
        <f t="shared" si="3"/>
        <v>1843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</row>
    <row r="11" spans="1:106" hidden="1" x14ac:dyDescent="0.25">
      <c r="A11" s="9">
        <f t="shared" si="3"/>
        <v>1844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</row>
    <row r="12" spans="1:106" hidden="1" x14ac:dyDescent="0.25">
      <c r="A12" s="9">
        <f t="shared" si="3"/>
        <v>1845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</row>
    <row r="13" spans="1:106" hidden="1" x14ac:dyDescent="0.25">
      <c r="A13" s="9">
        <f t="shared" si="3"/>
        <v>1846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</row>
    <row r="14" spans="1:106" hidden="1" x14ac:dyDescent="0.25">
      <c r="A14" s="9">
        <f t="shared" si="3"/>
        <v>1847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</row>
    <row r="15" spans="1:106" hidden="1" x14ac:dyDescent="0.25">
      <c r="A15" s="9">
        <f t="shared" si="3"/>
        <v>1848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</row>
    <row r="16" spans="1:106" hidden="1" x14ac:dyDescent="0.25">
      <c r="A16" s="9">
        <f t="shared" si="3"/>
        <v>1849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</row>
    <row r="17" spans="1:100" x14ac:dyDescent="0.25">
      <c r="A17" s="9">
        <f t="shared" si="3"/>
        <v>1850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</row>
    <row r="18" spans="1:100" x14ac:dyDescent="0.25">
      <c r="A18" s="9">
        <f t="shared" si="3"/>
        <v>1851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</row>
    <row r="19" spans="1:100" x14ac:dyDescent="0.25">
      <c r="A19" s="9">
        <f t="shared" si="3"/>
        <v>1852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</row>
    <row r="20" spans="1:100" x14ac:dyDescent="0.25">
      <c r="A20" s="9">
        <f t="shared" si="3"/>
        <v>1853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3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</row>
    <row r="21" spans="1:100" x14ac:dyDescent="0.25">
      <c r="A21" s="9">
        <f t="shared" si="3"/>
        <v>1854</v>
      </c>
      <c r="D21" s="1">
        <v>86.333094524453543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7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</row>
    <row r="22" spans="1:100" x14ac:dyDescent="0.25">
      <c r="A22" s="9">
        <f t="shared" si="3"/>
        <v>1855</v>
      </c>
      <c r="D22" s="1">
        <v>76.999301996290612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7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</row>
    <row r="23" spans="1:100" x14ac:dyDescent="0.25">
      <c r="A23" s="9">
        <f t="shared" si="3"/>
        <v>1856</v>
      </c>
      <c r="D23" s="1">
        <v>83.999456088890625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7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</row>
    <row r="24" spans="1:100" x14ac:dyDescent="0.25">
      <c r="A24" s="9">
        <f t="shared" si="3"/>
        <v>1857</v>
      </c>
      <c r="D24" s="1">
        <v>83.532228784153318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7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</row>
    <row r="25" spans="1:100" x14ac:dyDescent="0.25">
      <c r="A25" s="9">
        <f t="shared" si="3"/>
        <v>1858</v>
      </c>
      <c r="D25" s="1">
        <v>106.95392487269686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"/>
      <c r="S25" s="3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7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</row>
    <row r="26" spans="1:100" x14ac:dyDescent="0.25">
      <c r="A26" s="9">
        <f t="shared" si="3"/>
        <v>1859</v>
      </c>
      <c r="D26" s="1">
        <v>107.33351041627139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7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</row>
    <row r="27" spans="1:100" x14ac:dyDescent="0.25">
      <c r="A27" s="9">
        <f t="shared" si="3"/>
        <v>1860</v>
      </c>
      <c r="D27" s="1">
        <v>104.06640019577453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7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</row>
    <row r="28" spans="1:100" x14ac:dyDescent="0.25">
      <c r="A28" s="9">
        <f t="shared" si="3"/>
        <v>1861</v>
      </c>
      <c r="D28" s="1">
        <v>90.066731007858806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7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</row>
    <row r="29" spans="1:100" x14ac:dyDescent="0.25">
      <c r="A29" s="9">
        <f t="shared" si="3"/>
        <v>1862</v>
      </c>
      <c r="D29" s="1">
        <v>95.199655589495478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"/>
      <c r="S29" s="3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7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</row>
    <row r="30" spans="1:100" x14ac:dyDescent="0.25">
      <c r="A30" s="9">
        <f t="shared" si="3"/>
        <v>1863</v>
      </c>
      <c r="D30" s="1">
        <v>102.19983469723253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7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</row>
    <row r="31" spans="1:100" x14ac:dyDescent="0.25">
      <c r="A31" s="9">
        <f t="shared" si="3"/>
        <v>1864</v>
      </c>
      <c r="D31" s="1">
        <v>92.400233976769442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3">
        <f>112*0.675</f>
        <v>75.600000000000009</v>
      </c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</row>
    <row r="32" spans="1:100" x14ac:dyDescent="0.25">
      <c r="A32" s="9">
        <f t="shared" si="3"/>
        <v>1865</v>
      </c>
      <c r="D32" s="1">
        <v>80.266454545454536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3">
        <f>112*0.0583333333333333</f>
        <v>6.5333333333333297</v>
      </c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</row>
    <row r="33" spans="1:100" x14ac:dyDescent="0.25">
      <c r="A33" s="9">
        <f t="shared" si="3"/>
        <v>1866</v>
      </c>
      <c r="D33" s="1">
        <v>93.333200882688928</v>
      </c>
      <c r="F33" s="1"/>
      <c r="G33" s="1"/>
      <c r="H33" s="1"/>
      <c r="I33" s="1"/>
      <c r="J33" s="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3">
        <f>112*0.85</f>
        <v>95.2</v>
      </c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</row>
    <row r="34" spans="1:100" x14ac:dyDescent="0.25">
      <c r="A34" s="9">
        <f t="shared" si="3"/>
        <v>1867</v>
      </c>
      <c r="D34" s="1">
        <v>91.467031154263097</v>
      </c>
      <c r="F34" s="1"/>
      <c r="G34" s="1"/>
      <c r="H34" s="1"/>
      <c r="I34" s="1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3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</row>
    <row r="35" spans="1:100" x14ac:dyDescent="0.25">
      <c r="A35" s="9">
        <f t="shared" si="3"/>
        <v>1868</v>
      </c>
      <c r="D35" s="1">
        <v>139.9997741297947</v>
      </c>
      <c r="F35" s="1"/>
      <c r="G35" s="1"/>
      <c r="H35" s="1"/>
      <c r="I35" s="1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3">
        <f>112*0.95</f>
        <v>106.39999999999999</v>
      </c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</row>
    <row r="36" spans="1:100" x14ac:dyDescent="0.25">
      <c r="A36" s="9">
        <f t="shared" si="3"/>
        <v>1869</v>
      </c>
      <c r="D36" s="1">
        <v>180.60168346088238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3">
        <f>112*2.1</f>
        <v>235.20000000000002</v>
      </c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</row>
    <row r="37" spans="1:100" x14ac:dyDescent="0.25">
      <c r="A37" s="9">
        <f t="shared" si="3"/>
        <v>1870</v>
      </c>
      <c r="D37" s="1">
        <v>146.06672251253207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5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</row>
    <row r="38" spans="1:100" x14ac:dyDescent="0.25">
      <c r="A38" s="9">
        <f t="shared" si="3"/>
        <v>1871</v>
      </c>
      <c r="D38" s="1">
        <v>111.91219229730741</v>
      </c>
      <c r="F38" s="1"/>
      <c r="G38" s="1"/>
      <c r="H38" s="1"/>
      <c r="I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3">
        <f>112*0.85</f>
        <v>95.2</v>
      </c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</row>
    <row r="39" spans="1:100" x14ac:dyDescent="0.25">
      <c r="A39" s="9">
        <f t="shared" si="3"/>
        <v>1872</v>
      </c>
      <c r="D39" s="1">
        <v>112.30772724176299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3">
        <f>112*1.4</f>
        <v>156.79999999999998</v>
      </c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</row>
    <row r="40" spans="1:100" x14ac:dyDescent="0.25">
      <c r="A40" s="9">
        <f t="shared" ref="A40:A71" si="4">A39+1</f>
        <v>1873</v>
      </c>
      <c r="D40" s="1">
        <v>119.72540177270858</v>
      </c>
      <c r="F40" s="1"/>
      <c r="G40" s="1"/>
      <c r="H40" s="3"/>
      <c r="I40" s="1"/>
      <c r="J40" s="1"/>
      <c r="K40" s="1"/>
      <c r="L40" s="1"/>
      <c r="M40" s="1"/>
      <c r="N40" s="1"/>
      <c r="O40" s="1"/>
      <c r="P40" s="1"/>
      <c r="Q40" s="1"/>
      <c r="R40" s="3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5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</row>
    <row r="41" spans="1:100" x14ac:dyDescent="0.25">
      <c r="A41" s="9">
        <f t="shared" si="4"/>
        <v>1874</v>
      </c>
      <c r="D41" s="1">
        <v>121.91671617043222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3">
        <f>112*1.4</f>
        <v>156.79999999999998</v>
      </c>
      <c r="AW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T41" s="1"/>
      <c r="BU41" s="3"/>
      <c r="BV41" s="3"/>
      <c r="BW41" s="3"/>
      <c r="BX41" s="3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</row>
    <row r="42" spans="1:100" x14ac:dyDescent="0.25">
      <c r="A42" s="9">
        <f t="shared" si="4"/>
        <v>1875</v>
      </c>
      <c r="D42" s="1">
        <v>117.26207478663969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3">
        <f>112*0.8</f>
        <v>89.600000000000009</v>
      </c>
      <c r="AW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T42" s="1"/>
      <c r="BU42" s="1"/>
      <c r="BV42" s="1"/>
      <c r="BW42" s="1"/>
      <c r="BX42" s="1"/>
      <c r="BY42" s="1"/>
      <c r="BZ42" s="1"/>
      <c r="CA42" s="3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>
        <v>45.874401330591034</v>
      </c>
      <c r="CP42" s="1"/>
      <c r="CQ42" s="1"/>
      <c r="CR42" s="1"/>
      <c r="CS42" s="1"/>
      <c r="CT42" s="1"/>
      <c r="CU42" s="1"/>
      <c r="CV42" s="1"/>
    </row>
    <row r="43" spans="1:100" x14ac:dyDescent="0.25">
      <c r="A43" s="9">
        <f t="shared" si="4"/>
        <v>1876</v>
      </c>
      <c r="D43" s="1">
        <v>105.81410267288926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"/>
      <c r="S43" s="1"/>
      <c r="T43" s="1"/>
      <c r="U43" s="1"/>
      <c r="V43" s="1"/>
      <c r="W43" s="1"/>
      <c r="X43" s="1"/>
      <c r="Y43" s="1"/>
      <c r="Z43" s="1"/>
      <c r="AA43" s="1">
        <v>83.140533774268249</v>
      </c>
      <c r="AB43" s="1"/>
      <c r="AC43" s="1"/>
      <c r="AD43" s="1">
        <v>75.287776261653505</v>
      </c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3">
        <f>112*1.05</f>
        <v>117.60000000000001</v>
      </c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T43" s="1"/>
      <c r="BU43" s="1"/>
      <c r="BV43" s="1"/>
      <c r="BW43" s="1"/>
      <c r="BX43" s="1"/>
      <c r="BY43" s="1"/>
      <c r="BZ43" s="1"/>
      <c r="CA43" s="3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</row>
    <row r="44" spans="1:100" x14ac:dyDescent="0.25">
      <c r="A44" s="9">
        <f t="shared" si="4"/>
        <v>1877</v>
      </c>
      <c r="D44" s="1">
        <v>108.18936032188867</v>
      </c>
      <c r="F44" s="1"/>
      <c r="H44" s="1"/>
      <c r="I44" s="1"/>
      <c r="J44" s="1"/>
      <c r="K44" s="1"/>
      <c r="L44" s="1"/>
      <c r="M44" s="1"/>
      <c r="N44" s="1"/>
      <c r="O44" s="1"/>
      <c r="P44" s="1"/>
      <c r="Q44" s="3"/>
      <c r="R44" s="3"/>
      <c r="S44" s="1"/>
      <c r="T44" s="1"/>
      <c r="U44" s="1"/>
      <c r="V44" s="1"/>
      <c r="W44" s="1"/>
      <c r="X44" s="1"/>
      <c r="Y44" s="1"/>
      <c r="Z44" s="1"/>
      <c r="AA44" s="1">
        <v>77.178936052942845</v>
      </c>
      <c r="AB44" s="1"/>
      <c r="AC44" s="1"/>
      <c r="AD44" s="1">
        <v>71.661776208014444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3">
        <f>(1/20)*2234.39750803364</f>
        <v>111.719875401682</v>
      </c>
      <c r="AW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>
        <v>55.263530174352113</v>
      </c>
      <c r="CP44" s="1"/>
      <c r="CQ44" s="1"/>
      <c r="CR44" s="1"/>
      <c r="CS44" s="1"/>
      <c r="CT44" s="1"/>
      <c r="CU44" s="1"/>
      <c r="CV44" s="1"/>
    </row>
    <row r="45" spans="1:100" x14ac:dyDescent="0.25">
      <c r="A45" s="9">
        <f t="shared" si="4"/>
        <v>1878</v>
      </c>
      <c r="D45" s="1">
        <v>91.329982823334817</v>
      </c>
      <c r="E45" s="1">
        <f>112*0.441176470588235</f>
        <v>49.41176470588232</v>
      </c>
      <c r="F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"/>
      <c r="S45" s="1"/>
      <c r="T45" s="1"/>
      <c r="U45" s="1"/>
      <c r="V45" s="1"/>
      <c r="W45" s="1"/>
      <c r="X45" s="1"/>
      <c r="Y45" s="1"/>
      <c r="Z45" s="1"/>
      <c r="AA45" s="1">
        <v>65.531256134515786</v>
      </c>
      <c r="AB45" s="1"/>
      <c r="AC45" s="1"/>
      <c r="AD45" s="1">
        <v>61.113418642301248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3">
        <f>(1/20)*1911.39870582379</f>
        <v>95.569935291189495</v>
      </c>
      <c r="AW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>
        <v>70.660021097119142</v>
      </c>
      <c r="CP45" s="1"/>
      <c r="CQ45" s="1"/>
      <c r="CR45" s="1"/>
      <c r="CS45" s="1"/>
      <c r="CT45" s="1"/>
      <c r="CU45" s="1"/>
      <c r="CV45" s="1"/>
    </row>
    <row r="46" spans="1:100" x14ac:dyDescent="0.25">
      <c r="A46" s="9">
        <f t="shared" si="4"/>
        <v>1879</v>
      </c>
      <c r="D46" s="1">
        <v>90.370615224371392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3"/>
      <c r="R46" s="1"/>
      <c r="S46" s="1"/>
      <c r="T46" s="1"/>
      <c r="U46" s="1"/>
      <c r="V46" s="1"/>
      <c r="W46" s="1"/>
      <c r="X46" s="1"/>
      <c r="Y46" s="1"/>
      <c r="Z46" s="1"/>
      <c r="AA46" s="1">
        <v>73.075122711499191</v>
      </c>
      <c r="AB46" s="1"/>
      <c r="AC46" s="1"/>
      <c r="AD46" s="1">
        <v>63.116989756825959</v>
      </c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3">
        <f>(1/20)*2006.78664474217</f>
        <v>100.33933223710851</v>
      </c>
      <c r="AW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>
        <v>68.89562104594259</v>
      </c>
      <c r="CP46" s="1"/>
      <c r="CQ46" s="1"/>
      <c r="CR46" s="1"/>
      <c r="CS46" s="1"/>
      <c r="CT46" s="1"/>
      <c r="CU46" s="1"/>
      <c r="CV46" s="1"/>
    </row>
    <row r="47" spans="1:100" x14ac:dyDescent="0.25">
      <c r="A47" s="9">
        <f t="shared" si="4"/>
        <v>1880</v>
      </c>
      <c r="D47" s="1">
        <v>109.56591478696743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"/>
      <c r="S47" s="3"/>
      <c r="T47" s="1"/>
      <c r="U47" s="1"/>
      <c r="V47" s="1"/>
      <c r="W47" s="1"/>
      <c r="X47" s="1"/>
      <c r="Y47" s="1"/>
      <c r="Z47" s="1"/>
      <c r="AA47" s="1">
        <v>106.47234479809796</v>
      </c>
      <c r="AB47" s="1"/>
      <c r="AC47" s="1"/>
      <c r="AD47" s="1">
        <v>97.61151129050225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3">
        <f>(1/20)*2639.25539704534</f>
        <v>131.962769852267</v>
      </c>
      <c r="AW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>
        <v>122.91987023196832</v>
      </c>
      <c r="CP47" s="1"/>
      <c r="CQ47" s="1"/>
      <c r="CR47" s="1"/>
      <c r="CS47" s="1"/>
      <c r="CT47" s="1"/>
      <c r="CU47" s="1"/>
      <c r="CV47" s="1"/>
    </row>
    <row r="48" spans="1:100" x14ac:dyDescent="0.25">
      <c r="A48" s="9">
        <f t="shared" si="4"/>
        <v>1881</v>
      </c>
      <c r="D48" s="1">
        <v>94.463831513151845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>
        <f>112*0.8</f>
        <v>89.600000000000009</v>
      </c>
      <c r="AN48" s="1"/>
      <c r="AO48" s="1"/>
      <c r="AP48" s="1"/>
      <c r="AQ48" s="1"/>
      <c r="AR48" s="1"/>
      <c r="AS48" s="1"/>
      <c r="AT48" s="1"/>
      <c r="AU48" s="1"/>
      <c r="AV48" s="3">
        <f>(1/20)*1592.83225485316</f>
        <v>79.641612742658012</v>
      </c>
      <c r="AW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>
        <v>69.483754396334788</v>
      </c>
      <c r="CP48" s="1"/>
      <c r="CQ48" s="1"/>
      <c r="CR48" s="1"/>
      <c r="CS48" s="1"/>
      <c r="CT48" s="1"/>
      <c r="CU48" s="1"/>
      <c r="CV48" s="1"/>
    </row>
    <row r="49" spans="1:105" x14ac:dyDescent="0.25">
      <c r="A49" s="9">
        <f t="shared" si="4"/>
        <v>1882</v>
      </c>
      <c r="D49" s="1">
        <v>86.587551485500427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N49" s="1"/>
      <c r="AO49" s="1"/>
      <c r="AP49" s="1"/>
      <c r="AQ49" s="1"/>
      <c r="AR49" s="1"/>
      <c r="AS49" s="1"/>
      <c r="AT49" s="1"/>
      <c r="AU49" s="1"/>
      <c r="AV49" s="3">
        <f>(1/20)*1592.83225485316</f>
        <v>79.641612742658012</v>
      </c>
      <c r="AW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>
        <v>90.219655950162377</v>
      </c>
      <c r="CP49" s="1"/>
      <c r="CQ49" s="1"/>
      <c r="CR49" s="1"/>
      <c r="CS49" s="1"/>
      <c r="CT49" s="1"/>
      <c r="CU49" s="1"/>
      <c r="CV49" s="1"/>
    </row>
    <row r="50" spans="1:105" x14ac:dyDescent="0.25">
      <c r="A50" s="9">
        <f t="shared" si="4"/>
        <v>1883</v>
      </c>
      <c r="D50" s="1">
        <v>81.846741708391377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N50" s="1"/>
      <c r="AO50" s="1"/>
      <c r="AP50" s="1"/>
      <c r="AQ50" s="1"/>
      <c r="AR50" s="1"/>
      <c r="AS50" s="1">
        <v>85.712500000000006</v>
      </c>
      <c r="AT50" s="1"/>
      <c r="AU50" s="1"/>
      <c r="AV50" s="3">
        <f>(1/20)*1433.54902936784</f>
        <v>71.677451468391993</v>
      </c>
      <c r="AW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>
        <v>60.419032440290017</v>
      </c>
      <c r="CP50" s="1"/>
      <c r="CQ50" s="1"/>
      <c r="CR50" s="1"/>
      <c r="CS50" s="1"/>
      <c r="CT50" s="1"/>
      <c r="CU50" s="1"/>
      <c r="CV50" s="1"/>
    </row>
    <row r="51" spans="1:105" x14ac:dyDescent="0.25">
      <c r="A51" s="9">
        <f t="shared" si="4"/>
        <v>1884</v>
      </c>
      <c r="D51" s="1">
        <v>88.166301579593579</v>
      </c>
      <c r="F51" s="1"/>
      <c r="G51" s="1"/>
      <c r="H51" s="1"/>
      <c r="I51" s="1"/>
      <c r="J51" s="1"/>
      <c r="K51" s="3"/>
      <c r="L51" s="3"/>
      <c r="M51" s="3"/>
      <c r="N51" s="3"/>
      <c r="O51" s="3"/>
      <c r="P51" s="3"/>
      <c r="Q51" s="1"/>
      <c r="R51" s="1"/>
      <c r="S51" s="1"/>
      <c r="T51" s="1"/>
      <c r="U51" s="1"/>
      <c r="V51" s="1"/>
      <c r="W51" s="1"/>
      <c r="X51" s="3"/>
      <c r="Y51" s="3"/>
      <c r="Z51" s="1"/>
      <c r="AA51" s="1"/>
      <c r="AB51" s="1"/>
      <c r="AC51" s="1"/>
      <c r="AD51" s="1"/>
      <c r="AE51" s="1"/>
      <c r="AF51" s="1"/>
      <c r="AG51" s="1"/>
      <c r="AH51" s="1"/>
      <c r="AI51" s="3"/>
      <c r="AJ51" s="1"/>
      <c r="AK51" s="3"/>
      <c r="AL51" s="1"/>
      <c r="AN51" s="1"/>
      <c r="AO51" s="1"/>
      <c r="AP51" s="1"/>
      <c r="AQ51" s="3"/>
      <c r="AR51" s="3"/>
      <c r="AS51" s="3">
        <v>85.714285714285708</v>
      </c>
      <c r="AT51" s="3"/>
      <c r="AU51" s="1"/>
      <c r="AV51" s="3">
        <f>(1/20)*1592.83225485316</f>
        <v>79.641612742658012</v>
      </c>
      <c r="AW51" s="1"/>
      <c r="AY51" s="1"/>
      <c r="AZ51" s="3"/>
      <c r="BA51" s="3"/>
      <c r="BB51" s="3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3"/>
      <c r="BN51" s="3"/>
      <c r="BO51" s="1"/>
      <c r="BP51" s="3"/>
      <c r="BQ51" s="1"/>
      <c r="BR51" s="3"/>
      <c r="BT51" s="3"/>
      <c r="BU51" s="1"/>
      <c r="BV51" s="1"/>
      <c r="BW51" s="1"/>
      <c r="BX51" s="1"/>
      <c r="BY51" s="1"/>
      <c r="BZ51" s="3"/>
      <c r="CA51" s="1"/>
      <c r="CB51" s="3"/>
      <c r="CC51" s="1"/>
      <c r="CD51" s="3"/>
      <c r="CE51" s="3"/>
      <c r="CF51" s="1"/>
      <c r="CG51" s="3"/>
      <c r="CH51" s="3"/>
      <c r="CI51" s="1"/>
      <c r="CJ51" s="3"/>
      <c r="CK51" s="1"/>
      <c r="CL51" s="1"/>
      <c r="CM51" s="1"/>
      <c r="CN51" s="1"/>
      <c r="CO51" s="3">
        <v>68.055430545382308</v>
      </c>
      <c r="CP51" s="3"/>
      <c r="CQ51" s="3"/>
      <c r="CR51" s="1"/>
      <c r="CS51" s="3"/>
      <c r="CT51" s="1"/>
      <c r="CU51" s="3"/>
      <c r="CV51" s="3"/>
    </row>
    <row r="52" spans="1:105" x14ac:dyDescent="0.25">
      <c r="A52" s="9">
        <f t="shared" si="4"/>
        <v>1885</v>
      </c>
      <c r="D52" s="1">
        <v>70.928381264169943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>
        <v>70.103783172544453</v>
      </c>
      <c r="AB52" s="1"/>
      <c r="AC52" s="1"/>
      <c r="AD52" s="1">
        <v>51.777159652818369</v>
      </c>
      <c r="AE52" s="1"/>
      <c r="AF52" s="1"/>
      <c r="AG52" s="1">
        <v>52.31094480387835</v>
      </c>
      <c r="AH52" s="1"/>
      <c r="AI52" s="1"/>
      <c r="AJ52" s="1"/>
      <c r="AK52" s="1"/>
      <c r="AL52" s="1"/>
      <c r="AM52" s="1">
        <f>112*0.575</f>
        <v>64.399999999999991</v>
      </c>
      <c r="AN52" s="1"/>
      <c r="AO52" s="1"/>
      <c r="AP52" s="1"/>
      <c r="AQ52" s="1"/>
      <c r="AR52" s="1"/>
      <c r="AS52" s="1"/>
      <c r="AT52" s="1"/>
      <c r="AU52" s="1"/>
      <c r="AV52" s="3">
        <f>(1/20)*1401.69238427078</f>
        <v>70.084619213539</v>
      </c>
      <c r="AW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>
        <v>32.641400946766701</v>
      </c>
      <c r="CP52" s="1"/>
      <c r="CQ52" s="1"/>
      <c r="CR52" s="1"/>
      <c r="CS52" s="1"/>
      <c r="CT52" s="1"/>
      <c r="CU52" s="1"/>
      <c r="CV52" s="1"/>
      <c r="DA52">
        <v>35.547428571428576</v>
      </c>
    </row>
    <row r="53" spans="1:105" x14ac:dyDescent="0.25">
      <c r="A53" s="9">
        <f t="shared" si="4"/>
        <v>1886</v>
      </c>
      <c r="D53" s="1">
        <v>65.679859388710355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"/>
      <c r="S53" s="1"/>
      <c r="T53" s="1"/>
      <c r="U53" s="1"/>
      <c r="V53" s="1"/>
      <c r="W53" s="1"/>
      <c r="X53" s="1"/>
      <c r="Y53" s="1"/>
      <c r="Z53" s="1"/>
      <c r="AA53" s="1">
        <v>57.809079997175743</v>
      </c>
      <c r="AB53" s="1"/>
      <c r="AC53" s="1"/>
      <c r="AD53" s="1">
        <v>40.821153710372094</v>
      </c>
      <c r="AE53" s="1"/>
      <c r="AF53" s="1"/>
      <c r="AG53" s="1">
        <v>42.010873402527714</v>
      </c>
      <c r="AH53" s="1"/>
      <c r="AI53" s="1"/>
      <c r="AJ53" s="1"/>
      <c r="AK53" s="1"/>
      <c r="AM53" s="1">
        <f>112*0.442258703651288</f>
        <v>49.532974808944253</v>
      </c>
      <c r="AN53" s="1"/>
      <c r="AO53" s="1"/>
      <c r="AP53" s="1"/>
      <c r="AQ53" s="1"/>
      <c r="AR53" s="1"/>
      <c r="AS53" s="1"/>
      <c r="AT53" s="1"/>
      <c r="AU53" s="1"/>
      <c r="AV53" s="3">
        <f>(1/20)*1620.7057948519</f>
        <v>81.035289742595012</v>
      </c>
      <c r="AW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>
        <v>97.596528545081611</v>
      </c>
      <c r="CP53" s="1"/>
      <c r="CQ53" s="1"/>
      <c r="CR53" s="1"/>
      <c r="CS53" s="1"/>
      <c r="CT53" s="1"/>
      <c r="CU53" s="1"/>
      <c r="CV53" s="1"/>
      <c r="DA53">
        <v>33.298285714285718</v>
      </c>
    </row>
    <row r="54" spans="1:105" x14ac:dyDescent="0.25">
      <c r="A54" s="9">
        <f t="shared" si="4"/>
        <v>1887</v>
      </c>
      <c r="D54" s="1">
        <v>76.374030475424547</v>
      </c>
      <c r="F54" s="1">
        <f>112*0.25390625</f>
        <v>28.4375</v>
      </c>
      <c r="G54" s="1"/>
      <c r="H54" s="1"/>
      <c r="I54" s="1">
        <f>112*0.50110075131706</f>
        <v>56.123284147510716</v>
      </c>
      <c r="J54" s="1"/>
      <c r="K54" s="1"/>
      <c r="L54" s="1"/>
      <c r="M54" s="1"/>
      <c r="N54" s="1"/>
      <c r="O54" s="1"/>
      <c r="P54" s="1"/>
      <c r="Q54" s="1"/>
      <c r="R54" s="3"/>
      <c r="S54" s="1"/>
      <c r="T54" s="1"/>
      <c r="U54" s="1"/>
      <c r="V54" s="1"/>
      <c r="W54" s="1"/>
      <c r="X54" s="1"/>
      <c r="Y54" s="1"/>
      <c r="Z54" s="1"/>
      <c r="AA54" s="1">
        <v>82.232236984663786</v>
      </c>
      <c r="AB54" s="1"/>
      <c r="AC54" s="1"/>
      <c r="AD54" s="1">
        <v>69.238691393553395</v>
      </c>
      <c r="AE54" s="1"/>
      <c r="AF54" s="1"/>
      <c r="AG54" s="1">
        <v>70.728245282146062</v>
      </c>
      <c r="AH54" s="1"/>
      <c r="AI54" s="1"/>
      <c r="AJ54" s="1"/>
      <c r="AK54" s="1"/>
      <c r="AL54" s="1"/>
      <c r="AM54" s="1">
        <f>112*0.868435272624347</f>
        <v>97.264750533926872</v>
      </c>
      <c r="AN54" s="1"/>
      <c r="AO54" s="1"/>
      <c r="AP54" s="1"/>
      <c r="AQ54" s="1"/>
      <c r="AR54" s="1"/>
      <c r="AS54" s="1"/>
      <c r="AT54" s="1"/>
      <c r="AU54" s="1"/>
      <c r="AV54" s="15"/>
      <c r="AW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>
        <v>100.12270131676613</v>
      </c>
      <c r="CP54" s="1"/>
      <c r="CQ54" s="1"/>
      <c r="CR54" s="1"/>
      <c r="CS54" s="1"/>
      <c r="CT54" s="1"/>
      <c r="CV54" s="1"/>
      <c r="CW54" s="1"/>
      <c r="CX54">
        <v>41.776129445389266</v>
      </c>
      <c r="DA54">
        <v>30.691764705882349</v>
      </c>
    </row>
    <row r="55" spans="1:105" x14ac:dyDescent="0.25">
      <c r="A55" s="9">
        <f t="shared" si="4"/>
        <v>1888</v>
      </c>
      <c r="D55" s="1">
        <v>69.34144195802368</v>
      </c>
      <c r="F55" s="1">
        <f>112*0.607142857142857</f>
        <v>67.999999999999986</v>
      </c>
      <c r="G55" s="1"/>
      <c r="H55" s="1"/>
      <c r="I55" s="3">
        <f>112*0.728576245604459</f>
        <v>81.600539507699409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>
        <v>64.442624087817009</v>
      </c>
      <c r="AB55" s="1"/>
      <c r="AC55" s="1"/>
      <c r="AD55" s="1">
        <v>42.513866681162874</v>
      </c>
      <c r="AE55" s="1"/>
      <c r="AF55" s="1"/>
      <c r="AG55" s="1">
        <v>44.298399356668476</v>
      </c>
      <c r="AH55" s="1"/>
      <c r="AI55" s="1"/>
      <c r="AJ55" s="1"/>
      <c r="AK55" s="1"/>
      <c r="AL55" s="1"/>
      <c r="AN55" s="1"/>
      <c r="AO55" s="1"/>
      <c r="AP55" s="1"/>
      <c r="AQ55" s="1"/>
      <c r="AR55" s="1"/>
      <c r="AS55" s="1"/>
      <c r="AT55" s="1"/>
      <c r="AU55" s="1"/>
      <c r="AV55" s="3">
        <f>(1/20)*1274.26580388253</f>
        <v>63.7132901941265</v>
      </c>
      <c r="AW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3"/>
      <c r="BJ55" s="1"/>
      <c r="BK55" s="1"/>
      <c r="BL55" s="1"/>
      <c r="BM55" s="1"/>
      <c r="BN55" s="1"/>
      <c r="BO55" s="1"/>
      <c r="BP55" s="1"/>
      <c r="BQ55" s="1"/>
      <c r="BR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>
        <v>92.219309341495858</v>
      </c>
      <c r="CP55" s="1"/>
      <c r="CQ55" s="1"/>
      <c r="CR55" s="1"/>
      <c r="CS55" s="1"/>
      <c r="CT55" s="1"/>
      <c r="CV55" s="1"/>
      <c r="CW55" s="1"/>
      <c r="CX55">
        <v>41.593435001750528</v>
      </c>
      <c r="DA55">
        <v>30.458181818181824</v>
      </c>
    </row>
    <row r="56" spans="1:105" x14ac:dyDescent="0.25">
      <c r="A56" s="9">
        <f t="shared" si="4"/>
        <v>1889</v>
      </c>
      <c r="D56" s="1">
        <v>62.686301978337369</v>
      </c>
      <c r="F56" s="1">
        <f>112*0.583791208791209</f>
        <v>65.384615384615415</v>
      </c>
      <c r="G56" s="1"/>
      <c r="H56" s="1"/>
      <c r="I56" s="3">
        <f>112*0.730145860564133</f>
        <v>81.776336383182894</v>
      </c>
      <c r="J56" s="1"/>
      <c r="K56" s="1"/>
      <c r="L56" s="1"/>
      <c r="M56" s="1"/>
      <c r="N56" s="1"/>
      <c r="O56" s="1"/>
      <c r="P56" s="1"/>
      <c r="Q56" s="1"/>
      <c r="R56" s="3"/>
      <c r="S56" s="1"/>
      <c r="T56" s="1"/>
      <c r="U56" s="1"/>
      <c r="V56" s="1"/>
      <c r="W56" s="1"/>
      <c r="X56" s="1"/>
      <c r="Y56" s="1"/>
      <c r="Z56" s="1"/>
      <c r="AA56" s="1">
        <v>70.76877651755855</v>
      </c>
      <c r="AB56" s="1"/>
      <c r="AC56" s="1"/>
      <c r="AD56" s="1">
        <v>46.728672019923877</v>
      </c>
      <c r="AE56" s="1"/>
      <c r="AF56" s="1"/>
      <c r="AG56" s="1">
        <v>48.303068815672084</v>
      </c>
      <c r="AH56" s="1"/>
      <c r="AI56" s="1"/>
      <c r="AJ56" s="1"/>
      <c r="AK56" s="1"/>
      <c r="AL56" s="1"/>
      <c r="AM56" s="1">
        <f>112*0.516666666666667</f>
        <v>57.86666666666671</v>
      </c>
      <c r="AN56" s="1"/>
      <c r="AO56" s="1"/>
      <c r="AP56" s="1"/>
      <c r="AQ56" s="1"/>
      <c r="AR56" s="1"/>
      <c r="AS56" s="1"/>
      <c r="AT56" s="1"/>
      <c r="AU56" s="1"/>
      <c r="AV56" s="3">
        <f>(1/20)*1241.12634086209</f>
        <v>62.056317043104507</v>
      </c>
      <c r="AW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>
        <f>112*0.245833333333333</f>
        <v>27.533333333333296</v>
      </c>
      <c r="BK56" s="1"/>
      <c r="BL56" s="1"/>
      <c r="BM56" s="1"/>
      <c r="BN56" s="1"/>
      <c r="BO56" s="1"/>
      <c r="BP56" s="1"/>
      <c r="BQ56" s="1"/>
      <c r="BR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>
        <v>8.6077516782400227</v>
      </c>
      <c r="CP56" s="1"/>
      <c r="CQ56" s="1"/>
      <c r="CR56" s="1"/>
      <c r="CS56" s="1"/>
      <c r="CT56" s="1"/>
      <c r="CV56" s="1"/>
      <c r="CW56" s="1"/>
      <c r="CX56">
        <v>69.381153040345183</v>
      </c>
      <c r="DA56">
        <v>35.869090909090914</v>
      </c>
    </row>
    <row r="57" spans="1:105" x14ac:dyDescent="0.25">
      <c r="A57" s="9">
        <f t="shared" si="4"/>
        <v>1890</v>
      </c>
      <c r="D57" s="1">
        <v>69.497282099343963</v>
      </c>
      <c r="F57" s="1">
        <f>112*0.520833333333333</f>
        <v>58.3333333333333</v>
      </c>
      <c r="G57" s="1"/>
      <c r="H57" s="1"/>
      <c r="I57" s="3">
        <f>112*0.727310246239771</f>
        <v>81.458747578854357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>
        <v>65.297927377995165</v>
      </c>
      <c r="AB57" s="1"/>
      <c r="AC57" s="1"/>
      <c r="AD57" s="1">
        <v>57.810556315110446</v>
      </c>
      <c r="AE57" s="1"/>
      <c r="AF57" s="1"/>
      <c r="AG57" s="1">
        <v>57.512211716829384</v>
      </c>
      <c r="AH57" s="1"/>
      <c r="AI57" s="1"/>
      <c r="AJ57" s="1"/>
      <c r="AK57" s="1"/>
      <c r="AL57" s="1"/>
      <c r="AN57" s="1"/>
      <c r="AO57" s="1"/>
      <c r="AP57" s="1"/>
      <c r="AQ57" s="1"/>
      <c r="AR57" s="1"/>
      <c r="AS57" s="1"/>
      <c r="AT57" s="1"/>
      <c r="AU57" s="1"/>
      <c r="AV57" s="3">
        <f>(1/20)*1083.12593330015</f>
        <v>54.15629666500751</v>
      </c>
      <c r="AW57" s="1"/>
      <c r="AY57" s="1">
        <f>(1/20)*805.428571428571</f>
        <v>40.271428571428551</v>
      </c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M57" s="1"/>
      <c r="CN57" s="1"/>
      <c r="CO57" s="1">
        <v>64.190554242805035</v>
      </c>
      <c r="CP57" s="1"/>
      <c r="CQ57" s="1"/>
      <c r="CR57" s="1"/>
      <c r="CS57" s="1"/>
      <c r="CT57" s="1"/>
      <c r="CV57" s="1"/>
      <c r="CW57" s="1"/>
      <c r="CX57">
        <v>64.192345937389504</v>
      </c>
      <c r="DA57">
        <v>30.026666666666667</v>
      </c>
    </row>
    <row r="58" spans="1:105" x14ac:dyDescent="0.25">
      <c r="A58" s="9">
        <f t="shared" si="4"/>
        <v>1891</v>
      </c>
      <c r="D58" s="1">
        <v>60.112094752196384</v>
      </c>
      <c r="F58" s="1">
        <f>112*0.46218487394958</f>
        <v>51.764705882352963</v>
      </c>
      <c r="G58" s="1"/>
      <c r="H58" s="1"/>
      <c r="I58" s="3">
        <f>112*0.273410799726589</f>
        <v>30.622009569377965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>
        <v>46.978075784045387</v>
      </c>
      <c r="AB58" s="1"/>
      <c r="AC58" s="1"/>
      <c r="AD58" s="1">
        <v>39.610554861189392</v>
      </c>
      <c r="AE58" s="1"/>
      <c r="AF58" s="1"/>
      <c r="AG58" s="1">
        <v>39.462570222853692</v>
      </c>
      <c r="AH58" s="1"/>
      <c r="AI58" s="1"/>
      <c r="AJ58" s="1"/>
      <c r="AK58" s="1"/>
      <c r="AL58" s="1"/>
      <c r="AM58" s="1">
        <f>112*0.35</f>
        <v>39.199999999999996</v>
      </c>
      <c r="AN58" s="1"/>
      <c r="AO58" s="1"/>
      <c r="AP58" s="1"/>
      <c r="AQ58" s="1"/>
      <c r="AR58" s="1"/>
      <c r="AS58" s="1"/>
      <c r="AT58" s="1"/>
      <c r="AU58" s="1"/>
      <c r="AV58" s="3">
        <f>(1/20)*1019.41264310602</f>
        <v>50.970632155301004</v>
      </c>
      <c r="AW58" s="1"/>
      <c r="AY58" s="1">
        <f>(1/20)*804.999999999999</f>
        <v>40.24999999999995</v>
      </c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3"/>
      <c r="BV58" s="3"/>
      <c r="BW58" s="3"/>
      <c r="BX58" s="3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K58" s="1"/>
      <c r="CL58" s="1"/>
      <c r="CM58" s="1"/>
      <c r="CN58" s="1"/>
      <c r="CO58" s="1">
        <v>60.577735090395862</v>
      </c>
      <c r="CP58" s="1"/>
      <c r="CQ58" s="1"/>
      <c r="CR58" s="1"/>
      <c r="CS58" s="1"/>
      <c r="CT58" s="1"/>
      <c r="CV58" s="1"/>
      <c r="CW58" s="1"/>
      <c r="CX58">
        <v>38.937735275282769</v>
      </c>
      <c r="DA58">
        <v>29.430447761194031</v>
      </c>
    </row>
    <row r="59" spans="1:105" x14ac:dyDescent="0.25">
      <c r="A59" s="9">
        <f t="shared" si="4"/>
        <v>1892</v>
      </c>
      <c r="D59" s="1">
        <v>52.264219353963696</v>
      </c>
      <c r="F59" s="1">
        <f>112*0.34375</f>
        <v>38.5</v>
      </c>
      <c r="G59" s="1"/>
      <c r="H59" s="1"/>
      <c r="I59" s="3">
        <f>112*0.711085828059447</f>
        <v>79.641612742658054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>
        <v>38.870214090429478</v>
      </c>
      <c r="AB59" s="1"/>
      <c r="AC59" s="1"/>
      <c r="AD59" s="1">
        <v>36.278866484400844</v>
      </c>
      <c r="AE59" s="1"/>
      <c r="AF59" s="1"/>
      <c r="AG59" s="1">
        <v>38.583438288695639</v>
      </c>
      <c r="AH59" s="1"/>
      <c r="AI59" s="1"/>
      <c r="AJ59" s="1">
        <f>(1/20)*1127.47509825111</f>
        <v>56.373754912555505</v>
      </c>
      <c r="AK59" s="1"/>
      <c r="AL59" s="1"/>
      <c r="AM59" s="1">
        <f>112*0.33125</f>
        <v>37.1</v>
      </c>
      <c r="AN59" s="1"/>
      <c r="AO59" s="1"/>
      <c r="AP59" s="1"/>
      <c r="AQ59" s="1"/>
      <c r="AR59" s="1"/>
      <c r="AS59" s="1"/>
      <c r="AT59" s="1"/>
      <c r="AU59" s="1"/>
      <c r="AV59" s="3">
        <f>(1/20)*1019.41264310602</f>
        <v>50.970632155301004</v>
      </c>
      <c r="AW59" s="1"/>
      <c r="AY59" s="1">
        <f>(1/20)*804.999999999999</f>
        <v>40.24999999999995</v>
      </c>
      <c r="AZ59" s="1"/>
      <c r="BA59" s="1"/>
      <c r="BB59" s="1"/>
      <c r="BC59" s="3"/>
      <c r="BD59" s="3"/>
      <c r="BE59" s="3"/>
      <c r="BF59" s="3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3"/>
      <c r="BV59" s="3"/>
      <c r="BW59" s="3"/>
      <c r="BX59" s="3"/>
      <c r="BY59" s="1"/>
      <c r="BZ59" s="1"/>
      <c r="CA59" s="1"/>
      <c r="CB59" s="3"/>
      <c r="CD59" s="1"/>
      <c r="CE59" s="1"/>
      <c r="CF59" s="1"/>
      <c r="CG59" s="1"/>
      <c r="CH59" s="1"/>
      <c r="CI59" s="1"/>
      <c r="CK59" s="1"/>
      <c r="CL59" s="1"/>
      <c r="CM59" s="1"/>
      <c r="CN59" s="1"/>
      <c r="CO59" s="1">
        <v>53.436115835633515</v>
      </c>
      <c r="CP59" s="1"/>
      <c r="CQ59" s="1"/>
      <c r="CR59" s="1">
        <v>60.876780108390349</v>
      </c>
      <c r="CS59" s="1"/>
      <c r="CT59" s="1"/>
      <c r="CV59" s="1"/>
      <c r="CW59" s="1"/>
      <c r="CX59">
        <v>38.227108720243343</v>
      </c>
      <c r="DA59" s="1">
        <v>33.216000000000001</v>
      </c>
    </row>
    <row r="60" spans="1:105" x14ac:dyDescent="0.25">
      <c r="A60" s="9">
        <f t="shared" si="4"/>
        <v>1893</v>
      </c>
      <c r="D60" s="1">
        <v>59.781271464550102</v>
      </c>
      <c r="F60" s="1"/>
      <c r="G60" s="1"/>
      <c r="H60" s="1"/>
      <c r="I60" s="3">
        <f>112*0.711085828059447</f>
        <v>79.641612742658054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>
        <v>55.000383193052201</v>
      </c>
      <c r="AB60" s="1"/>
      <c r="AC60" s="1"/>
      <c r="AD60" s="1">
        <v>48.157815835176415</v>
      </c>
      <c r="AE60" s="1"/>
      <c r="AF60" s="1"/>
      <c r="AG60" s="1">
        <v>49.02396360199613</v>
      </c>
      <c r="AH60" s="1"/>
      <c r="AI60" s="1"/>
      <c r="AJ60" s="1">
        <f>(1/20)*1107.5086981993</f>
        <v>55.375434909965001</v>
      </c>
      <c r="AK60" s="1"/>
      <c r="AL60" s="1"/>
      <c r="AM60" s="1">
        <f>112*0.466666666666667</f>
        <v>52.266666666666708</v>
      </c>
      <c r="AN60" s="1"/>
      <c r="AO60" s="1"/>
      <c r="AP60" s="1"/>
      <c r="AQ60" s="1"/>
      <c r="AR60" s="1"/>
      <c r="AS60" s="1"/>
      <c r="AT60" s="1"/>
      <c r="AU60" s="1"/>
      <c r="AV60" s="15"/>
      <c r="AW60" s="1"/>
      <c r="AY60" s="1">
        <f>(1/20)*805.285714285714</f>
        <v>40.264285714285705</v>
      </c>
      <c r="AZ60" s="1"/>
      <c r="BA60" s="1"/>
      <c r="BB60" s="1"/>
      <c r="BC60" s="3"/>
      <c r="BD60" s="3"/>
      <c r="BE60" s="3"/>
      <c r="BF60" s="3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3"/>
      <c r="BV60" s="3"/>
      <c r="BW60" s="3"/>
      <c r="BX60" s="3"/>
      <c r="BY60" s="1"/>
      <c r="BZ60" s="1"/>
      <c r="CA60" s="1"/>
      <c r="CB60" s="1"/>
      <c r="CD60" s="1"/>
      <c r="CE60" s="1"/>
      <c r="CF60" s="1"/>
      <c r="CG60" s="1"/>
      <c r="CH60" s="1"/>
      <c r="CI60" s="1"/>
      <c r="CK60" s="1"/>
      <c r="CL60" s="1"/>
      <c r="CM60" s="1"/>
      <c r="CN60" s="1"/>
      <c r="CO60" s="1">
        <v>48.260542352182213</v>
      </c>
      <c r="CP60" s="1"/>
      <c r="CQ60" s="1"/>
      <c r="CR60" s="1"/>
      <c r="CS60" s="1"/>
      <c r="CT60" s="1"/>
      <c r="CV60" s="1"/>
      <c r="CW60" s="1"/>
      <c r="CX60">
        <v>53.518033580812002</v>
      </c>
      <c r="DA60">
        <v>41.478620689655173</v>
      </c>
    </row>
    <row r="61" spans="1:105" x14ac:dyDescent="0.25">
      <c r="A61" s="9">
        <f t="shared" si="4"/>
        <v>1894</v>
      </c>
      <c r="D61" s="1">
        <v>57.687427290205811</v>
      </c>
      <c r="F61" s="1"/>
      <c r="G61" s="1"/>
      <c r="H61" s="1"/>
      <c r="I61" s="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>
        <v>46.459083527501235</v>
      </c>
      <c r="AB61" s="1"/>
      <c r="AC61" s="1"/>
      <c r="AD61" s="1">
        <v>41.351879309939044</v>
      </c>
      <c r="AE61" s="1"/>
      <c r="AF61" s="1"/>
      <c r="AG61" s="1">
        <v>35.420932476641021</v>
      </c>
      <c r="AH61" s="1"/>
      <c r="AI61" s="1"/>
      <c r="AJ61" s="1">
        <f>(1/20)*1132.38705691559</f>
        <v>56.619352845779503</v>
      </c>
      <c r="AK61" s="1"/>
      <c r="AL61" s="1"/>
      <c r="AM61" s="1"/>
      <c r="AN61" s="1"/>
      <c r="AO61" s="1"/>
      <c r="AP61" s="1"/>
      <c r="AQ61" s="1"/>
      <c r="AR61" s="1"/>
      <c r="AS61" s="3">
        <v>17.777777777777779</v>
      </c>
      <c r="AT61" s="1"/>
      <c r="AU61" s="1"/>
      <c r="AV61" s="3">
        <f>(1/20)*1192.12628378777</f>
        <v>59.606314189388506</v>
      </c>
      <c r="AW61" s="1"/>
      <c r="AY61" s="1">
        <f>(1/20)*804.999999999999</f>
        <v>40.24999999999995</v>
      </c>
      <c r="AZ61" s="1"/>
      <c r="BA61" s="1"/>
      <c r="BB61" s="1">
        <v>62.030769230769231</v>
      </c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>
        <f>112*0.276923076923077</f>
        <v>31.015384615384622</v>
      </c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D61" s="1"/>
      <c r="CE61" s="1"/>
      <c r="CF61" s="1"/>
      <c r="CG61" s="1"/>
      <c r="CH61" s="1"/>
      <c r="CI61" s="1"/>
      <c r="CK61" s="1"/>
      <c r="CL61" s="1"/>
      <c r="CM61" s="1"/>
      <c r="CN61" s="1"/>
      <c r="CO61" s="1">
        <v>39.212026737348275</v>
      </c>
      <c r="CP61" s="1"/>
      <c r="CQ61" s="1"/>
      <c r="CR61" s="1">
        <v>47.784967645594826</v>
      </c>
      <c r="CS61" s="1"/>
      <c r="CT61" s="1"/>
      <c r="CV61" s="1"/>
      <c r="CW61" s="1"/>
      <c r="CX61">
        <v>62.809425228793422</v>
      </c>
      <c r="DA61">
        <v>40.689230769230768</v>
      </c>
    </row>
    <row r="62" spans="1:105" x14ac:dyDescent="0.25">
      <c r="A62" s="9">
        <f t="shared" si="4"/>
        <v>1895</v>
      </c>
      <c r="D62" s="1">
        <v>58.564772162386085</v>
      </c>
      <c r="F62" s="1"/>
      <c r="G62" s="1">
        <f>112*0.503448766266088</f>
        <v>56.38626182180186</v>
      </c>
      <c r="H62" s="1"/>
      <c r="I62" s="3"/>
      <c r="J62" s="1"/>
      <c r="K62" s="1"/>
      <c r="L62" s="1"/>
      <c r="M62" s="1"/>
      <c r="N62" s="1"/>
      <c r="O62" s="1"/>
      <c r="P62" s="1"/>
      <c r="Q62" s="1"/>
      <c r="R62" s="3"/>
      <c r="S62" s="1"/>
      <c r="T62" s="1"/>
      <c r="U62" s="1"/>
      <c r="V62" s="1"/>
      <c r="W62" s="1"/>
      <c r="X62" s="1"/>
      <c r="Y62" s="1"/>
      <c r="Z62" s="1"/>
      <c r="AA62" s="1">
        <v>41.836870056610458</v>
      </c>
      <c r="AB62" s="1"/>
      <c r="AC62" s="1"/>
      <c r="AD62" s="1">
        <v>38.314121078914447</v>
      </c>
      <c r="AE62" s="1"/>
      <c r="AF62" s="1"/>
      <c r="AG62" s="1">
        <v>38.331024864795907</v>
      </c>
      <c r="AH62" s="1"/>
      <c r="AI62" s="1"/>
      <c r="AJ62" s="1">
        <f>(1/20)*1141.16115309448</f>
        <v>57.058057654723996</v>
      </c>
      <c r="AK62" s="1"/>
      <c r="AL62" s="1"/>
      <c r="AM62" s="1"/>
      <c r="AN62" s="1"/>
      <c r="AO62" s="1"/>
      <c r="AP62" s="1"/>
      <c r="AQ62" s="1"/>
      <c r="AR62" s="1"/>
      <c r="AS62" s="3">
        <v>26.68</v>
      </c>
      <c r="AT62" s="1"/>
      <c r="AU62" s="1"/>
      <c r="AV62" s="15"/>
      <c r="AW62" s="1"/>
      <c r="AY62" s="1">
        <f>(1/20)*804.999999999999</f>
        <v>40.24999999999995</v>
      </c>
      <c r="AZ62" s="1"/>
      <c r="BA62" s="1"/>
      <c r="BB62" s="1">
        <v>49.107692307692304</v>
      </c>
      <c r="BC62" s="3"/>
      <c r="BD62" s="3"/>
      <c r="BE62" s="3"/>
      <c r="BF62" s="3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D62" s="1"/>
      <c r="CE62" s="1"/>
      <c r="CF62" s="1"/>
      <c r="CG62" s="1"/>
      <c r="CH62" s="1"/>
      <c r="CI62" s="1"/>
      <c r="CK62" s="1"/>
      <c r="CL62" s="1"/>
      <c r="CM62" s="1"/>
      <c r="CN62" s="1"/>
      <c r="CO62" s="1"/>
      <c r="CP62" s="1"/>
      <c r="CQ62" s="1"/>
      <c r="CR62" s="1">
        <v>16.525634644101544</v>
      </c>
      <c r="CS62" s="1"/>
      <c r="CT62" s="1"/>
      <c r="CV62" s="1"/>
      <c r="CW62" s="1"/>
      <c r="CX62">
        <v>61.19895876004091</v>
      </c>
      <c r="DA62">
        <v>54.151111111111121</v>
      </c>
    </row>
    <row r="63" spans="1:105" x14ac:dyDescent="0.25">
      <c r="A63" s="9">
        <f t="shared" si="4"/>
        <v>1896</v>
      </c>
      <c r="D63" s="1">
        <v>57.142251532802597</v>
      </c>
      <c r="F63" s="1"/>
      <c r="G63" s="1"/>
      <c r="H63" s="1"/>
      <c r="I63" s="3">
        <f t="shared" ref="I63:I80" si="5">112*0.711085828059447</f>
        <v>79.641612742658054</v>
      </c>
      <c r="J63" s="1"/>
      <c r="K63" s="1"/>
      <c r="L63" s="1"/>
      <c r="M63" s="1"/>
      <c r="N63" s="1"/>
      <c r="O63" s="1"/>
      <c r="P63" s="1"/>
      <c r="Q63" s="1"/>
      <c r="R63" s="3"/>
      <c r="S63" s="1"/>
      <c r="T63" s="1"/>
      <c r="U63" s="1"/>
      <c r="V63" s="1"/>
      <c r="W63" s="1"/>
      <c r="X63" s="1"/>
      <c r="Y63" s="1"/>
      <c r="Z63" s="1"/>
      <c r="AA63" s="1">
        <v>56.90372978807283</v>
      </c>
      <c r="AB63" s="1"/>
      <c r="AC63" s="1"/>
      <c r="AD63" s="1">
        <v>43.655830196787129</v>
      </c>
      <c r="AE63" s="1"/>
      <c r="AF63" s="1"/>
      <c r="AG63" s="1">
        <v>42.738257553954455</v>
      </c>
      <c r="AH63" s="1"/>
      <c r="AI63" s="1"/>
      <c r="AJ63" s="1">
        <f>(1/20)*1128.18558966074</f>
        <v>56.409279483037011</v>
      </c>
      <c r="AK63" s="1"/>
      <c r="AL63" s="1"/>
      <c r="AM63" s="1"/>
      <c r="AN63" s="1"/>
      <c r="AO63" s="1"/>
      <c r="AP63" s="1"/>
      <c r="AQ63" s="1"/>
      <c r="AR63" s="1"/>
      <c r="AS63" s="3">
        <v>49.375</v>
      </c>
      <c r="AT63" s="1"/>
      <c r="AU63" s="1"/>
      <c r="AV63" s="15"/>
      <c r="AW63" s="1"/>
      <c r="AY63" s="1">
        <f>(1/20)*810.999999999999</f>
        <v>40.549999999999955</v>
      </c>
      <c r="AZ63" s="1"/>
      <c r="BA63" s="1"/>
      <c r="BC63" s="3"/>
      <c r="BD63" s="3"/>
      <c r="BE63" s="3"/>
      <c r="BF63" s="3"/>
      <c r="BG63" s="1"/>
      <c r="BH63" s="1"/>
      <c r="BI63" s="1"/>
      <c r="BJ63" s="1"/>
      <c r="BK63" s="1">
        <v>25.84605461572129</v>
      </c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D63" s="1"/>
      <c r="CE63" s="1"/>
      <c r="CF63" s="1"/>
      <c r="CG63" s="1"/>
      <c r="CH63" s="1"/>
      <c r="CI63" s="1"/>
      <c r="CK63" s="1"/>
      <c r="CL63" s="1"/>
      <c r="CM63" s="1"/>
      <c r="CN63" s="1"/>
      <c r="CO63" s="1"/>
      <c r="CP63" s="1"/>
      <c r="CQ63" s="1"/>
      <c r="CR63" s="1">
        <v>55.136501129532483</v>
      </c>
      <c r="CS63" s="1"/>
      <c r="CT63" s="1"/>
      <c r="CV63" s="1"/>
      <c r="CW63" s="1"/>
      <c r="CX63">
        <v>47.746419598761904</v>
      </c>
      <c r="DA63">
        <v>43.365517241379315</v>
      </c>
    </row>
    <row r="64" spans="1:105" x14ac:dyDescent="0.25">
      <c r="A64" s="9">
        <f t="shared" si="4"/>
        <v>1897</v>
      </c>
      <c r="D64" s="1">
        <v>53.822059992054029</v>
      </c>
      <c r="F64" s="1"/>
      <c r="G64" s="1">
        <f>112*0.373401233912495</f>
        <v>41.820938198199443</v>
      </c>
      <c r="H64" s="1"/>
      <c r="I64" s="3">
        <f t="shared" si="5"/>
        <v>79.641612742658054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>
        <v>43.174121610931337</v>
      </c>
      <c r="AB64" s="1"/>
      <c r="AC64" s="1"/>
      <c r="AD64" s="1">
        <v>38.422351620297917</v>
      </c>
      <c r="AE64" s="1"/>
      <c r="AF64" s="1"/>
      <c r="AG64" s="1"/>
      <c r="AH64" s="1"/>
      <c r="AI64" s="1"/>
      <c r="AK64" s="1"/>
      <c r="AL64" s="1"/>
      <c r="AM64" s="1"/>
      <c r="AN64" s="1"/>
      <c r="AO64" s="1"/>
      <c r="AP64" s="1"/>
      <c r="AQ64" s="1"/>
      <c r="AR64" s="1"/>
      <c r="AS64" s="3">
        <v>51.111111111111114</v>
      </c>
      <c r="AT64" s="1"/>
      <c r="AU64" s="1"/>
      <c r="AV64" s="15"/>
      <c r="AW64" s="1"/>
      <c r="AY64" s="1">
        <f>(1/20)*804.999999999999</f>
        <v>40.24999999999995</v>
      </c>
      <c r="AZ64" s="1"/>
      <c r="BA64" s="1"/>
      <c r="BD64" s="1"/>
      <c r="BE64" s="1"/>
      <c r="BF64" s="1"/>
      <c r="BG64" s="1"/>
      <c r="BH64" s="1"/>
      <c r="BI64" s="1"/>
      <c r="BJ64" s="1"/>
      <c r="BL64" s="1"/>
      <c r="BM64" s="1"/>
      <c r="BN64" s="1"/>
      <c r="BO64" s="1"/>
      <c r="BP64" s="1"/>
      <c r="BQ64" s="1"/>
      <c r="BR64" s="1"/>
      <c r="BS64" s="1"/>
      <c r="BT64" s="1"/>
      <c r="BU64" s="3"/>
      <c r="BV64" s="3"/>
      <c r="BW64" s="3"/>
      <c r="BX64" s="3"/>
      <c r="BY64" s="1"/>
      <c r="BZ64" s="1"/>
      <c r="CA64" s="1"/>
      <c r="CB64" s="1"/>
      <c r="CD64" s="1"/>
      <c r="CE64" s="1"/>
      <c r="CF64" s="1"/>
      <c r="CG64" s="1"/>
      <c r="CH64" s="1"/>
      <c r="CI64" s="1"/>
      <c r="CK64" s="1"/>
      <c r="CL64" s="1"/>
      <c r="CM64" s="1"/>
      <c r="CN64" s="1"/>
      <c r="CO64" s="1"/>
      <c r="CP64" s="1"/>
      <c r="CQ64" s="1"/>
      <c r="CR64" s="1">
        <v>46.192135390741669</v>
      </c>
      <c r="CS64" s="1"/>
      <c r="CT64" s="1"/>
      <c r="CV64" s="1"/>
      <c r="CW64" s="1"/>
      <c r="CX64">
        <v>45.225269282122582</v>
      </c>
      <c r="DA64">
        <v>33.723870967741931</v>
      </c>
    </row>
    <row r="65" spans="1:105" x14ac:dyDescent="0.25">
      <c r="A65" s="9">
        <f t="shared" si="4"/>
        <v>1898</v>
      </c>
      <c r="D65" s="1">
        <v>60.197927349968886</v>
      </c>
      <c r="F65" s="1"/>
      <c r="G65" s="1">
        <f>112*0.468670204857363</f>
        <v>52.491062944024655</v>
      </c>
      <c r="H65" s="1"/>
      <c r="I65" s="3">
        <f t="shared" si="5"/>
        <v>79.641612742658054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>
        <v>50.357914848673069</v>
      </c>
      <c r="AB65" s="1"/>
      <c r="AC65" s="1"/>
      <c r="AD65" s="1">
        <v>44.888003408213756</v>
      </c>
      <c r="AE65" s="1"/>
      <c r="AF65" s="1"/>
      <c r="AG65" s="1"/>
      <c r="AH65" s="1"/>
      <c r="AI65" s="1"/>
      <c r="AK65" s="1"/>
      <c r="AL65" s="1"/>
      <c r="AM65" s="1"/>
      <c r="AN65" s="1"/>
      <c r="AO65" s="1"/>
      <c r="AP65" s="1"/>
      <c r="AQ65" s="1"/>
      <c r="AR65" s="1"/>
      <c r="AS65" s="3">
        <v>38.4</v>
      </c>
      <c r="AT65" s="1"/>
      <c r="AU65" s="1"/>
      <c r="AV65" s="3">
        <f>(1/20)*1360.54982817869</f>
        <v>68.027491408934495</v>
      </c>
      <c r="AW65" s="1"/>
      <c r="AY65" s="1">
        <f>(1/20)*819.999999999999</f>
        <v>40.99999999999995</v>
      </c>
      <c r="AZ65" s="1"/>
      <c r="BA65" s="1"/>
      <c r="BB65" s="1">
        <v>50.051282051282044</v>
      </c>
      <c r="BC65" s="3"/>
      <c r="BD65" s="3"/>
      <c r="BE65" s="3"/>
      <c r="BF65" s="3"/>
      <c r="BG65" s="1"/>
      <c r="BH65" s="1"/>
      <c r="BI65" s="1"/>
      <c r="BJ65" s="1"/>
      <c r="BL65" s="1"/>
      <c r="BM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D65" s="1"/>
      <c r="CE65" s="1"/>
      <c r="CF65" s="1"/>
      <c r="CG65" s="1"/>
      <c r="CH65" s="1"/>
      <c r="CI65" s="1"/>
      <c r="CK65" s="1"/>
      <c r="CL65" s="1"/>
      <c r="CM65" s="1"/>
      <c r="CN65" s="1"/>
      <c r="CO65" s="1"/>
      <c r="CP65" s="1"/>
      <c r="CQ65" s="1"/>
      <c r="CR65" s="1">
        <v>46.192135390741662</v>
      </c>
      <c r="CS65" s="1"/>
      <c r="CT65" s="1"/>
      <c r="CV65" s="1"/>
      <c r="CW65" s="1"/>
      <c r="CX65">
        <v>49.376515177207267</v>
      </c>
      <c r="DA65" s="1">
        <v>31.32</v>
      </c>
    </row>
    <row r="66" spans="1:105" x14ac:dyDescent="0.25">
      <c r="A66" s="9">
        <f t="shared" si="4"/>
        <v>1899</v>
      </c>
      <c r="D66" s="1">
        <v>56.611424941837967</v>
      </c>
      <c r="F66" s="1"/>
      <c r="G66" s="1">
        <f>112*0.527915237929398</f>
        <v>59.126506648092573</v>
      </c>
      <c r="H66" s="1"/>
      <c r="I66" s="3">
        <f t="shared" si="5"/>
        <v>79.641612742658054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>
        <v>42.964286191225561</v>
      </c>
      <c r="AB66" s="1"/>
      <c r="AC66" s="1"/>
      <c r="AD66" s="1">
        <v>40.139427860272107</v>
      </c>
      <c r="AE66" s="1"/>
      <c r="AF66" s="1"/>
      <c r="AG66" s="1"/>
      <c r="AH66" s="1"/>
      <c r="AI66" s="1"/>
      <c r="AK66" s="1"/>
      <c r="AL66" s="1"/>
      <c r="AM66" s="1"/>
      <c r="AN66" s="1"/>
      <c r="AO66" s="1"/>
      <c r="AP66" s="1"/>
      <c r="AQ66" s="1"/>
      <c r="AR66" s="1"/>
      <c r="AS66" s="3">
        <v>40</v>
      </c>
      <c r="AT66" s="1"/>
      <c r="AU66" s="1"/>
      <c r="AV66" s="3">
        <f>(1/20)*2083.73637128819</f>
        <v>104.18681856440952</v>
      </c>
      <c r="AW66" s="1"/>
      <c r="AY66" s="1">
        <f>(1/20)*844.999999999999</f>
        <v>42.24999999999995</v>
      </c>
      <c r="AZ66" s="1"/>
      <c r="BA66" s="1"/>
      <c r="BC66" s="1"/>
      <c r="BD66" s="1"/>
      <c r="BE66" s="1"/>
      <c r="BF66" s="1"/>
      <c r="BG66" s="1"/>
      <c r="BH66" s="1"/>
      <c r="BI66" s="1"/>
      <c r="BJ66" s="1"/>
      <c r="BL66" s="1"/>
      <c r="BM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D66" s="1"/>
      <c r="CE66" s="1"/>
      <c r="CF66" s="1"/>
      <c r="CG66" s="1"/>
      <c r="CH66" s="1"/>
      <c r="CI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V66" s="1"/>
      <c r="CW66" s="1"/>
      <c r="CX66">
        <v>53.237936690037358</v>
      </c>
      <c r="DA66" s="1">
        <v>33.870000000000005</v>
      </c>
    </row>
    <row r="67" spans="1:105" x14ac:dyDescent="0.25">
      <c r="A67" s="9">
        <f t="shared" si="4"/>
        <v>1900</v>
      </c>
      <c r="D67" s="1">
        <v>58.035289850024135</v>
      </c>
      <c r="F67" s="1"/>
      <c r="G67" s="1"/>
      <c r="H67" s="1"/>
      <c r="I67" s="3">
        <f t="shared" si="5"/>
        <v>79.641612742658054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>
        <v>47.1807003502349</v>
      </c>
      <c r="AB67" s="1"/>
      <c r="AC67" s="1"/>
      <c r="AD67" s="1">
        <v>44.007953062267475</v>
      </c>
      <c r="AE67" s="1"/>
      <c r="AF67" s="1"/>
      <c r="AG67" s="1"/>
      <c r="AH67" s="1"/>
      <c r="AI67" s="1"/>
      <c r="AJ67" s="1">
        <f>(1/20)*1100.17699115044</f>
        <v>55.008849557522005</v>
      </c>
      <c r="AK67" s="1"/>
      <c r="AL67" s="1"/>
      <c r="AM67" s="1"/>
      <c r="AN67" s="1"/>
      <c r="AO67" s="1"/>
      <c r="AP67" s="1"/>
      <c r="AQ67" s="1"/>
      <c r="AR67" s="1"/>
      <c r="AS67" s="3">
        <v>40</v>
      </c>
      <c r="AT67" s="1"/>
      <c r="AU67" s="1"/>
      <c r="AV67" s="3">
        <f>(1/20)*1322.07407407407</f>
        <v>66.103703703703502</v>
      </c>
      <c r="AW67" s="1"/>
      <c r="AY67" s="1">
        <f>(1/20)*855.555555555555</f>
        <v>42.77777777777775</v>
      </c>
      <c r="AZ67" s="1"/>
      <c r="BA67" s="1"/>
      <c r="BC67" s="1"/>
      <c r="BD67" s="1"/>
      <c r="BE67" s="1"/>
      <c r="BF67" s="1"/>
      <c r="BG67" s="1"/>
      <c r="BH67" s="1"/>
      <c r="BI67" s="1"/>
      <c r="BJ67" s="1"/>
      <c r="BK67" s="1">
        <v>46.041202628260429</v>
      </c>
      <c r="BL67" s="1"/>
      <c r="BM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D67" s="1"/>
      <c r="CE67" s="1"/>
      <c r="CF67" s="1"/>
      <c r="CG67" s="1"/>
      <c r="CH67" s="1"/>
      <c r="CI67" s="1"/>
      <c r="CK67" s="1"/>
      <c r="CL67" s="1"/>
      <c r="CM67" s="1"/>
      <c r="CN67" s="1"/>
      <c r="CO67" s="1"/>
      <c r="CP67" s="1"/>
      <c r="CQ67" s="1"/>
      <c r="CR67" s="1">
        <v>47.784967645594826</v>
      </c>
      <c r="CS67" s="1"/>
      <c r="CT67" s="1"/>
      <c r="CV67" s="1"/>
      <c r="CW67" s="1"/>
      <c r="CX67">
        <v>67.475203838484489</v>
      </c>
      <c r="DA67" s="1">
        <v>38.82</v>
      </c>
    </row>
    <row r="68" spans="1:105" x14ac:dyDescent="0.25">
      <c r="A68" s="9">
        <f t="shared" si="4"/>
        <v>1901</v>
      </c>
      <c r="D68" s="1">
        <v>59.968189976257882</v>
      </c>
      <c r="F68" s="1"/>
      <c r="G68" s="1"/>
      <c r="H68" s="1"/>
      <c r="I68" s="3">
        <f t="shared" si="5"/>
        <v>79.641612742658054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>
        <v>50.530176815088147</v>
      </c>
      <c r="AB68" s="1"/>
      <c r="AC68" s="1"/>
      <c r="AD68" s="1">
        <v>43.560497254386334</v>
      </c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3">
        <v>41.142857142857146</v>
      </c>
      <c r="AT68" s="1"/>
      <c r="AU68" s="1"/>
      <c r="AV68" s="3">
        <f>(1/20)*1335.23555555556</f>
        <v>66.761777777778008</v>
      </c>
      <c r="AW68" s="1"/>
      <c r="AY68" s="1">
        <f>(1/20)*843.749999999999</f>
        <v>42.18749999999995</v>
      </c>
      <c r="AZ68" s="1"/>
      <c r="BA68" s="1"/>
      <c r="BB68" s="1">
        <v>40.743589743589745</v>
      </c>
      <c r="BC68" s="1"/>
      <c r="BD68" s="1"/>
      <c r="BE68" s="1"/>
      <c r="BF68" s="1"/>
      <c r="BG68" s="1"/>
      <c r="BH68" s="1"/>
      <c r="BI68" s="1"/>
      <c r="BJ68" s="1"/>
      <c r="BK68" s="1">
        <v>54.63641825512223</v>
      </c>
      <c r="BL68" s="1"/>
      <c r="BM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D68" s="1"/>
      <c r="CE68" s="1"/>
      <c r="CF68" s="1"/>
      <c r="CG68" s="1"/>
      <c r="CH68" s="1"/>
      <c r="CI68" s="1"/>
      <c r="CK68" s="1"/>
      <c r="CL68" s="1"/>
      <c r="CM68" s="1"/>
      <c r="CN68" s="1"/>
      <c r="CO68" s="1"/>
      <c r="CP68" s="1"/>
      <c r="CQ68" s="1"/>
      <c r="CR68" s="1">
        <v>69.573462981017542</v>
      </c>
      <c r="CS68" s="1"/>
      <c r="CT68" s="1"/>
      <c r="CV68" s="1"/>
      <c r="CW68" s="1"/>
      <c r="CX68">
        <v>58.441708904054735</v>
      </c>
      <c r="DA68" s="1">
        <v>39.18</v>
      </c>
    </row>
    <row r="69" spans="1:105" x14ac:dyDescent="0.25">
      <c r="A69" s="9">
        <f t="shared" si="4"/>
        <v>1902</v>
      </c>
      <c r="D69" s="1">
        <v>56.6370877534602</v>
      </c>
      <c r="F69" s="1"/>
      <c r="G69" s="1">
        <f>112*0.392873921847555</f>
        <v>44.001879246926158</v>
      </c>
      <c r="H69" s="1"/>
      <c r="I69" s="3">
        <f t="shared" si="5"/>
        <v>79.641612742658054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>
        <v>35.858308331899963</v>
      </c>
      <c r="AE69" s="1"/>
      <c r="AF69" s="1"/>
      <c r="AG69" s="1">
        <v>33.166764607229503</v>
      </c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3">
        <v>40</v>
      </c>
      <c r="AT69" s="1"/>
      <c r="AU69" s="1"/>
      <c r="AV69" s="3">
        <f>(1/20)*1337.93333333333</f>
        <v>66.896666666666505</v>
      </c>
      <c r="AW69" s="1"/>
      <c r="AY69" s="1">
        <f>(1/20)*849.999999999999</f>
        <v>42.49999999999995</v>
      </c>
      <c r="AZ69" s="1"/>
      <c r="BA69" s="1"/>
      <c r="BB69" s="1">
        <v>48.533333333333324</v>
      </c>
      <c r="BC69" s="1"/>
      <c r="BD69" s="1"/>
      <c r="BE69" s="1"/>
      <c r="BF69" s="1"/>
      <c r="BG69" s="3">
        <f>112*0.378119001919386</f>
        <v>42.349328214971237</v>
      </c>
      <c r="BH69" s="3">
        <f>112*0.341326296466269</f>
        <v>38.228545204222129</v>
      </c>
      <c r="BI69" s="1"/>
      <c r="BJ69" s="1"/>
      <c r="BK69" s="1">
        <v>33.594837191598323</v>
      </c>
      <c r="BL69" s="1"/>
      <c r="BM69" s="1"/>
      <c r="BO69" s="1"/>
      <c r="BP69" s="1"/>
      <c r="BQ69" s="1"/>
      <c r="BR69" s="1"/>
      <c r="BS69" s="1"/>
      <c r="BT69" s="1">
        <f>112*0.523680124223602</f>
        <v>58.652173913043427</v>
      </c>
      <c r="BU69" s="1"/>
      <c r="BV69" s="1"/>
      <c r="BW69" s="1"/>
      <c r="BX69" s="1"/>
      <c r="BY69" s="1"/>
      <c r="BZ69" s="1"/>
      <c r="CA69" s="1"/>
      <c r="CB69" s="1"/>
      <c r="CD69" s="1"/>
      <c r="CE69" s="1"/>
      <c r="CF69" s="1"/>
      <c r="CG69" s="1"/>
      <c r="CH69" s="1"/>
      <c r="CI69" s="1"/>
      <c r="CK69" s="1"/>
      <c r="CL69" s="1"/>
      <c r="CM69" s="1"/>
      <c r="CN69" s="1"/>
      <c r="CO69" s="1"/>
      <c r="CP69" s="1"/>
      <c r="CQ69" s="1"/>
      <c r="CR69" s="1">
        <v>63.757083664139806</v>
      </c>
      <c r="CS69" s="1"/>
      <c r="CT69" s="1"/>
      <c r="CV69" s="1"/>
      <c r="DA69" s="1">
        <v>37.049999999999997</v>
      </c>
    </row>
    <row r="70" spans="1:105" x14ac:dyDescent="0.25">
      <c r="A70" s="9">
        <f t="shared" si="4"/>
        <v>1903</v>
      </c>
      <c r="D70" s="1">
        <v>58.06921445081214</v>
      </c>
      <c r="F70" s="1"/>
      <c r="G70" s="1"/>
      <c r="H70" s="1"/>
      <c r="I70" s="3">
        <f t="shared" si="5"/>
        <v>79.641612742658054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>
        <v>45.362755778741274</v>
      </c>
      <c r="AB70" s="1"/>
      <c r="AC70" s="1"/>
      <c r="AD70" s="1">
        <v>42.811767865536758</v>
      </c>
      <c r="AE70" s="1"/>
      <c r="AF70" s="1"/>
      <c r="AG70" s="1">
        <v>42.338572060158526</v>
      </c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3">
        <v>40</v>
      </c>
      <c r="AT70" s="1"/>
      <c r="AU70" s="1"/>
      <c r="AV70" s="3">
        <f>(1/20)*1066.52577319588</f>
        <v>53.326288659794002</v>
      </c>
      <c r="AW70" s="1"/>
      <c r="AY70" s="1">
        <f>(1/20)*840.384615384615</f>
        <v>42.019230769230752</v>
      </c>
      <c r="AZ70" s="1"/>
      <c r="BA70" s="1"/>
      <c r="BC70" s="1"/>
      <c r="BD70" s="1"/>
      <c r="BE70" s="1"/>
      <c r="BF70" s="1"/>
      <c r="BG70" s="3">
        <f>112*0.442307692307692</f>
        <v>49.538461538461505</v>
      </c>
      <c r="BH70" s="3">
        <f>112*0.0563069531451</f>
        <v>6.3063787522512005</v>
      </c>
      <c r="BI70" s="1"/>
      <c r="BJ70" s="1"/>
      <c r="BK70" s="1">
        <v>42.481106718414772</v>
      </c>
      <c r="BL70" s="1"/>
      <c r="BM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D70" s="1"/>
      <c r="CE70" s="1"/>
      <c r="CF70" s="1"/>
      <c r="CG70" s="1"/>
      <c r="CH70" s="1"/>
      <c r="CI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V70" s="1"/>
      <c r="DA70" s="1">
        <v>34.5</v>
      </c>
    </row>
    <row r="71" spans="1:105" x14ac:dyDescent="0.25">
      <c r="A71" s="9">
        <f t="shared" si="4"/>
        <v>1904</v>
      </c>
      <c r="D71" s="1">
        <v>63.016791905983482</v>
      </c>
      <c r="F71" s="1"/>
      <c r="G71" s="1">
        <f>112*0.549252501673503</f>
        <v>61.516280187432343</v>
      </c>
      <c r="H71" s="1"/>
      <c r="I71" s="3">
        <f t="shared" si="5"/>
        <v>79.641612742658054</v>
      </c>
      <c r="J71" s="1"/>
      <c r="K71" s="1"/>
      <c r="L71" s="1"/>
      <c r="M71" s="1"/>
      <c r="N71" s="1"/>
      <c r="O71" s="1"/>
      <c r="P71" s="1"/>
      <c r="Q71" s="1"/>
      <c r="R71" s="3"/>
      <c r="S71" s="1"/>
      <c r="T71" s="1"/>
      <c r="U71" s="1"/>
      <c r="V71" s="1"/>
      <c r="W71" s="1"/>
      <c r="X71" s="1"/>
      <c r="Y71" s="1"/>
      <c r="Z71" s="1"/>
      <c r="AA71" s="1">
        <v>39.584445518998798</v>
      </c>
      <c r="AB71" s="1"/>
      <c r="AC71" s="1"/>
      <c r="AD71" s="1">
        <v>34.056887811390858</v>
      </c>
      <c r="AE71" s="1"/>
      <c r="AF71" s="1"/>
      <c r="AG71" s="1">
        <v>33.835785503086541</v>
      </c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3">
        <f>(1/20)*1190.82474226804</f>
        <v>59.541237113401998</v>
      </c>
      <c r="AW71" s="1"/>
      <c r="AY71" s="1">
        <f>(1/20)*844.444444444444</f>
        <v>42.2222222222222</v>
      </c>
      <c r="AZ71" s="1"/>
      <c r="BA71" s="1"/>
      <c r="BC71" s="1"/>
      <c r="BD71" s="1"/>
      <c r="BE71" s="1"/>
      <c r="BF71" s="1"/>
      <c r="BG71" s="3">
        <f>112*0.423076923076923</f>
        <v>47.38461538461538</v>
      </c>
      <c r="BH71" s="3">
        <f>112*0.542105766733642</f>
        <v>60.715845874167897</v>
      </c>
      <c r="BI71" s="1"/>
      <c r="BJ71" s="1"/>
      <c r="BK71" s="1">
        <v>49.136296649582661</v>
      </c>
      <c r="BL71" s="1"/>
      <c r="BM71" s="1"/>
      <c r="BN71" s="13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D71" s="1"/>
      <c r="CE71" s="1"/>
      <c r="CF71" s="1"/>
      <c r="CG71" s="1"/>
      <c r="CH71" s="1"/>
      <c r="CI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V71" s="1"/>
      <c r="DA71" s="1">
        <v>48.81</v>
      </c>
    </row>
    <row r="72" spans="1:105" x14ac:dyDescent="0.25">
      <c r="A72" s="9">
        <f t="shared" ref="A72:A103" si="6">A71+1</f>
        <v>1905</v>
      </c>
      <c r="D72" s="1">
        <v>57.73856392687653</v>
      </c>
      <c r="F72" s="1"/>
      <c r="G72" s="1">
        <f>112*0.666008428336661</f>
        <v>74.592943973706028</v>
      </c>
      <c r="H72" s="1"/>
      <c r="I72" s="3">
        <f t="shared" si="5"/>
        <v>79.641612742658054</v>
      </c>
      <c r="J72" s="1"/>
      <c r="K72" s="1"/>
      <c r="L72" s="1"/>
      <c r="M72" s="1"/>
      <c r="N72" s="1"/>
      <c r="O72" s="1"/>
      <c r="P72" s="1"/>
      <c r="Q72" s="1"/>
      <c r="R72" s="3"/>
      <c r="S72" s="1"/>
      <c r="T72" s="1"/>
      <c r="U72" s="1"/>
      <c r="V72" s="1"/>
      <c r="W72" s="1"/>
      <c r="X72" s="1"/>
      <c r="Y72" s="1"/>
      <c r="Z72" s="1"/>
      <c r="AA72" s="1">
        <v>39.060299147705202</v>
      </c>
      <c r="AB72" s="1"/>
      <c r="AC72" s="1"/>
      <c r="AD72" s="1">
        <v>35.013511398168177</v>
      </c>
      <c r="AE72" s="1"/>
      <c r="AF72" s="1"/>
      <c r="AG72" s="1">
        <v>39.120121227480972</v>
      </c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3">
        <f>(1/20)*1090.27053140097</f>
        <v>54.513526570048498</v>
      </c>
      <c r="AW72" s="1"/>
      <c r="AY72" s="1">
        <f>(1/20)*844.999999999999</f>
        <v>42.24999999999995</v>
      </c>
      <c r="AZ72" s="1"/>
      <c r="BA72" s="1"/>
      <c r="BB72" s="1">
        <v>73.34282861025163</v>
      </c>
      <c r="BC72" s="1"/>
      <c r="BD72" s="1"/>
      <c r="BE72" s="1">
        <f>112*0.572990848517591</f>
        <v>64.174975033970185</v>
      </c>
      <c r="BF72" s="1"/>
      <c r="BG72" s="3">
        <f>112*0.479411764705882</f>
        <v>53.694117647058782</v>
      </c>
      <c r="BH72" s="3">
        <f>112*0.30161610194523</f>
        <v>33.781003417865755</v>
      </c>
      <c r="BI72" s="1"/>
      <c r="BJ72" s="1"/>
      <c r="BK72" s="1">
        <v>67.478789974070878</v>
      </c>
      <c r="BL72" s="1"/>
      <c r="BM72" s="1"/>
      <c r="BN72" s="1">
        <f>112*0.475714285714286</f>
        <v>53.28000000000003</v>
      </c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C72" s="3"/>
      <c r="CD72" s="1"/>
      <c r="CE72" s="1"/>
      <c r="CF72" s="1"/>
      <c r="CG72" s="1"/>
      <c r="CH72" s="1"/>
      <c r="CI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V72" s="1"/>
      <c r="DA72" s="1">
        <v>49.83</v>
      </c>
    </row>
    <row r="73" spans="1:105" x14ac:dyDescent="0.25">
      <c r="A73" s="9">
        <f t="shared" si="6"/>
        <v>1906</v>
      </c>
      <c r="D73" s="1">
        <v>57.733602229340974</v>
      </c>
      <c r="F73" s="1"/>
      <c r="G73" s="1"/>
      <c r="H73" s="1"/>
      <c r="I73" s="3">
        <f t="shared" si="5"/>
        <v>79.641612742658054</v>
      </c>
      <c r="J73" s="1"/>
      <c r="K73" s="1"/>
      <c r="L73" s="1"/>
      <c r="M73" s="1"/>
      <c r="N73" s="1"/>
      <c r="O73" s="1"/>
      <c r="P73" s="1"/>
      <c r="Q73" s="1"/>
      <c r="R73" s="3"/>
      <c r="S73" s="1"/>
      <c r="T73" s="1"/>
      <c r="U73" s="1"/>
      <c r="V73" s="1"/>
      <c r="W73" s="1"/>
      <c r="X73" s="1"/>
      <c r="Y73" s="1"/>
      <c r="Z73" s="1"/>
      <c r="AA73" s="1">
        <v>46.357442964549733</v>
      </c>
      <c r="AB73" s="1"/>
      <c r="AC73" s="1"/>
      <c r="AD73" s="1">
        <v>38.622364400801182</v>
      </c>
      <c r="AE73" s="1"/>
      <c r="AF73" s="1"/>
      <c r="AG73" s="1">
        <v>38.180460917954484</v>
      </c>
      <c r="AH73" s="1"/>
      <c r="AI73" s="1"/>
      <c r="AJ73" s="1"/>
      <c r="AK73" s="1"/>
      <c r="AL73" s="1"/>
      <c r="AM73" s="1">
        <f>112*0.9125</f>
        <v>102.2</v>
      </c>
      <c r="AN73" s="1"/>
      <c r="AO73" s="1"/>
      <c r="AP73" s="1"/>
      <c r="AQ73" s="1"/>
      <c r="AR73" s="1"/>
      <c r="AS73" s="1"/>
      <c r="AT73" s="1"/>
      <c r="AU73" s="1"/>
      <c r="AV73" s="3">
        <f>(1/20)*1098.2766798419</f>
        <v>54.913833992095</v>
      </c>
      <c r="AW73" s="1"/>
      <c r="AY73" s="1">
        <f>(1/20)*844.444444444444</f>
        <v>42.2222222222222</v>
      </c>
      <c r="AZ73" s="1"/>
      <c r="BA73" s="1"/>
      <c r="BC73" s="1"/>
      <c r="BD73" s="1"/>
      <c r="BE73" s="1">
        <f>112*0.706606074041233</f>
        <v>79.139880292618102</v>
      </c>
      <c r="BF73" s="1"/>
      <c r="BG73" s="3">
        <f>112*0.587412587412587</f>
        <v>65.790209790209744</v>
      </c>
      <c r="BH73" s="3">
        <f>112*0.592473408828515</f>
        <v>66.357021788793674</v>
      </c>
      <c r="BI73" s="1"/>
      <c r="BJ73" s="1"/>
      <c r="BK73" s="1"/>
      <c r="BL73" s="1"/>
      <c r="BM73" s="1"/>
      <c r="BN73" s="1">
        <f>112*0.396190476190476</f>
        <v>44.373333333333306</v>
      </c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3"/>
      <c r="BZ73" s="1">
        <f>112*0.878512631280159</f>
        <v>98.3934147033778</v>
      </c>
      <c r="CA73" s="1"/>
      <c r="CB73" s="3"/>
      <c r="CC73" s="3"/>
      <c r="CD73" s="1"/>
      <c r="CE73" s="1"/>
      <c r="CF73" s="1"/>
      <c r="CG73" s="1"/>
      <c r="CH73" s="1"/>
      <c r="CI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V73" s="1"/>
      <c r="DA73" s="1">
        <v>42.15</v>
      </c>
    </row>
    <row r="74" spans="1:105" x14ac:dyDescent="0.25">
      <c r="A74" s="9">
        <f t="shared" si="6"/>
        <v>1907</v>
      </c>
      <c r="D74" s="1">
        <v>76.178759534252862</v>
      </c>
      <c r="F74" s="1"/>
      <c r="G74" s="1">
        <f>112*0.585742136575885</f>
        <v>65.603119296499131</v>
      </c>
      <c r="H74" s="1"/>
      <c r="I74" s="3">
        <f t="shared" si="5"/>
        <v>79.641612742658054</v>
      </c>
      <c r="J74" s="3"/>
      <c r="K74" s="1"/>
      <c r="L74" s="1"/>
      <c r="M74" s="1"/>
      <c r="N74" s="1"/>
      <c r="O74" s="1"/>
      <c r="P74" s="1"/>
      <c r="Q74" s="3"/>
      <c r="R74" s="1"/>
      <c r="S74" s="3"/>
      <c r="T74" s="1"/>
      <c r="U74" s="1"/>
      <c r="V74" s="1"/>
      <c r="W74" s="1"/>
      <c r="X74" s="1"/>
      <c r="Y74" s="1"/>
      <c r="Z74" s="1"/>
      <c r="AA74" s="1">
        <v>59.356775236552288</v>
      </c>
      <c r="AB74" s="1"/>
      <c r="AC74" s="1"/>
      <c r="AD74" s="1">
        <v>55.072376422485362</v>
      </c>
      <c r="AE74" s="1"/>
      <c r="AF74" s="1"/>
      <c r="AG74" s="1">
        <v>51.502044077429581</v>
      </c>
      <c r="AH74" s="1"/>
      <c r="AI74" s="1"/>
      <c r="AJ74" s="1"/>
      <c r="AK74" s="1"/>
      <c r="AL74" s="1"/>
      <c r="AM74" s="1">
        <f>(1/20)*1353.65853658537</f>
        <v>67.68292682926851</v>
      </c>
      <c r="AN74" s="1"/>
      <c r="AO74" s="1"/>
      <c r="AP74" s="1"/>
      <c r="AQ74" s="1"/>
      <c r="AR74" s="1"/>
      <c r="AS74" s="1"/>
      <c r="AT74" s="1"/>
      <c r="AU74" s="1"/>
      <c r="AV74" s="3">
        <f>(1/20)*1111.94</f>
        <v>55.597000000000008</v>
      </c>
      <c r="AW74" s="1"/>
      <c r="AY74" s="1">
        <f>(1/20)*842.857142857142</f>
        <v>42.142857142857103</v>
      </c>
      <c r="AZ74" s="1"/>
      <c r="BA74" s="1"/>
      <c r="BC74" s="1"/>
      <c r="BE74" s="1"/>
      <c r="BF74" s="1"/>
      <c r="BG74" s="3">
        <f>112*0.4</f>
        <v>44.800000000000004</v>
      </c>
      <c r="BH74" s="3">
        <f>112*0.497258986608192</f>
        <v>55.693006500117505</v>
      </c>
      <c r="BI74" s="1"/>
      <c r="BJ74" s="1"/>
      <c r="BK74" s="1">
        <v>52.564568462037641</v>
      </c>
      <c r="BL74" s="1"/>
      <c r="BM74" s="1"/>
      <c r="BN74" s="1">
        <f>112*0.617142857142857</f>
        <v>69.119999999999976</v>
      </c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3"/>
      <c r="BZ74" s="1">
        <f>112*0.860065466448445</f>
        <v>96.327332242225836</v>
      </c>
      <c r="CA74" s="1"/>
      <c r="CB74" s="3"/>
      <c r="CC74" s="3"/>
      <c r="CD74" s="1"/>
      <c r="CE74" s="1"/>
      <c r="CF74" s="1"/>
      <c r="CG74" s="1"/>
      <c r="CH74" s="1"/>
      <c r="CI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V74" s="1"/>
      <c r="DA74" s="1">
        <v>41.19</v>
      </c>
    </row>
    <row r="75" spans="1:105" x14ac:dyDescent="0.25">
      <c r="A75" s="9">
        <f t="shared" si="6"/>
        <v>1908</v>
      </c>
      <c r="D75" s="1">
        <v>73.780548203547966</v>
      </c>
      <c r="F75" s="1"/>
      <c r="G75" s="1"/>
      <c r="H75" s="1"/>
      <c r="I75" s="3">
        <f t="shared" si="5"/>
        <v>79.641612742658054</v>
      </c>
      <c r="J75" s="3"/>
      <c r="K75" s="1"/>
      <c r="L75" s="1"/>
      <c r="M75" s="1"/>
      <c r="N75" s="1"/>
      <c r="O75" s="1"/>
      <c r="P75" s="1"/>
      <c r="Q75" s="1"/>
      <c r="R75" s="3"/>
      <c r="S75" s="1"/>
      <c r="T75" s="1"/>
      <c r="U75" s="1"/>
      <c r="V75" s="1"/>
      <c r="W75" s="1"/>
      <c r="X75" s="1"/>
      <c r="Y75" s="1"/>
      <c r="Z75" s="1"/>
      <c r="AA75" s="1">
        <v>70.542322183923545</v>
      </c>
      <c r="AB75" s="1"/>
      <c r="AC75" s="1"/>
      <c r="AD75" s="1">
        <v>62.903981565282145</v>
      </c>
      <c r="AE75" s="1"/>
      <c r="AF75" s="1"/>
      <c r="AG75" s="1"/>
      <c r="AH75" s="1"/>
      <c r="AI75" s="1"/>
      <c r="AJ75" s="1"/>
      <c r="AK75" s="1"/>
      <c r="AL75" s="1"/>
      <c r="AN75" s="1"/>
      <c r="AO75" s="1"/>
      <c r="AP75" s="1"/>
      <c r="AQ75" s="1"/>
      <c r="AR75" s="1"/>
      <c r="AS75" s="1"/>
      <c r="AT75" s="1"/>
      <c r="AU75" s="1"/>
      <c r="AV75" s="3">
        <f>(1/20)*887.426829268293</f>
        <v>44.371341463414652</v>
      </c>
      <c r="AW75" s="1"/>
      <c r="AY75" s="1">
        <f>(1/20)*841.428571428571</f>
        <v>42.071428571428555</v>
      </c>
      <c r="AZ75" s="1"/>
      <c r="BA75" s="1"/>
      <c r="BC75" s="1"/>
      <c r="BD75" s="1"/>
      <c r="BF75" s="1"/>
      <c r="BG75" s="3">
        <f>112*0.417281348788198</f>
        <v>46.735511064278178</v>
      </c>
      <c r="BH75" s="3">
        <f>112*0.616427522313863</f>
        <v>69.039882499152654</v>
      </c>
      <c r="BI75" s="1"/>
      <c r="BJ75" s="1"/>
      <c r="BK75" s="1">
        <v>58.023407022106632</v>
      </c>
      <c r="BL75" s="1"/>
      <c r="BM75" s="1"/>
      <c r="BN75" s="1">
        <f>112*0.685714285714286</f>
        <v>76.80000000000004</v>
      </c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3"/>
      <c r="BZ75" s="1"/>
      <c r="CA75" s="1"/>
      <c r="CB75" s="3"/>
      <c r="CC75" s="3"/>
      <c r="CD75" s="1"/>
      <c r="CE75" s="1"/>
      <c r="CF75" s="3"/>
      <c r="CG75" s="1"/>
      <c r="CH75" s="1"/>
      <c r="CI75" s="1"/>
      <c r="CK75" s="1">
        <v>89.600000000000009</v>
      </c>
      <c r="CL75" s="1"/>
      <c r="CM75" s="1"/>
      <c r="CN75" s="1"/>
      <c r="CO75" s="1"/>
      <c r="CP75" s="1"/>
      <c r="CQ75" s="1"/>
      <c r="CR75" s="1"/>
      <c r="CS75" s="1"/>
      <c r="CT75" s="1"/>
      <c r="CV75" s="1"/>
      <c r="DA75" s="1">
        <v>38.010000000000005</v>
      </c>
    </row>
    <row r="76" spans="1:105" x14ac:dyDescent="0.25">
      <c r="A76" s="9">
        <f t="shared" si="6"/>
        <v>1909</v>
      </c>
      <c r="D76" s="1">
        <v>78.002201905126611</v>
      </c>
      <c r="F76" s="1"/>
      <c r="G76" s="1">
        <f>112*0.639977245253502</f>
        <v>71.677451468392221</v>
      </c>
      <c r="H76" s="1"/>
      <c r="I76" s="3">
        <f t="shared" si="5"/>
        <v>79.641612742658054</v>
      </c>
      <c r="J76" s="1"/>
      <c r="K76" s="1"/>
      <c r="L76" s="1"/>
      <c r="M76" s="1"/>
      <c r="N76" s="1"/>
      <c r="O76" s="1"/>
      <c r="P76" s="1"/>
      <c r="Q76" s="1"/>
      <c r="R76" s="3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5"/>
      <c r="AW76" s="1"/>
      <c r="AY76" s="1">
        <f>(1/20)*841.999999999999</f>
        <v>42.099999999999952</v>
      </c>
      <c r="AZ76" s="1"/>
      <c r="BA76" s="1"/>
      <c r="BB76" s="1"/>
      <c r="BC76" s="1"/>
      <c r="BD76" s="1"/>
      <c r="BE76" s="1"/>
      <c r="BF76" s="1"/>
      <c r="BG76" s="3">
        <f>112*0.363117870722433</f>
        <v>40.669201520912495</v>
      </c>
      <c r="BH76" s="3">
        <f>112*0.632738988759931</f>
        <v>70.866766741112272</v>
      </c>
      <c r="BI76" s="1"/>
      <c r="BJ76" s="1"/>
      <c r="BK76" s="1">
        <v>65.857558139534888</v>
      </c>
      <c r="BL76" s="1"/>
      <c r="BM76" s="1"/>
      <c r="BN76" s="13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3"/>
      <c r="BZ76" s="1"/>
      <c r="CA76" s="1"/>
      <c r="CB76" s="3"/>
      <c r="CC76" s="3"/>
      <c r="CD76" s="1"/>
      <c r="CE76" s="1"/>
      <c r="CF76" s="3"/>
      <c r="CG76" s="1"/>
      <c r="CH76" s="1"/>
      <c r="CI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V76" s="1"/>
      <c r="DA76" s="1">
        <v>41.43</v>
      </c>
    </row>
    <row r="77" spans="1:105" x14ac:dyDescent="0.25">
      <c r="A77" s="9">
        <f t="shared" si="6"/>
        <v>1910</v>
      </c>
      <c r="D77" s="1">
        <v>90.153274838897588</v>
      </c>
      <c r="F77" s="1"/>
      <c r="G77" s="1"/>
      <c r="H77" s="1"/>
      <c r="I77" s="3">
        <f t="shared" si="5"/>
        <v>79.641612742658054</v>
      </c>
      <c r="J77" s="1"/>
      <c r="K77" s="1"/>
      <c r="L77" s="1"/>
      <c r="M77" s="1"/>
      <c r="N77" s="1"/>
      <c r="O77" s="1"/>
      <c r="P77" s="1"/>
      <c r="Q77" s="3"/>
      <c r="R77" s="1"/>
      <c r="S77" s="3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3">
        <f>(1/20)*1730.03333333333</f>
        <v>86.501666666666495</v>
      </c>
      <c r="AW77" s="1"/>
      <c r="AY77" s="1">
        <f>(1/20)*839.999999999999</f>
        <v>41.99999999999995</v>
      </c>
      <c r="AZ77" s="1"/>
      <c r="BA77" s="1"/>
      <c r="BB77" s="1">
        <v>80.84</v>
      </c>
      <c r="BC77" s="1"/>
      <c r="BD77" s="1"/>
      <c r="BE77" s="1"/>
      <c r="BF77" s="1"/>
      <c r="BG77" s="3">
        <f>112*0.432282003710575</f>
        <v>48.415584415584405</v>
      </c>
      <c r="BH77" s="3">
        <f>112*0.653887113951012</f>
        <v>73.235356762513334</v>
      </c>
      <c r="BI77" s="1"/>
      <c r="BJ77" s="1"/>
      <c r="BK77" s="1">
        <v>65.274611398963728</v>
      </c>
      <c r="BL77" s="1"/>
      <c r="BM77" s="1"/>
      <c r="BN77" s="1"/>
      <c r="BO77" s="3"/>
      <c r="BP77" s="1"/>
      <c r="BQ77" s="1"/>
      <c r="BR77" s="1"/>
      <c r="BS77" s="1"/>
      <c r="BT77" s="1"/>
      <c r="BU77" s="1"/>
      <c r="BV77" s="1"/>
      <c r="BW77" s="1"/>
      <c r="BX77" s="1"/>
      <c r="BY77" s="3"/>
      <c r="BZ77" s="1"/>
      <c r="CA77" s="1"/>
      <c r="CB77" s="1"/>
      <c r="CC77" s="3"/>
      <c r="CD77" s="1"/>
      <c r="CE77" s="1"/>
      <c r="CF77" s="3"/>
      <c r="CG77" s="1"/>
      <c r="CH77" s="1"/>
      <c r="CI77" s="3"/>
      <c r="CK77" s="1"/>
      <c r="CL77" s="1"/>
      <c r="CM77" s="1"/>
      <c r="CN77" s="1"/>
      <c r="CO77" s="1"/>
      <c r="CP77" s="1"/>
      <c r="CQ77" s="1"/>
      <c r="CR77" s="1"/>
      <c r="CS77" s="1"/>
      <c r="CT77" s="1"/>
      <c r="CV77" s="1"/>
      <c r="DA77" s="1">
        <v>61.35</v>
      </c>
    </row>
    <row r="78" spans="1:105" x14ac:dyDescent="0.25">
      <c r="A78" s="9">
        <f t="shared" si="6"/>
        <v>1911</v>
      </c>
      <c r="D78" s="1">
        <v>102.57892958642208</v>
      </c>
      <c r="E78" s="1"/>
      <c r="F78" s="1"/>
      <c r="G78" s="1"/>
      <c r="H78" s="1"/>
      <c r="I78" s="3">
        <f t="shared" si="5"/>
        <v>79.641612742658054</v>
      </c>
      <c r="J78" s="3"/>
      <c r="K78" s="1"/>
      <c r="L78" s="1"/>
      <c r="M78" s="1"/>
      <c r="N78" s="1"/>
      <c r="O78" s="1"/>
      <c r="P78" s="1"/>
      <c r="Q78" s="1"/>
      <c r="R78" s="3"/>
      <c r="S78" s="3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>
        <f>(1/20)*2261.43790849673</f>
        <v>113.0718954248365</v>
      </c>
      <c r="AK78" s="1"/>
      <c r="AL78" s="1"/>
      <c r="AM78" s="1">
        <f>112*0.975</f>
        <v>109.2</v>
      </c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>
        <f>(1/20)*834.9</f>
        <v>41.745000000000005</v>
      </c>
      <c r="AZ78" s="1"/>
      <c r="BA78" s="1"/>
      <c r="BB78" s="1">
        <v>113.75291375291376</v>
      </c>
      <c r="BC78" s="1"/>
      <c r="BD78" s="1"/>
      <c r="BE78" s="1"/>
      <c r="BF78" s="1"/>
      <c r="BG78" s="3">
        <f>112*2.72920469361147</f>
        <v>305.67092568448459</v>
      </c>
      <c r="BH78" s="3">
        <f>112*1.60723296888141</f>
        <v>180.01009251471791</v>
      </c>
      <c r="BI78" s="1"/>
      <c r="BJ78" s="1"/>
      <c r="BK78" s="1">
        <v>71.698209718670071</v>
      </c>
      <c r="BL78" s="1"/>
      <c r="BM78" s="1"/>
      <c r="BN78" s="1"/>
      <c r="BO78" s="3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D78" s="1"/>
      <c r="CE78" s="1"/>
      <c r="CF78" s="1"/>
      <c r="CG78" s="1"/>
      <c r="CH78" s="1"/>
      <c r="CI78" s="3"/>
      <c r="CK78" s="1"/>
      <c r="CL78" s="1"/>
      <c r="CM78" s="1"/>
      <c r="CN78" s="1"/>
      <c r="CO78" s="1"/>
      <c r="CP78" s="1"/>
      <c r="CQ78" s="1"/>
      <c r="CR78" s="1"/>
      <c r="CS78" s="1"/>
      <c r="CT78" s="1"/>
      <c r="CV78" s="1"/>
      <c r="DA78" s="1">
        <v>100.95</v>
      </c>
    </row>
    <row r="79" spans="1:105" x14ac:dyDescent="0.25">
      <c r="A79" s="9">
        <f t="shared" si="6"/>
        <v>1912</v>
      </c>
      <c r="D79" s="1">
        <v>128.15847786852652</v>
      </c>
      <c r="E79" s="1"/>
      <c r="F79" s="1"/>
      <c r="G79" s="1"/>
      <c r="H79" s="1"/>
      <c r="I79" s="3">
        <f t="shared" si="5"/>
        <v>79.641612742658054</v>
      </c>
      <c r="J79" s="3"/>
      <c r="K79" s="1"/>
      <c r="L79" s="1"/>
      <c r="M79" s="1"/>
      <c r="N79" s="1"/>
      <c r="O79" s="1"/>
      <c r="P79" s="1"/>
      <c r="Q79" s="1"/>
      <c r="R79" s="3"/>
      <c r="S79" s="3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K79" s="1"/>
      <c r="AL79" s="1"/>
      <c r="AM79" s="1">
        <f>112*0.670833333333333</f>
        <v>75.133333333333297</v>
      </c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>
        <f>(1/20)*834.9</f>
        <v>41.745000000000005</v>
      </c>
      <c r="AZ79" s="1"/>
      <c r="BA79" s="1"/>
      <c r="BB79" s="1">
        <v>85.256159561986706</v>
      </c>
      <c r="BC79" s="1"/>
      <c r="BD79" s="1"/>
      <c r="BE79" s="1">
        <f>112*0.63003663003663</f>
        <v>70.564102564102569</v>
      </c>
      <c r="BF79" s="1"/>
      <c r="BG79" s="1">
        <f>112*1.20814479638009</f>
        <v>135.31221719457008</v>
      </c>
      <c r="BH79" s="1">
        <f>112*0.826401215546499</f>
        <v>92.556936141207899</v>
      </c>
      <c r="BI79" s="1"/>
      <c r="BJ79" s="1"/>
      <c r="BK79" s="1">
        <v>100.81200289226319</v>
      </c>
      <c r="BL79" s="1"/>
      <c r="BM79" s="1"/>
      <c r="BN79" s="1"/>
      <c r="BO79" s="3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V79" s="1"/>
      <c r="DA79" s="1">
        <v>85.5</v>
      </c>
    </row>
    <row r="80" spans="1:105" x14ac:dyDescent="0.25">
      <c r="A80" s="9">
        <f t="shared" si="6"/>
        <v>1913</v>
      </c>
      <c r="D80" s="1">
        <v>113.55479301207045</v>
      </c>
      <c r="E80" s="1"/>
      <c r="F80" s="1"/>
      <c r="G80" s="1"/>
      <c r="H80" s="1"/>
      <c r="I80" s="3">
        <f t="shared" si="5"/>
        <v>79.641612742658054</v>
      </c>
      <c r="J80" s="1"/>
      <c r="K80" s="1"/>
      <c r="L80" s="1"/>
      <c r="M80" s="1"/>
      <c r="N80" s="1"/>
      <c r="O80" s="1"/>
      <c r="P80" s="1"/>
      <c r="Q80" s="1"/>
      <c r="R80" s="3"/>
      <c r="S80" s="3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>
        <f>(1/20)*828.3</f>
        <v>41.414999999999999</v>
      </c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DA80" s="1">
        <v>55.064999999999998</v>
      </c>
    </row>
    <row r="81" spans="1:105" x14ac:dyDescent="0.25">
      <c r="A81" s="9">
        <f t="shared" si="6"/>
        <v>1914</v>
      </c>
      <c r="D81" s="1">
        <v>106.20397161428826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DA81" s="1">
        <v>46.382031249999997</v>
      </c>
    </row>
    <row r="82" spans="1:105" x14ac:dyDescent="0.25">
      <c r="A82" s="9">
        <f t="shared" si="6"/>
        <v>1915</v>
      </c>
      <c r="D82" s="1">
        <v>120.19941627316517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DA82" s="1">
        <v>48.00078125000001</v>
      </c>
    </row>
    <row r="83" spans="1:105" x14ac:dyDescent="0.25">
      <c r="A83" s="9">
        <f t="shared" si="6"/>
        <v>1916</v>
      </c>
      <c r="D83" s="1">
        <v>137.28445804573309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DA83" s="1">
        <v>54.150781250000016</v>
      </c>
    </row>
    <row r="84" spans="1:105" x14ac:dyDescent="0.25">
      <c r="A84" s="9">
        <f t="shared" si="6"/>
        <v>1917</v>
      </c>
      <c r="D84" s="1">
        <v>232.39311380114344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DA84" s="1">
        <v>98.404062500000009</v>
      </c>
    </row>
    <row r="85" spans="1:105" x14ac:dyDescent="0.25">
      <c r="A85" s="9">
        <f t="shared" si="6"/>
        <v>1918</v>
      </c>
      <c r="D85" s="1">
        <v>333.87042645087627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DA85" s="1">
        <v>96.392031250000016</v>
      </c>
    </row>
    <row r="86" spans="1:105" x14ac:dyDescent="0.25">
      <c r="A86" s="9">
        <f t="shared" si="6"/>
        <v>1919</v>
      </c>
      <c r="D86" s="1">
        <v>255.21626912781176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DA86" s="1">
        <v>114.87250000000002</v>
      </c>
    </row>
    <row r="87" spans="1:105" x14ac:dyDescent="0.25">
      <c r="A87" s="9">
        <f t="shared" si="6"/>
        <v>1920</v>
      </c>
      <c r="D87" s="1">
        <v>135.02193606348729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DA87" s="1">
        <v>170.58249999999998</v>
      </c>
    </row>
    <row r="88" spans="1:105" x14ac:dyDescent="0.25">
      <c r="A88" s="9">
        <f t="shared" si="6"/>
        <v>1921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DA88" s="1">
        <v>151.9</v>
      </c>
    </row>
    <row r="89" spans="1:105" x14ac:dyDescent="0.25">
      <c r="A89" s="9">
        <f t="shared" si="6"/>
        <v>1922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</row>
    <row r="90" spans="1:105" x14ac:dyDescent="0.25">
      <c r="A90" s="9">
        <f t="shared" si="6"/>
        <v>1923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</row>
    <row r="91" spans="1:105" x14ac:dyDescent="0.25">
      <c r="A91" s="9">
        <f t="shared" si="6"/>
        <v>1924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</row>
    <row r="92" spans="1:105" x14ac:dyDescent="0.25">
      <c r="A92" s="9">
        <f t="shared" si="6"/>
        <v>1925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</row>
    <row r="93" spans="1:105" hidden="1" x14ac:dyDescent="0.25">
      <c r="A93" s="9">
        <f t="shared" si="6"/>
        <v>1926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</row>
    <row r="94" spans="1:105" hidden="1" x14ac:dyDescent="0.25">
      <c r="A94" s="9">
        <f t="shared" si="6"/>
        <v>1927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</row>
    <row r="95" spans="1:105" hidden="1" x14ac:dyDescent="0.25">
      <c r="A95" s="9">
        <f t="shared" si="6"/>
        <v>1928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</row>
    <row r="96" spans="1:105" hidden="1" x14ac:dyDescent="0.25">
      <c r="A96" s="9">
        <f t="shared" si="6"/>
        <v>1929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</row>
    <row r="97" spans="1:100" hidden="1" x14ac:dyDescent="0.25">
      <c r="A97" s="9">
        <f t="shared" si="6"/>
        <v>1930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</row>
    <row r="98" spans="1:100" hidden="1" x14ac:dyDescent="0.25">
      <c r="A98" s="9">
        <f t="shared" si="6"/>
        <v>1931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</row>
    <row r="99" spans="1:100" hidden="1" x14ac:dyDescent="0.25">
      <c r="A99" s="9">
        <f t="shared" si="6"/>
        <v>1932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</row>
    <row r="100" spans="1:100" hidden="1" x14ac:dyDescent="0.25">
      <c r="A100" s="9">
        <f t="shared" si="6"/>
        <v>1933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</row>
    <row r="101" spans="1:100" hidden="1" x14ac:dyDescent="0.25">
      <c r="A101" s="9">
        <f t="shared" si="6"/>
        <v>1934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</row>
    <row r="102" spans="1:100" hidden="1" x14ac:dyDescent="0.25">
      <c r="A102" s="9">
        <f t="shared" si="6"/>
        <v>1935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</row>
    <row r="103" spans="1:100" hidden="1" x14ac:dyDescent="0.25">
      <c r="A103" s="9">
        <f t="shared" si="6"/>
        <v>1936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</row>
    <row r="104" spans="1:100" hidden="1" x14ac:dyDescent="0.25">
      <c r="A104" s="9">
        <f t="shared" ref="A104:A135" si="7">A103+1</f>
        <v>1937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</row>
    <row r="105" spans="1:100" hidden="1" x14ac:dyDescent="0.25">
      <c r="A105" s="9">
        <f t="shared" si="7"/>
        <v>1938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</row>
    <row r="106" spans="1:100" hidden="1" x14ac:dyDescent="0.25">
      <c r="A106" s="9">
        <f t="shared" si="7"/>
        <v>1939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</row>
    <row r="107" spans="1:100" hidden="1" x14ac:dyDescent="0.25">
      <c r="A107" s="9">
        <f t="shared" si="7"/>
        <v>1940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</row>
    <row r="108" spans="1:100" hidden="1" x14ac:dyDescent="0.25">
      <c r="A108" s="9">
        <f t="shared" si="7"/>
        <v>1941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</row>
    <row r="109" spans="1:100" hidden="1" x14ac:dyDescent="0.25">
      <c r="A109" s="9">
        <f t="shared" si="7"/>
        <v>1942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</row>
    <row r="110" spans="1:100" hidden="1" x14ac:dyDescent="0.25">
      <c r="A110" s="9">
        <f t="shared" si="7"/>
        <v>1943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</row>
    <row r="111" spans="1:100" hidden="1" x14ac:dyDescent="0.25">
      <c r="A111" s="9">
        <f t="shared" si="7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</row>
    <row r="112" spans="1:100" hidden="1" x14ac:dyDescent="0.25">
      <c r="A112" s="9">
        <f t="shared" si="7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</row>
    <row r="113" spans="1:100" hidden="1" x14ac:dyDescent="0.25">
      <c r="A113" s="9">
        <f t="shared" si="7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</row>
    <row r="114" spans="1:100" hidden="1" x14ac:dyDescent="0.25">
      <c r="A114" s="9">
        <f t="shared" si="7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</row>
    <row r="115" spans="1:100" hidden="1" x14ac:dyDescent="0.25">
      <c r="A115" s="9">
        <f t="shared" si="7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</row>
    <row r="116" spans="1:100" hidden="1" x14ac:dyDescent="0.25">
      <c r="A116" s="9">
        <f t="shared" si="7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</row>
    <row r="117" spans="1:100" hidden="1" x14ac:dyDescent="0.25">
      <c r="A117" s="9">
        <f t="shared" si="7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</row>
    <row r="118" spans="1:100" hidden="1" x14ac:dyDescent="0.25">
      <c r="A118" s="9">
        <f t="shared" si="7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</row>
    <row r="119" spans="1:100" hidden="1" x14ac:dyDescent="0.25">
      <c r="A119" s="9">
        <f t="shared" si="7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</row>
    <row r="120" spans="1:100" hidden="1" x14ac:dyDescent="0.25">
      <c r="A120" s="9">
        <f t="shared" si="7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</row>
    <row r="121" spans="1:100" hidden="1" x14ac:dyDescent="0.25">
      <c r="A121" s="9">
        <f t="shared" si="7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</row>
    <row r="122" spans="1:100" hidden="1" x14ac:dyDescent="0.25">
      <c r="A122" s="9">
        <f t="shared" si="7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</row>
    <row r="123" spans="1:100" hidden="1" x14ac:dyDescent="0.25">
      <c r="A123" s="9">
        <f t="shared" si="7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</row>
    <row r="124" spans="1:100" hidden="1" x14ac:dyDescent="0.25">
      <c r="A124" s="9">
        <f t="shared" si="7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</row>
    <row r="125" spans="1:100" hidden="1" x14ac:dyDescent="0.25">
      <c r="A125" s="9">
        <f t="shared" si="7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</row>
    <row r="126" spans="1:100" hidden="1" x14ac:dyDescent="0.25">
      <c r="A126" s="9">
        <f t="shared" si="7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</row>
    <row r="127" spans="1:100" hidden="1" x14ac:dyDescent="0.25">
      <c r="A127" s="9">
        <f t="shared" si="7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</row>
    <row r="128" spans="1:100" hidden="1" x14ac:dyDescent="0.25">
      <c r="A128" s="9">
        <f t="shared" si="7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</row>
    <row r="129" spans="1:100" hidden="1" x14ac:dyDescent="0.25">
      <c r="A129" s="9">
        <f t="shared" si="7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</row>
    <row r="130" spans="1:100" hidden="1" x14ac:dyDescent="0.25">
      <c r="A130" s="9">
        <f t="shared" si="7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</row>
    <row r="131" spans="1:100" hidden="1" x14ac:dyDescent="0.25">
      <c r="A131" s="9">
        <f t="shared" si="7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</row>
    <row r="132" spans="1:100" hidden="1" x14ac:dyDescent="0.25">
      <c r="A132" s="9">
        <f t="shared" si="7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</row>
    <row r="133" spans="1:100" hidden="1" x14ac:dyDescent="0.25">
      <c r="A133" s="9">
        <f t="shared" si="7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</row>
    <row r="134" spans="1:100" hidden="1" x14ac:dyDescent="0.25">
      <c r="A134" s="9">
        <f t="shared" si="7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</row>
    <row r="135" spans="1:100" hidden="1" x14ac:dyDescent="0.25">
      <c r="A135" s="9">
        <f t="shared" si="7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</row>
    <row r="136" spans="1:100" hidden="1" x14ac:dyDescent="0.25">
      <c r="A136" s="9">
        <f t="shared" ref="A136:A145" si="8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</row>
    <row r="137" spans="1:100" hidden="1" x14ac:dyDescent="0.25">
      <c r="A137" s="9">
        <f t="shared" si="8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</row>
    <row r="138" spans="1:100" hidden="1" x14ac:dyDescent="0.25">
      <c r="A138" s="9">
        <f t="shared" si="8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</row>
    <row r="139" spans="1:100" hidden="1" x14ac:dyDescent="0.25">
      <c r="A139" s="9">
        <f t="shared" si="8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</row>
    <row r="140" spans="1:100" hidden="1" x14ac:dyDescent="0.25">
      <c r="A140" s="9">
        <f t="shared" si="8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</row>
    <row r="141" spans="1:100" hidden="1" x14ac:dyDescent="0.25">
      <c r="A141" s="9">
        <f t="shared" si="8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</row>
    <row r="142" spans="1:100" hidden="1" x14ac:dyDescent="0.25">
      <c r="A142" s="9">
        <f t="shared" si="8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</row>
    <row r="143" spans="1:100" hidden="1" x14ac:dyDescent="0.25">
      <c r="A143" s="9">
        <f t="shared" si="8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</row>
    <row r="144" spans="1:100" hidden="1" x14ac:dyDescent="0.25">
      <c r="A144" s="9">
        <f t="shared" si="8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</row>
    <row r="145" spans="1:100" hidden="1" x14ac:dyDescent="0.25">
      <c r="A145" s="9">
        <f t="shared" si="8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</row>
    <row r="146" spans="1:100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</row>
    <row r="147" spans="1:100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</row>
    <row r="148" spans="1:100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</row>
    <row r="149" spans="1:100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</row>
    <row r="150" spans="1:100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</row>
    <row r="151" spans="1:100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</row>
    <row r="152" spans="1:100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</row>
    <row r="153" spans="1:100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</row>
    <row r="154" spans="1:100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</row>
    <row r="155" spans="1:100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</row>
    <row r="156" spans="1:100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</row>
    <row r="157" spans="1:100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</row>
    <row r="158" spans="1:100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</row>
    <row r="159" spans="1:100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</row>
    <row r="160" spans="1:100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</row>
    <row r="161" spans="3:100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</row>
    <row r="162" spans="3:100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</row>
    <row r="163" spans="3:100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</row>
    <row r="164" spans="3:100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</row>
    <row r="165" spans="3:100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</row>
    <row r="166" spans="3:100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</row>
    <row r="167" spans="3:100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</row>
    <row r="168" spans="3:100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</row>
    <row r="169" spans="3:100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</row>
    <row r="170" spans="3:100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</row>
    <row r="171" spans="3:100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</row>
    <row r="172" spans="3:100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</row>
    <row r="173" spans="3:100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</row>
    <row r="174" spans="3:100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</row>
    <row r="175" spans="3:100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</row>
    <row r="176" spans="3:100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</row>
    <row r="177" spans="3:100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</row>
    <row r="178" spans="3:100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</row>
    <row r="179" spans="3:100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</row>
    <row r="180" spans="3:100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</row>
    <row r="181" spans="3:100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</row>
    <row r="182" spans="3:100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</row>
    <row r="183" spans="3:100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</row>
    <row r="184" spans="3:100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</row>
    <row r="185" spans="3:100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</row>
    <row r="186" spans="3:100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</row>
    <row r="187" spans="3:100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</row>
    <row r="188" spans="3:100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</row>
    <row r="189" spans="3:100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</row>
    <row r="190" spans="3:100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</row>
    <row r="191" spans="3:100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</row>
    <row r="192" spans="3:100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</row>
    <row r="193" spans="3:100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</row>
    <row r="194" spans="3:100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</row>
    <row r="195" spans="3:100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</row>
    <row r="196" spans="3:100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</row>
    <row r="197" spans="3:100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</row>
    <row r="198" spans="3:100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</row>
    <row r="199" spans="3:100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</row>
    <row r="200" spans="3:100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</row>
    <row r="201" spans="3:100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</row>
    <row r="202" spans="3:100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</row>
    <row r="203" spans="3:100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</row>
    <row r="204" spans="3:100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</row>
    <row r="205" spans="3:100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</row>
    <row r="206" spans="3:100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</row>
    <row r="207" spans="3:100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</row>
    <row r="208" spans="3:100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</row>
    <row r="209" spans="3:100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</row>
    <row r="210" spans="3:100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</row>
    <row r="211" spans="3:100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</row>
    <row r="212" spans="3:100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</row>
    <row r="213" spans="3:100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</row>
    <row r="214" spans="3:100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</row>
    <row r="215" spans="3:100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</row>
    <row r="216" spans="3:100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</row>
    <row r="217" spans="3:100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</row>
    <row r="218" spans="3:100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</row>
    <row r="219" spans="3:100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</row>
    <row r="220" spans="3:100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</row>
    <row r="221" spans="3:100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</row>
    <row r="222" spans="3:100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</row>
    <row r="223" spans="3:100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</row>
    <row r="224" spans="3:100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</row>
    <row r="225" spans="3:100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</row>
    <row r="226" spans="3:100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</row>
    <row r="227" spans="3:100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</row>
    <row r="228" spans="3:100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</row>
    <row r="229" spans="3:100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</row>
    <row r="230" spans="3:100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</row>
    <row r="231" spans="3:100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</row>
    <row r="232" spans="3:100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</row>
    <row r="233" spans="3:100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</row>
    <row r="234" spans="3:100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</row>
    <row r="235" spans="3:100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</row>
    <row r="236" spans="3:100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</row>
    <row r="237" spans="3:100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</row>
    <row r="238" spans="3:100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</row>
    <row r="239" spans="3:100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</row>
    <row r="240" spans="3:100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</row>
    <row r="241" spans="3:100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</row>
    <row r="242" spans="3:100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</row>
    <row r="243" spans="3:100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</row>
    <row r="244" spans="3:100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</row>
    <row r="245" spans="3:100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</row>
    <row r="246" spans="3:100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</row>
    <row r="247" spans="3:100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</row>
    <row r="248" spans="3:100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</row>
    <row r="249" spans="3:100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</row>
    <row r="250" spans="3:100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</row>
    <row r="251" spans="3:100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</row>
    <row r="252" spans="3:100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</row>
    <row r="253" spans="3:100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</row>
    <row r="254" spans="3:100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</row>
    <row r="255" spans="3:100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</row>
    <row r="256" spans="3:100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</row>
    <row r="257" spans="3:100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</row>
    <row r="258" spans="3:100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</row>
    <row r="259" spans="3:100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</row>
    <row r="260" spans="3:100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</row>
    <row r="261" spans="3:100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</row>
    <row r="262" spans="3:100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</row>
    <row r="263" spans="3:100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</row>
    <row r="264" spans="3:100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</row>
    <row r="265" spans="3:100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</row>
    <row r="266" spans="3:100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</row>
    <row r="267" spans="3:100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</row>
    <row r="268" spans="3:100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</row>
    <row r="269" spans="3:100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</row>
    <row r="270" spans="3:100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</row>
    <row r="271" spans="3:100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</row>
    <row r="272" spans="3:100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</row>
    <row r="273" spans="3:100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</row>
    <row r="274" spans="3:100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</row>
    <row r="275" spans="3:100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</row>
    <row r="276" spans="3:100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</row>
    <row r="277" spans="3:100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</row>
    <row r="278" spans="3:100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</row>
    <row r="279" spans="3:100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</row>
    <row r="280" spans="3:100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</row>
    <row r="281" spans="3:100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</row>
    <row r="282" spans="3:100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</row>
    <row r="283" spans="3:100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</row>
    <row r="284" spans="3:100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</row>
    <row r="285" spans="3:100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</row>
    <row r="286" spans="3:100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</row>
    <row r="287" spans="3:100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</row>
    <row r="288" spans="3:100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</row>
    <row r="289" spans="3:100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</row>
    <row r="290" spans="3:100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</row>
    <row r="291" spans="3:100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</row>
    <row r="292" spans="3:100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</row>
    <row r="293" spans="3:100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</row>
    <row r="294" spans="3:100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</row>
    <row r="295" spans="3:100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</row>
    <row r="296" spans="3:100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</row>
    <row r="297" spans="3:100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</row>
    <row r="298" spans="3:100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</row>
    <row r="299" spans="3:100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</row>
    <row r="300" spans="3:100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</row>
    <row r="301" spans="3:100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</row>
    <row r="302" spans="3:100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</row>
    <row r="303" spans="3:100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</row>
    <row r="304" spans="3:100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</row>
    <row r="305" spans="3:100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</row>
    <row r="306" spans="3:100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</row>
    <row r="307" spans="3:100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</row>
    <row r="308" spans="3:100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</row>
    <row r="309" spans="3:100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</row>
    <row r="310" spans="3:100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</row>
    <row r="311" spans="3:100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</row>
    <row r="312" spans="3:100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</row>
    <row r="313" spans="3:100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</row>
  </sheetData>
  <sortState ref="AX21:AY30">
    <sortCondition ref="AX154:AX163"/>
  </sortState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topLeftCell="A906" zoomScale="40" zoomScaleNormal="40" zoomScaleSheetLayoutView="30" workbookViewId="0">
      <selection activeCell="AL952" sqref="AL952"/>
    </sheetView>
  </sheetViews>
  <sheetFormatPr defaultRowHeight="13.2" x14ac:dyDescent="0.25"/>
  <sheetData/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showZeros="0" zoomScale="50" zoomScaleNormal="50" workbookViewId="0">
      <selection activeCell="X72" sqref="X72"/>
    </sheetView>
  </sheetViews>
  <sheetFormatPr defaultRowHeight="13.2" x14ac:dyDescent="0.25"/>
  <sheetData/>
  <pageMargins left="0.7" right="0.7" top="0.75" bottom="0.75" header="0.3" footer="0.3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13"/>
  <sheetViews>
    <sheetView zoomScale="60" zoomScaleNormal="60" workbookViewId="0">
      <pane xSplit="2" ySplit="5" topLeftCell="C6" activePane="bottomRight" state="frozen"/>
      <selection activeCell="CE20" sqref="CE20"/>
      <selection pane="topRight" activeCell="CE20" sqref="CE20"/>
      <selection pane="bottomLeft" activeCell="CE20" sqref="CE20"/>
      <selection pane="bottomRight" activeCell="A7" sqref="A7:XFD16"/>
    </sheetView>
  </sheetViews>
  <sheetFormatPr defaultRowHeight="13.2" x14ac:dyDescent="0.25"/>
  <cols>
    <col min="2" max="2" width="12.33203125" bestFit="1" customWidth="1"/>
    <col min="3" max="3" width="14.77734375" customWidth="1"/>
    <col min="4" max="7" width="12" customWidth="1"/>
    <col min="8" max="8" width="14.21875" customWidth="1"/>
    <col min="9" max="24" width="12" customWidth="1"/>
    <col min="25" max="25" width="13.33203125" customWidth="1"/>
    <col min="26" max="26" width="13.5546875" customWidth="1"/>
    <col min="27" max="27" width="10.88671875" customWidth="1"/>
  </cols>
  <sheetData>
    <row r="1" spans="1:27" s="15" customFormat="1" x14ac:dyDescent="0.25"/>
    <row r="2" spans="1:27" s="2" customFormat="1" ht="39" customHeight="1" x14ac:dyDescent="0.25">
      <c r="B2" s="6" t="s">
        <v>29</v>
      </c>
      <c r="C2" s="8" t="s">
        <v>1</v>
      </c>
      <c r="D2" s="8" t="s">
        <v>0</v>
      </c>
      <c r="E2" s="8" t="s">
        <v>0</v>
      </c>
      <c r="F2" s="8" t="s">
        <v>0</v>
      </c>
      <c r="G2" s="8" t="s">
        <v>24</v>
      </c>
      <c r="H2" s="8" t="s">
        <v>42</v>
      </c>
      <c r="I2" s="8" t="s">
        <v>48</v>
      </c>
      <c r="J2" s="8" t="s">
        <v>49</v>
      </c>
      <c r="K2" s="8" t="s">
        <v>50</v>
      </c>
      <c r="L2" s="8" t="s">
        <v>37</v>
      </c>
      <c r="M2" s="8" t="s">
        <v>3</v>
      </c>
      <c r="N2" s="8" t="s">
        <v>9</v>
      </c>
      <c r="O2" s="8" t="s">
        <v>20</v>
      </c>
      <c r="P2" s="8" t="s">
        <v>34</v>
      </c>
      <c r="Q2" s="8" t="s">
        <v>15</v>
      </c>
      <c r="R2" s="8" t="s">
        <v>15</v>
      </c>
      <c r="S2" s="8" t="s">
        <v>15</v>
      </c>
      <c r="T2" s="8" t="s">
        <v>16</v>
      </c>
      <c r="U2" s="8" t="s">
        <v>17</v>
      </c>
      <c r="V2" s="8" t="s">
        <v>51</v>
      </c>
      <c r="W2" s="8" t="s">
        <v>5</v>
      </c>
      <c r="X2" s="8" t="s">
        <v>27</v>
      </c>
      <c r="Y2" s="8" t="s">
        <v>13</v>
      </c>
      <c r="Z2" s="8" t="s">
        <v>36</v>
      </c>
      <c r="AA2" s="8" t="s">
        <v>45</v>
      </c>
    </row>
    <row r="3" spans="1:27" x14ac:dyDescent="0.25">
      <c r="B3" s="6" t="s">
        <v>31</v>
      </c>
      <c r="C3" s="8" t="s">
        <v>43</v>
      </c>
      <c r="D3" s="8" t="s">
        <v>43</v>
      </c>
      <c r="E3" s="8" t="s">
        <v>43</v>
      </c>
      <c r="F3" s="8" t="s">
        <v>43</v>
      </c>
      <c r="G3" s="8" t="s">
        <v>43</v>
      </c>
      <c r="H3" s="8" t="s">
        <v>43</v>
      </c>
      <c r="I3" s="8" t="s">
        <v>43</v>
      </c>
      <c r="J3" s="8" t="s">
        <v>43</v>
      </c>
      <c r="K3" s="8" t="s">
        <v>43</v>
      </c>
      <c r="L3" s="8" t="s">
        <v>43</v>
      </c>
      <c r="M3" s="8" t="s">
        <v>43</v>
      </c>
      <c r="N3" s="8" t="s">
        <v>43</v>
      </c>
      <c r="O3" s="8" t="s">
        <v>43</v>
      </c>
      <c r="P3" s="8" t="s">
        <v>43</v>
      </c>
      <c r="Q3" s="8" t="s">
        <v>43</v>
      </c>
      <c r="R3" s="8" t="s">
        <v>43</v>
      </c>
      <c r="S3" s="8" t="s">
        <v>43</v>
      </c>
      <c r="T3" s="8" t="s">
        <v>43</v>
      </c>
      <c r="U3" s="8" t="s">
        <v>43</v>
      </c>
      <c r="V3" s="8" t="s">
        <v>43</v>
      </c>
      <c r="W3" s="8" t="s">
        <v>43</v>
      </c>
      <c r="X3" s="8" t="s">
        <v>43</v>
      </c>
      <c r="Y3" s="8" t="s">
        <v>43</v>
      </c>
      <c r="Z3" s="8" t="s">
        <v>43</v>
      </c>
      <c r="AA3" s="8" t="s">
        <v>43</v>
      </c>
    </row>
    <row r="4" spans="1:27" s="2" customFormat="1" ht="27" customHeight="1" x14ac:dyDescent="0.25">
      <c r="B4" s="6" t="s">
        <v>30</v>
      </c>
      <c r="C4" s="6" t="s">
        <v>44</v>
      </c>
      <c r="D4" s="6" t="s">
        <v>8</v>
      </c>
      <c r="E4" s="8" t="s">
        <v>7</v>
      </c>
      <c r="F4" s="6" t="s">
        <v>10</v>
      </c>
      <c r="G4" s="6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7</v>
      </c>
      <c r="M4" s="6" t="s">
        <v>7</v>
      </c>
      <c r="N4" s="6" t="s">
        <v>7</v>
      </c>
      <c r="O4" s="6" t="s">
        <v>7</v>
      </c>
      <c r="P4" s="6" t="s">
        <v>7</v>
      </c>
      <c r="Q4" s="6" t="s">
        <v>8</v>
      </c>
      <c r="R4" s="6" t="s">
        <v>7</v>
      </c>
      <c r="S4" s="6" t="s">
        <v>10</v>
      </c>
      <c r="T4" s="6" t="s">
        <v>7</v>
      </c>
      <c r="U4" s="6" t="s">
        <v>7</v>
      </c>
      <c r="V4" s="6" t="s">
        <v>7</v>
      </c>
      <c r="W4" s="6" t="s">
        <v>8</v>
      </c>
      <c r="X4" s="6" t="s">
        <v>7</v>
      </c>
      <c r="Y4" s="6" t="s">
        <v>7</v>
      </c>
      <c r="Z4" s="6" t="s">
        <v>7</v>
      </c>
      <c r="AA4" s="6" t="s">
        <v>7</v>
      </c>
    </row>
    <row r="5" spans="1:27" s="10" customFormat="1" x14ac:dyDescent="0.25">
      <c r="A5" s="5" t="s">
        <v>33</v>
      </c>
      <c r="B5" s="5" t="s">
        <v>32</v>
      </c>
      <c r="C5" s="7" t="s">
        <v>46</v>
      </c>
      <c r="D5" s="7" t="s">
        <v>46</v>
      </c>
      <c r="E5" s="7" t="s">
        <v>46</v>
      </c>
      <c r="F5" s="7" t="s">
        <v>46</v>
      </c>
      <c r="G5" s="7" t="s">
        <v>46</v>
      </c>
      <c r="H5" s="7" t="s">
        <v>46</v>
      </c>
      <c r="I5" s="7" t="s">
        <v>46</v>
      </c>
      <c r="J5" s="7" t="s">
        <v>46</v>
      </c>
      <c r="K5" s="7" t="s">
        <v>46</v>
      </c>
      <c r="L5" s="7" t="s">
        <v>46</v>
      </c>
      <c r="M5" s="7" t="s">
        <v>46</v>
      </c>
      <c r="N5" s="7" t="s">
        <v>46</v>
      </c>
      <c r="O5" s="7" t="s">
        <v>46</v>
      </c>
      <c r="P5" s="7" t="s">
        <v>46</v>
      </c>
      <c r="Q5" s="7" t="s">
        <v>46</v>
      </c>
      <c r="R5" s="7" t="s">
        <v>46</v>
      </c>
      <c r="S5" s="7" t="s">
        <v>46</v>
      </c>
      <c r="T5" s="7" t="s">
        <v>46</v>
      </c>
      <c r="U5" s="7" t="s">
        <v>46</v>
      </c>
      <c r="V5" s="7" t="s">
        <v>46</v>
      </c>
      <c r="W5" s="7" t="s">
        <v>46</v>
      </c>
      <c r="X5" s="7" t="s">
        <v>46</v>
      </c>
      <c r="Y5" s="7" t="s">
        <v>46</v>
      </c>
      <c r="Z5" s="7" t="s">
        <v>46</v>
      </c>
      <c r="AA5" s="7" t="s">
        <v>46</v>
      </c>
    </row>
    <row r="6" spans="1:27" s="2" customFormat="1" ht="54.6" hidden="1" customHeight="1" x14ac:dyDescent="0.25">
      <c r="A6" s="5" t="s">
        <v>33</v>
      </c>
      <c r="B6" s="6" t="s">
        <v>29</v>
      </c>
      <c r="C6" s="8" t="str">
        <f t="shared" ref="C6:U6" si="0">CONCATENATE(C2,", ",C4,", ","in ",C5)</f>
        <v>UK, Exports (foreign and colonial), in pound/cwts.</v>
      </c>
      <c r="D6" s="8" t="str">
        <f t="shared" si="0"/>
        <v>Baghdad, Imports, in pound/cwts.</v>
      </c>
      <c r="E6" s="8" t="str">
        <f t="shared" si="0"/>
        <v>Baghdad, Exports, in pound/cwts.</v>
      </c>
      <c r="F6" s="8" t="str">
        <f t="shared" si="0"/>
        <v>Baghdad, Bazaar (Local), in pound/cwts.</v>
      </c>
      <c r="G6" s="8" t="str">
        <f t="shared" si="0"/>
        <v>Basrah, Exports, in pound/cwts.</v>
      </c>
      <c r="H6" s="8" t="str">
        <f t="shared" si="0"/>
        <v>Turkey &amp; Constantinople, Exports, in pound/cwts.</v>
      </c>
      <c r="I6" s="8" t="str">
        <f t="shared" si="0"/>
        <v>Istanbul (Malatya), Exports, in pound/cwts.</v>
      </c>
      <c r="J6" s="8" t="str">
        <f t="shared" si="0"/>
        <v>Istanbul (Geyve), Exports, in pound/cwts.</v>
      </c>
      <c r="K6" s="8" t="str">
        <f t="shared" si="0"/>
        <v>Istanbul (Nallrihan), Exports, in pound/cwts.</v>
      </c>
      <c r="L6" s="8" t="str">
        <f t="shared" si="0"/>
        <v>Trebizond (Persia), Exports, in pound/cwts.</v>
      </c>
      <c r="M6" s="8" t="str">
        <f t="shared" si="0"/>
        <v>Izmir, Exports, in pound/cwts.</v>
      </c>
      <c r="N6" s="8" t="str">
        <f t="shared" si="0"/>
        <v>Alexandretta, Exports, in pound/cwts.</v>
      </c>
      <c r="O6" s="8" t="str">
        <f t="shared" si="0"/>
        <v>Ispahan, Exports, in pound/cwts.</v>
      </c>
      <c r="P6" s="8" t="str">
        <f t="shared" si="0"/>
        <v>Yezd, Exports, in pound/cwts.</v>
      </c>
      <c r="Q6" s="8" t="str">
        <f t="shared" si="0"/>
        <v>Khorasan, Imports, in pound/cwts.</v>
      </c>
      <c r="R6" s="8" t="str">
        <f t="shared" si="0"/>
        <v>Khorasan, Exports, in pound/cwts.</v>
      </c>
      <c r="S6" s="8" t="str">
        <f t="shared" si="0"/>
        <v>Khorasan, Bazaar (Local), in pound/cwts.</v>
      </c>
      <c r="T6" s="8" t="str">
        <f t="shared" si="0"/>
        <v>Kermanshah, Exports, in pound/cwts.</v>
      </c>
      <c r="U6" s="8" t="str">
        <f t="shared" si="0"/>
        <v>Kerman, Exports, in pound/cwts.</v>
      </c>
      <c r="V6" s="8" t="str">
        <f t="shared" ref="V6:AA6" si="1">CONCATENATE(V2,", ",V4,", ","in ",V5)</f>
        <v>Resht &amp; Ghilan &amp; Tunekabun, Exports, in pound/cwts.</v>
      </c>
      <c r="W6" s="8" t="str">
        <f t="shared" si="1"/>
        <v>Bahrain, Imports, in pound/cwts.</v>
      </c>
      <c r="X6" s="8" t="str">
        <f t="shared" si="1"/>
        <v>Muscat, Exports, in pound/cwts.</v>
      </c>
      <c r="Y6" s="8" t="str">
        <f t="shared" si="1"/>
        <v>Mohammerah, Exports, in pound/cwts.</v>
      </c>
      <c r="Z6" s="8" t="str">
        <f t="shared" si="1"/>
        <v>Shiraz, Exports, in pound/cwts.</v>
      </c>
      <c r="AA6" s="8" t="str">
        <f t="shared" si="1"/>
        <v>Bengal, Exports, in pound/cwts.</v>
      </c>
    </row>
    <row r="7" spans="1:27" hidden="1" x14ac:dyDescent="0.25">
      <c r="A7" s="9">
        <v>1840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7" hidden="1" x14ac:dyDescent="0.25">
      <c r="A8" s="9">
        <f t="shared" ref="A8:A71" si="2">A7+1</f>
        <v>1841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7" hidden="1" x14ac:dyDescent="0.25">
      <c r="A9" s="9">
        <f t="shared" si="2"/>
        <v>1842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7" hidden="1" x14ac:dyDescent="0.25">
      <c r="A10" s="9">
        <f t="shared" si="2"/>
        <v>1843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7" hidden="1" x14ac:dyDescent="0.25">
      <c r="A11" s="9">
        <f t="shared" si="2"/>
        <v>1844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7" hidden="1" x14ac:dyDescent="0.25">
      <c r="A12" s="9">
        <f t="shared" si="2"/>
        <v>1845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7" hidden="1" x14ac:dyDescent="0.25">
      <c r="A13" s="9">
        <f t="shared" si="2"/>
        <v>1846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7" hidden="1" x14ac:dyDescent="0.25">
      <c r="A14" s="9">
        <f t="shared" si="2"/>
        <v>1847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7" hidden="1" x14ac:dyDescent="0.25">
      <c r="A15" s="9">
        <f t="shared" si="2"/>
        <v>1848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7" hidden="1" x14ac:dyDescent="0.25">
      <c r="A16" s="9">
        <f t="shared" si="2"/>
        <v>1849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9">
        <f t="shared" si="2"/>
        <v>1850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9">
        <f t="shared" si="2"/>
        <v>1851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9">
        <f t="shared" si="2"/>
        <v>1852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9">
        <f t="shared" si="2"/>
        <v>1853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9">
        <f t="shared" si="2"/>
        <v>1854</v>
      </c>
      <c r="C21" s="1">
        <v>86.333094524453543</v>
      </c>
      <c r="D21" s="1"/>
      <c r="E21" s="1"/>
      <c r="F21" s="1"/>
      <c r="G21" s="1"/>
      <c r="H21" s="1"/>
      <c r="I21" s="1"/>
      <c r="J21" s="1"/>
      <c r="K21" s="1"/>
      <c r="L21" s="1"/>
      <c r="M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9">
        <f t="shared" si="2"/>
        <v>1855</v>
      </c>
      <c r="C22" s="1">
        <v>76.999301996290612</v>
      </c>
      <c r="D22" s="1"/>
      <c r="E22" s="1"/>
      <c r="F22" s="1"/>
      <c r="G22" s="1"/>
      <c r="H22" s="1"/>
      <c r="I22" s="1"/>
      <c r="J22" s="1"/>
      <c r="K22" s="1"/>
      <c r="L22" s="1"/>
      <c r="M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9">
        <f t="shared" si="2"/>
        <v>1856</v>
      </c>
      <c r="C23" s="1">
        <v>83.999456088890625</v>
      </c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9">
        <f t="shared" si="2"/>
        <v>1857</v>
      </c>
      <c r="C24" s="1">
        <v>83.532228784153318</v>
      </c>
      <c r="D24" s="1"/>
      <c r="E24" s="1"/>
      <c r="F24" s="1"/>
      <c r="G24" s="1"/>
      <c r="H24" s="1"/>
      <c r="I24" s="1"/>
      <c r="J24" s="1"/>
      <c r="K24" s="1"/>
      <c r="L24" s="1"/>
      <c r="M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9">
        <f t="shared" si="2"/>
        <v>1858</v>
      </c>
      <c r="C25" s="1">
        <v>106.95392487269686</v>
      </c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9">
        <f t="shared" si="2"/>
        <v>1859</v>
      </c>
      <c r="C26" s="1">
        <v>107.33351041627139</v>
      </c>
      <c r="D26" s="1"/>
      <c r="E26" s="1"/>
      <c r="F26" s="1"/>
      <c r="G26" s="1"/>
      <c r="H26" s="1"/>
      <c r="I26" s="1"/>
      <c r="J26" s="1"/>
      <c r="K26" s="1"/>
      <c r="L26" s="1"/>
      <c r="M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9">
        <f t="shared" si="2"/>
        <v>1860</v>
      </c>
      <c r="C27" s="1">
        <v>104.06640019577453</v>
      </c>
      <c r="D27" s="1"/>
      <c r="E27" s="1"/>
      <c r="F27" s="1"/>
      <c r="G27" s="1"/>
      <c r="H27" s="1"/>
      <c r="I27" s="1"/>
      <c r="J27" s="1"/>
      <c r="K27" s="1"/>
      <c r="L27" s="1"/>
      <c r="M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9">
        <f t="shared" si="2"/>
        <v>1861</v>
      </c>
      <c r="C28" s="1">
        <v>90.066731007858806</v>
      </c>
      <c r="D28" s="1"/>
      <c r="E28" s="1"/>
      <c r="F28" s="1"/>
      <c r="G28" s="1"/>
      <c r="H28" s="1"/>
      <c r="I28" s="1"/>
      <c r="J28" s="1"/>
      <c r="K28" s="1"/>
      <c r="L28" s="1"/>
      <c r="M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9">
        <f t="shared" si="2"/>
        <v>1862</v>
      </c>
      <c r="C29" s="1">
        <v>95.199655589495478</v>
      </c>
      <c r="D29" s="1"/>
      <c r="E29" s="1"/>
      <c r="F29" s="1"/>
      <c r="G29" s="1"/>
      <c r="H29" s="1"/>
      <c r="I29" s="1"/>
      <c r="J29" s="1"/>
      <c r="K29" s="1"/>
      <c r="L29" s="1"/>
      <c r="M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9">
        <f t="shared" si="2"/>
        <v>1863</v>
      </c>
      <c r="C30" s="1">
        <v>102.19983469723253</v>
      </c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9">
        <f t="shared" si="2"/>
        <v>1864</v>
      </c>
      <c r="C31" s="1">
        <v>92.400233976769442</v>
      </c>
      <c r="E31" s="1"/>
      <c r="F31" s="1"/>
      <c r="G31" s="1"/>
      <c r="H31" s="1"/>
      <c r="I31" s="1"/>
      <c r="J31" s="1"/>
      <c r="K31" s="1"/>
      <c r="L31" s="1"/>
      <c r="M31" s="3">
        <f>112*0.675</f>
        <v>75.600000000000009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9">
        <f t="shared" si="2"/>
        <v>1865</v>
      </c>
      <c r="C32" s="1">
        <v>80.266454545454536</v>
      </c>
      <c r="E32" s="1"/>
      <c r="F32" s="1"/>
      <c r="G32" s="1"/>
      <c r="H32" s="1"/>
      <c r="I32" s="1"/>
      <c r="J32" s="1"/>
      <c r="K32" s="1"/>
      <c r="L32" s="1"/>
      <c r="M32" s="3">
        <f>112*0.0583333333333333</f>
        <v>6.5333333333333297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9">
        <f t="shared" si="2"/>
        <v>1866</v>
      </c>
      <c r="C33" s="1">
        <v>93.333200882688928</v>
      </c>
      <c r="E33" s="1"/>
      <c r="F33" s="1"/>
      <c r="G33" s="1"/>
      <c r="H33" s="1"/>
      <c r="I33" s="1"/>
      <c r="J33" s="1"/>
      <c r="K33" s="1"/>
      <c r="L33" s="1"/>
      <c r="M33" s="3">
        <f>112*0.85</f>
        <v>95.2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9">
        <f t="shared" si="2"/>
        <v>1867</v>
      </c>
      <c r="C34" s="1">
        <v>91.467031154263097</v>
      </c>
      <c r="E34" s="1"/>
      <c r="F34" s="1"/>
      <c r="G34" s="1"/>
      <c r="H34" s="1"/>
      <c r="I34" s="1"/>
      <c r="J34" s="1"/>
      <c r="K34" s="1"/>
      <c r="L34" s="1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9">
        <f t="shared" si="2"/>
        <v>1868</v>
      </c>
      <c r="C35" s="1">
        <v>139.9997741297947</v>
      </c>
      <c r="E35" s="1"/>
      <c r="F35" s="1"/>
      <c r="G35" s="1"/>
      <c r="H35" s="1"/>
      <c r="I35" s="1"/>
      <c r="J35" s="1"/>
      <c r="K35" s="1"/>
      <c r="L35" s="1"/>
      <c r="M35" s="3">
        <f>112*0.95</f>
        <v>106.39999999999999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9">
        <f t="shared" si="2"/>
        <v>1869</v>
      </c>
      <c r="C36" s="1">
        <v>180.60168346088238</v>
      </c>
      <c r="E36" s="1"/>
      <c r="F36" s="1"/>
      <c r="G36" s="1"/>
      <c r="H36" s="1"/>
      <c r="I36" s="1"/>
      <c r="J36" s="1"/>
      <c r="K36" s="1"/>
      <c r="L36" s="1"/>
      <c r="M36" s="3">
        <f>112*2.1</f>
        <v>235.20000000000002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9">
        <f t="shared" si="2"/>
        <v>1870</v>
      </c>
      <c r="C37" s="1">
        <v>146.06672251253207</v>
      </c>
      <c r="E37" s="1"/>
      <c r="F37" s="1"/>
      <c r="G37" s="1"/>
      <c r="H37" s="1"/>
      <c r="I37" s="1"/>
      <c r="J37" s="1"/>
      <c r="K37" s="1"/>
      <c r="L37" s="1"/>
      <c r="M37" s="1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9">
        <f t="shared" si="2"/>
        <v>1871</v>
      </c>
      <c r="C38" s="1">
        <v>111.91219229730741</v>
      </c>
      <c r="E38" s="1"/>
      <c r="F38" s="1"/>
      <c r="G38" s="1"/>
      <c r="H38" s="1"/>
      <c r="I38" s="1"/>
      <c r="J38" s="1"/>
      <c r="K38" s="1"/>
      <c r="L38" s="1"/>
      <c r="M38" s="3">
        <f>112*0.85</f>
        <v>95.2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9">
        <f t="shared" si="2"/>
        <v>1872</v>
      </c>
      <c r="C39" s="1">
        <v>112.30772724176299</v>
      </c>
      <c r="E39" s="1"/>
      <c r="F39" s="1"/>
      <c r="G39" s="1"/>
      <c r="H39" s="1"/>
      <c r="I39" s="1"/>
      <c r="J39" s="1"/>
      <c r="K39" s="1"/>
      <c r="L39" s="1"/>
      <c r="M39" s="3">
        <f>112*1.4</f>
        <v>156.79999999999998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9">
        <f t="shared" si="2"/>
        <v>1873</v>
      </c>
      <c r="C40" s="1">
        <v>119.72540177270858</v>
      </c>
      <c r="E40" s="1"/>
      <c r="F40" s="1"/>
      <c r="G40" s="1"/>
      <c r="H40" s="1"/>
      <c r="I40" s="1"/>
      <c r="J40" s="1"/>
      <c r="K40" s="1"/>
      <c r="L40" s="1"/>
      <c r="M40" s="1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9">
        <f t="shared" si="2"/>
        <v>1874</v>
      </c>
      <c r="C41" s="1">
        <v>121.91671617043222</v>
      </c>
      <c r="F41" s="1"/>
      <c r="G41" s="1"/>
      <c r="H41" s="1"/>
      <c r="I41" s="1"/>
      <c r="J41" s="1"/>
      <c r="K41" s="1"/>
      <c r="L41" s="1"/>
      <c r="M41" s="3">
        <f>112*1.4</f>
        <v>156.79999999999998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9">
        <f t="shared" si="2"/>
        <v>1875</v>
      </c>
      <c r="C42" s="1">
        <v>117.26207478663969</v>
      </c>
      <c r="F42" s="1"/>
      <c r="G42" s="1"/>
      <c r="H42" s="1"/>
      <c r="I42" s="1"/>
      <c r="J42" s="1"/>
      <c r="K42" s="1"/>
      <c r="L42" s="1"/>
      <c r="M42" s="3">
        <f>112*0.8</f>
        <v>89.600000000000009</v>
      </c>
      <c r="O42" s="1"/>
      <c r="P42" s="1"/>
      <c r="Q42" s="1"/>
      <c r="R42" s="1"/>
      <c r="S42" s="1"/>
      <c r="T42" s="1"/>
      <c r="U42" s="1"/>
      <c r="V42" s="1"/>
      <c r="W42" s="1"/>
      <c r="X42" s="1">
        <v>45.874401330591034</v>
      </c>
      <c r="Y42" s="1"/>
    </row>
    <row r="43" spans="1:25" x14ac:dyDescent="0.25">
      <c r="A43" s="9">
        <f t="shared" si="2"/>
        <v>1876</v>
      </c>
      <c r="C43" s="1">
        <v>105.81410267288926</v>
      </c>
      <c r="E43" s="1"/>
      <c r="F43" s="1"/>
      <c r="G43" s="1"/>
      <c r="H43" s="1"/>
      <c r="I43" s="1">
        <v>83.140533774268249</v>
      </c>
      <c r="J43" s="1">
        <v>75.287776261653505</v>
      </c>
      <c r="K43" s="1"/>
      <c r="L43" s="1"/>
      <c r="M43" s="3">
        <f>112*1.05</f>
        <v>117.60000000000001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9">
        <f t="shared" si="2"/>
        <v>1877</v>
      </c>
      <c r="C44" s="1">
        <v>108.18936032188867</v>
      </c>
      <c r="E44" s="1"/>
      <c r="G44" s="1"/>
      <c r="H44" s="1"/>
      <c r="I44" s="1">
        <v>77.178936052942845</v>
      </c>
      <c r="J44" s="1">
        <v>71.661776208014444</v>
      </c>
      <c r="K44" s="1"/>
      <c r="L44" s="1"/>
      <c r="M44" s="3">
        <f>(1/20)*2234.39750803364</f>
        <v>111.719875401682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>
        <v>55.263530174352113</v>
      </c>
      <c r="Y44" s="1"/>
    </row>
    <row r="45" spans="1:25" x14ac:dyDescent="0.25">
      <c r="A45" s="9">
        <f t="shared" si="2"/>
        <v>1878</v>
      </c>
      <c r="C45" s="1">
        <v>91.329982823334817</v>
      </c>
      <c r="D45" s="1">
        <f>112*0.441176470588235</f>
        <v>49.41176470588232</v>
      </c>
      <c r="E45" s="1"/>
      <c r="G45" s="1"/>
      <c r="H45" s="1"/>
      <c r="I45" s="1">
        <v>65.531256134515786</v>
      </c>
      <c r="J45" s="1">
        <v>61.113418642301248</v>
      </c>
      <c r="K45" s="1"/>
      <c r="L45" s="1"/>
      <c r="M45" s="3">
        <f>(1/20)*1911.39870582379</f>
        <v>95.569935291189495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>
        <v>70.660021097119142</v>
      </c>
      <c r="Y45" s="1"/>
    </row>
    <row r="46" spans="1:25" x14ac:dyDescent="0.25">
      <c r="A46" s="9">
        <f t="shared" si="2"/>
        <v>1879</v>
      </c>
      <c r="C46" s="1">
        <v>90.370615224371392</v>
      </c>
      <c r="E46" s="1"/>
      <c r="F46" s="1"/>
      <c r="G46" s="1"/>
      <c r="H46" s="1"/>
      <c r="I46" s="1">
        <v>73.075122711499191</v>
      </c>
      <c r="J46" s="1">
        <v>63.116989756825959</v>
      </c>
      <c r="K46" s="1"/>
      <c r="L46" s="1"/>
      <c r="M46" s="3">
        <f>(1/20)*2006.78664474217</f>
        <v>100.33933223710851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>
        <v>68.89562104594259</v>
      </c>
      <c r="Y46" s="1"/>
    </row>
    <row r="47" spans="1:25" x14ac:dyDescent="0.25">
      <c r="A47" s="9">
        <f t="shared" si="2"/>
        <v>1880</v>
      </c>
      <c r="C47" s="1">
        <v>109.56591478696743</v>
      </c>
      <c r="E47" s="1"/>
      <c r="F47" s="1"/>
      <c r="G47" s="1"/>
      <c r="H47" s="1"/>
      <c r="I47" s="1">
        <v>106.47234479809796</v>
      </c>
      <c r="J47" s="1">
        <v>97.61151129050225</v>
      </c>
      <c r="K47" s="1"/>
      <c r="L47" s="1"/>
      <c r="M47" s="3">
        <f>(1/20)*2639.25539704534</f>
        <v>131.962769852267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>
        <v>122.91987023196832</v>
      </c>
      <c r="Y47" s="1"/>
    </row>
    <row r="48" spans="1:25" x14ac:dyDescent="0.25">
      <c r="A48" s="9">
        <f t="shared" si="2"/>
        <v>1881</v>
      </c>
      <c r="C48" s="1">
        <v>94.463831513151845</v>
      </c>
      <c r="E48" s="1"/>
      <c r="F48" s="1"/>
      <c r="G48" s="1"/>
      <c r="H48" s="1">
        <f>112*0.8</f>
        <v>89.600000000000009</v>
      </c>
      <c r="I48" s="1"/>
      <c r="J48" s="1"/>
      <c r="K48" s="1"/>
      <c r="L48" s="1"/>
      <c r="M48" s="3">
        <f>(1/20)*1592.83225485316</f>
        <v>79.641612742658012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>
        <v>69.483754396334788</v>
      </c>
      <c r="Y48" s="1"/>
    </row>
    <row r="49" spans="1:27" x14ac:dyDescent="0.25">
      <c r="A49" s="9">
        <f t="shared" si="2"/>
        <v>1882</v>
      </c>
      <c r="C49" s="1">
        <v>86.587551485500427</v>
      </c>
      <c r="E49" s="1"/>
      <c r="F49" s="1"/>
      <c r="G49" s="1"/>
      <c r="I49" s="1"/>
      <c r="J49" s="1"/>
      <c r="K49" s="1"/>
      <c r="L49" s="1"/>
      <c r="M49" s="3">
        <f>(1/20)*1592.83225485316</f>
        <v>79.641612742658012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>
        <v>90.219655950162377</v>
      </c>
      <c r="Y49" s="1"/>
    </row>
    <row r="50" spans="1:27" x14ac:dyDescent="0.25">
      <c r="A50" s="9">
        <f t="shared" si="2"/>
        <v>1883</v>
      </c>
      <c r="C50" s="1">
        <v>81.846741708391377</v>
      </c>
      <c r="E50" s="1"/>
      <c r="F50" s="1"/>
      <c r="G50" s="1"/>
      <c r="I50" s="1"/>
      <c r="J50" s="1"/>
      <c r="K50" s="1"/>
      <c r="L50" s="1">
        <v>85.712500000000006</v>
      </c>
      <c r="M50" s="3">
        <f>(1/20)*1433.54902936784</f>
        <v>71.677451468391993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>
        <v>60.419032440290017</v>
      </c>
      <c r="Y50" s="1"/>
    </row>
    <row r="51" spans="1:27" x14ac:dyDescent="0.25">
      <c r="A51" s="9">
        <f t="shared" si="2"/>
        <v>1884</v>
      </c>
      <c r="C51" s="1">
        <v>88.166301579593579</v>
      </c>
      <c r="E51" s="1"/>
      <c r="F51" s="1"/>
      <c r="G51" s="1"/>
      <c r="I51" s="1"/>
      <c r="J51" s="1"/>
      <c r="K51" s="1"/>
      <c r="L51" s="3">
        <v>85.714285714285708</v>
      </c>
      <c r="M51" s="3">
        <f>(1/20)*1592.83225485316</f>
        <v>79.641612742658012</v>
      </c>
      <c r="N51" s="1"/>
      <c r="O51" s="3"/>
      <c r="P51" s="1"/>
      <c r="Q51" s="1"/>
      <c r="R51" s="1"/>
      <c r="S51" s="1"/>
      <c r="T51" s="1"/>
      <c r="U51" s="3"/>
      <c r="V51" s="3"/>
      <c r="W51" s="1"/>
      <c r="X51" s="3">
        <v>68.055430545382308</v>
      </c>
      <c r="Y51" s="1"/>
      <c r="AA51" s="1"/>
    </row>
    <row r="52" spans="1:27" x14ac:dyDescent="0.25">
      <c r="A52" s="9">
        <f t="shared" si="2"/>
        <v>1885</v>
      </c>
      <c r="C52" s="1">
        <v>70.928381264169943</v>
      </c>
      <c r="E52" s="1"/>
      <c r="F52" s="1"/>
      <c r="G52" s="1"/>
      <c r="H52" s="1">
        <f>112*0.575</f>
        <v>64.399999999999991</v>
      </c>
      <c r="I52" s="1">
        <v>70.103783172544453</v>
      </c>
      <c r="J52" s="1">
        <v>51.777159652818369</v>
      </c>
      <c r="K52" s="1">
        <v>52.31094480387835</v>
      </c>
      <c r="L52" s="1"/>
      <c r="M52" s="3">
        <f>(1/20)*1401.69238427078</f>
        <v>70.084619213539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>
        <v>32.641400946766701</v>
      </c>
      <c r="Y52" s="1"/>
      <c r="AA52" s="1">
        <v>35.547428571428576</v>
      </c>
    </row>
    <row r="53" spans="1:27" x14ac:dyDescent="0.25">
      <c r="A53" s="9">
        <f t="shared" si="2"/>
        <v>1886</v>
      </c>
      <c r="C53" s="1">
        <v>65.679859388710355</v>
      </c>
      <c r="E53" s="1"/>
      <c r="F53" s="1"/>
      <c r="G53" s="1"/>
      <c r="H53" s="1">
        <f>112*0.442258703651288</f>
        <v>49.532974808944253</v>
      </c>
      <c r="I53" s="1">
        <v>57.809079997175743</v>
      </c>
      <c r="J53" s="1">
        <v>40.821153710372094</v>
      </c>
      <c r="K53" s="1">
        <v>42.010873402527714</v>
      </c>
      <c r="L53" s="1"/>
      <c r="M53" s="3">
        <f>(1/20)*1620.7057948519</f>
        <v>81.035289742595012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>
        <v>97.596528545081611</v>
      </c>
      <c r="Y53" s="1"/>
      <c r="AA53" s="1">
        <v>33.298285714285718</v>
      </c>
    </row>
    <row r="54" spans="1:27" x14ac:dyDescent="0.25">
      <c r="A54" s="9">
        <f t="shared" si="2"/>
        <v>1887</v>
      </c>
      <c r="C54" s="1">
        <v>76.374030475424547</v>
      </c>
      <c r="E54" s="1">
        <f>112*0.25390625</f>
        <v>28.4375</v>
      </c>
      <c r="F54" s="1"/>
      <c r="G54" s="1">
        <f>112*0.50110075131706</f>
        <v>56.123284147510716</v>
      </c>
      <c r="H54" s="1">
        <f>112*0.868435272624347</f>
        <v>97.264750533926872</v>
      </c>
      <c r="I54" s="1">
        <v>82.232236984663786</v>
      </c>
      <c r="J54" s="1">
        <v>69.238691393553395</v>
      </c>
      <c r="K54" s="1">
        <v>70.728245282146062</v>
      </c>
      <c r="L54" s="1"/>
      <c r="M54" s="15"/>
      <c r="N54" s="1"/>
      <c r="O54" s="1"/>
      <c r="P54" s="1"/>
      <c r="Q54" s="1"/>
      <c r="R54" s="1"/>
      <c r="S54" s="1"/>
      <c r="T54" s="1"/>
      <c r="U54" s="1"/>
      <c r="V54" s="1"/>
      <c r="W54" s="1"/>
      <c r="X54" s="1">
        <v>100.12270131676613</v>
      </c>
      <c r="Y54" s="1"/>
      <c r="Z54" s="1">
        <v>41.776129445389266</v>
      </c>
      <c r="AA54" s="1">
        <v>30.691764705882349</v>
      </c>
    </row>
    <row r="55" spans="1:27" x14ac:dyDescent="0.25">
      <c r="A55" s="9">
        <f t="shared" si="2"/>
        <v>1888</v>
      </c>
      <c r="C55" s="1">
        <v>69.34144195802368</v>
      </c>
      <c r="E55" s="1">
        <f>112*0.607142857142857</f>
        <v>67.999999999999986</v>
      </c>
      <c r="F55" s="1"/>
      <c r="G55" s="3">
        <f>112*0.728576245604459</f>
        <v>81.600539507699409</v>
      </c>
      <c r="I55" s="1">
        <v>64.442624087817009</v>
      </c>
      <c r="J55" s="1">
        <v>42.513866681162874</v>
      </c>
      <c r="K55" s="1">
        <v>44.298399356668476</v>
      </c>
      <c r="L55" s="1"/>
      <c r="M55" s="3">
        <f>(1/20)*1274.26580388253</f>
        <v>63.7132901941265</v>
      </c>
      <c r="N55" s="1"/>
      <c r="O55" s="1"/>
      <c r="P55" s="1"/>
      <c r="Q55" s="1"/>
      <c r="R55" s="1"/>
      <c r="S55" s="3"/>
      <c r="T55" s="1"/>
      <c r="U55" s="1"/>
      <c r="V55" s="1"/>
      <c r="W55" s="1"/>
      <c r="X55" s="1">
        <v>92.219309341495858</v>
      </c>
      <c r="Y55" s="1"/>
      <c r="Z55" s="1">
        <v>41.593435001750528</v>
      </c>
      <c r="AA55" s="1">
        <v>30.458181818181824</v>
      </c>
    </row>
    <row r="56" spans="1:27" x14ac:dyDescent="0.25">
      <c r="A56" s="9">
        <f t="shared" si="2"/>
        <v>1889</v>
      </c>
      <c r="C56" s="1">
        <v>62.686301978337369</v>
      </c>
      <c r="E56" s="1">
        <f>112*0.583791208791209</f>
        <v>65.384615384615415</v>
      </c>
      <c r="F56" s="1"/>
      <c r="G56" s="3">
        <f>112*0.730145860564133</f>
        <v>81.776336383182894</v>
      </c>
      <c r="H56" s="1">
        <f>112*0.516666666666667</f>
        <v>57.86666666666671</v>
      </c>
      <c r="I56" s="1">
        <v>70.76877651755855</v>
      </c>
      <c r="J56" s="1">
        <v>46.728672019923877</v>
      </c>
      <c r="K56" s="1">
        <v>48.303068815672084</v>
      </c>
      <c r="L56" s="1"/>
      <c r="M56" s="3">
        <f>(1/20)*1241.12634086209</f>
        <v>62.056317043104507</v>
      </c>
      <c r="N56" s="1"/>
      <c r="O56" s="1"/>
      <c r="P56" s="1"/>
      <c r="Q56" s="1"/>
      <c r="R56" s="1"/>
      <c r="S56" s="1">
        <f>112*0.245833333333333</f>
        <v>27.533333333333296</v>
      </c>
      <c r="T56" s="1"/>
      <c r="U56" s="1"/>
      <c r="V56" s="1"/>
      <c r="W56" s="1"/>
      <c r="X56" s="1">
        <v>8.6077516782400227</v>
      </c>
      <c r="Y56" s="1"/>
      <c r="Z56" s="1">
        <v>69.381153040345183</v>
      </c>
      <c r="AA56" s="1">
        <v>35.869090909090914</v>
      </c>
    </row>
    <row r="57" spans="1:27" x14ac:dyDescent="0.25">
      <c r="A57" s="9">
        <f t="shared" si="2"/>
        <v>1890</v>
      </c>
      <c r="C57" s="1">
        <v>69.497282099343963</v>
      </c>
      <c r="E57" s="1">
        <f>112*0.520833333333333</f>
        <v>58.3333333333333</v>
      </c>
      <c r="F57" s="1"/>
      <c r="G57" s="3">
        <f>112*0.727310246239771</f>
        <v>81.458747578854357</v>
      </c>
      <c r="H57" s="1"/>
      <c r="I57" s="1">
        <v>65.297927377995165</v>
      </c>
      <c r="J57" s="1">
        <v>57.810556315110446</v>
      </c>
      <c r="K57" s="1">
        <v>57.512211716829384</v>
      </c>
      <c r="L57" s="1"/>
      <c r="M57" s="3">
        <f>(1/20)*1083.12593330015</f>
        <v>54.15629666500751</v>
      </c>
      <c r="N57" s="1">
        <f>(1/20)*805.428571428571</f>
        <v>40.271428571428551</v>
      </c>
      <c r="O57" s="1"/>
      <c r="P57" s="1"/>
      <c r="Q57" s="1"/>
      <c r="R57" s="1"/>
      <c r="S57" s="1"/>
      <c r="T57" s="1"/>
      <c r="U57" s="1"/>
      <c r="V57" s="1"/>
      <c r="W57" s="1"/>
      <c r="X57" s="1">
        <v>64.190554242805035</v>
      </c>
      <c r="Y57" s="1"/>
      <c r="Z57" s="1">
        <v>64.192345937389504</v>
      </c>
      <c r="AA57" s="1">
        <v>30.026666666666667</v>
      </c>
    </row>
    <row r="58" spans="1:27" x14ac:dyDescent="0.25">
      <c r="A58" s="9">
        <f t="shared" si="2"/>
        <v>1891</v>
      </c>
      <c r="C58" s="1">
        <v>60.112094752196384</v>
      </c>
      <c r="E58" s="1">
        <f>112*0.46218487394958</f>
        <v>51.764705882352963</v>
      </c>
      <c r="F58" s="1"/>
      <c r="G58" s="3">
        <f>112*0.273410799726589</f>
        <v>30.622009569377965</v>
      </c>
      <c r="H58" s="1">
        <f>112*0.35</f>
        <v>39.199999999999996</v>
      </c>
      <c r="I58" s="1">
        <v>46.978075784045387</v>
      </c>
      <c r="J58" s="1">
        <v>39.610554861189392</v>
      </c>
      <c r="K58" s="1">
        <v>39.462570222853692</v>
      </c>
      <c r="L58" s="1"/>
      <c r="M58" s="3">
        <f>(1/20)*1019.41264310602</f>
        <v>50.970632155301004</v>
      </c>
      <c r="N58" s="1">
        <f>(1/20)*804.999999999999</f>
        <v>40.24999999999995</v>
      </c>
      <c r="O58" s="1"/>
      <c r="P58" s="1"/>
      <c r="Q58" s="1"/>
      <c r="R58" s="1"/>
      <c r="S58" s="1"/>
      <c r="T58" s="1"/>
      <c r="U58" s="1"/>
      <c r="V58" s="1"/>
      <c r="W58" s="1"/>
      <c r="X58" s="1">
        <v>60.577735090395862</v>
      </c>
      <c r="Y58" s="1"/>
      <c r="Z58" s="1">
        <v>38.937735275282769</v>
      </c>
      <c r="AA58" s="1">
        <v>29.430447761194031</v>
      </c>
    </row>
    <row r="59" spans="1:27" x14ac:dyDescent="0.25">
      <c r="A59" s="9">
        <f t="shared" si="2"/>
        <v>1892</v>
      </c>
      <c r="C59" s="1">
        <v>52.264219353963696</v>
      </c>
      <c r="E59" s="1">
        <f>112*0.34375</f>
        <v>38.5</v>
      </c>
      <c r="F59" s="1"/>
      <c r="G59" s="3">
        <f>112*0.711085828059447</f>
        <v>79.641612742658054</v>
      </c>
      <c r="H59" s="1">
        <f>AVERAGE((1/20)*1127.47509825111,112*0.33125)</f>
        <v>46.736877456277753</v>
      </c>
      <c r="I59" s="1">
        <v>38.870214090429478</v>
      </c>
      <c r="J59" s="1">
        <v>36.278866484400844</v>
      </c>
      <c r="K59" s="1">
        <v>38.583438288695639</v>
      </c>
      <c r="L59" s="1"/>
      <c r="M59" s="3">
        <f>(1/20)*1019.41264310602</f>
        <v>50.970632155301004</v>
      </c>
      <c r="N59" s="1">
        <f>(1/20)*804.999999999999</f>
        <v>40.24999999999995</v>
      </c>
      <c r="O59" s="1"/>
      <c r="P59" s="3"/>
      <c r="Q59" s="1"/>
      <c r="R59" s="1"/>
      <c r="S59" s="1"/>
      <c r="T59" s="1"/>
      <c r="U59" s="1"/>
      <c r="V59" s="1"/>
      <c r="W59" s="1"/>
      <c r="X59" s="1">
        <v>53.436115835633515</v>
      </c>
      <c r="Y59" s="1">
        <v>60.876780108390349</v>
      </c>
      <c r="Z59" s="1">
        <v>38.227108720243343</v>
      </c>
      <c r="AA59" s="1">
        <v>33.216000000000001</v>
      </c>
    </row>
    <row r="60" spans="1:27" x14ac:dyDescent="0.25">
      <c r="A60" s="9">
        <f t="shared" si="2"/>
        <v>1893</v>
      </c>
      <c r="C60" s="1">
        <v>59.781271464550102</v>
      </c>
      <c r="E60" s="1"/>
      <c r="F60" s="1"/>
      <c r="G60" s="3">
        <f>112*0.711085828059447</f>
        <v>79.641612742658054</v>
      </c>
      <c r="H60" s="1">
        <f>AVERAGE((1/20)*1107.5086981993,112*0.466666666666667)</f>
        <v>53.821050788315858</v>
      </c>
      <c r="I60" s="1">
        <v>55.000383193052201</v>
      </c>
      <c r="J60" s="1">
        <v>48.157815835176415</v>
      </c>
      <c r="K60" s="1">
        <v>49.02396360199613</v>
      </c>
      <c r="L60" s="1"/>
      <c r="M60" s="15"/>
      <c r="N60" s="1">
        <f>(1/20)*805.285714285714</f>
        <v>40.264285714285705</v>
      </c>
      <c r="O60" s="1"/>
      <c r="P60" s="3"/>
      <c r="Q60" s="1"/>
      <c r="R60" s="1"/>
      <c r="S60" s="1"/>
      <c r="T60" s="1"/>
      <c r="U60" s="1"/>
      <c r="V60" s="1"/>
      <c r="W60" s="1"/>
      <c r="X60" s="1">
        <v>48.260542352182213</v>
      </c>
      <c r="Y60" s="1"/>
      <c r="Z60" s="1">
        <v>53.518033580812002</v>
      </c>
      <c r="AA60" s="1">
        <v>41.478620689655173</v>
      </c>
    </row>
    <row r="61" spans="1:27" x14ac:dyDescent="0.25">
      <c r="A61" s="9">
        <f t="shared" si="2"/>
        <v>1894</v>
      </c>
      <c r="C61" s="1">
        <v>57.687427290205811</v>
      </c>
      <c r="E61" s="1"/>
      <c r="F61" s="1"/>
      <c r="G61" s="3"/>
      <c r="H61" s="1">
        <f>(1/20)*1132.38705691559</f>
        <v>56.619352845779503</v>
      </c>
      <c r="I61" s="1">
        <v>46.459083527501235</v>
      </c>
      <c r="J61" s="1">
        <v>41.351879309939044</v>
      </c>
      <c r="K61" s="1">
        <v>35.420932476641021</v>
      </c>
      <c r="L61" s="3">
        <v>17.777777777777779</v>
      </c>
      <c r="M61" s="3">
        <f>(1/20)*1192.12628378777</f>
        <v>59.606314189388506</v>
      </c>
      <c r="N61" s="1">
        <f>(1/20)*804.999999999999</f>
        <v>40.24999999999995</v>
      </c>
      <c r="O61" s="1">
        <v>62.030769230769231</v>
      </c>
      <c r="P61" s="1"/>
      <c r="Q61" s="1"/>
      <c r="R61" s="1"/>
      <c r="S61" s="1"/>
      <c r="T61" s="1"/>
      <c r="U61" s="1">
        <f>112*0.276923076923077</f>
        <v>31.015384615384622</v>
      </c>
      <c r="V61" s="1"/>
      <c r="W61" s="1"/>
      <c r="X61" s="1">
        <v>39.212026737348275</v>
      </c>
      <c r="Y61" s="1">
        <v>47.784967645594826</v>
      </c>
      <c r="Z61" s="1">
        <v>62.809425228793422</v>
      </c>
      <c r="AA61" s="1">
        <v>40.689230769230768</v>
      </c>
    </row>
    <row r="62" spans="1:27" x14ac:dyDescent="0.25">
      <c r="A62" s="9">
        <f t="shared" si="2"/>
        <v>1895</v>
      </c>
      <c r="C62" s="1">
        <v>58.564772162386085</v>
      </c>
      <c r="E62" s="1"/>
      <c r="F62" s="1">
        <f>112*0.503448766266088</f>
        <v>56.38626182180186</v>
      </c>
      <c r="G62" s="3"/>
      <c r="H62" s="1">
        <f>(1/20)*1141.16115309448</f>
        <v>57.058057654723996</v>
      </c>
      <c r="I62" s="1">
        <v>41.836870056610458</v>
      </c>
      <c r="J62" s="1">
        <v>38.314121078914447</v>
      </c>
      <c r="K62" s="1">
        <v>38.331024864795907</v>
      </c>
      <c r="L62" s="3">
        <v>26.68</v>
      </c>
      <c r="M62" s="15"/>
      <c r="N62" s="1">
        <f>(1/20)*804.999999999999</f>
        <v>40.24999999999995</v>
      </c>
      <c r="O62" s="1">
        <v>49.107692307692304</v>
      </c>
      <c r="P62" s="3"/>
      <c r="Q62" s="1"/>
      <c r="R62" s="1"/>
      <c r="S62" s="1"/>
      <c r="T62" s="1"/>
      <c r="U62" s="1"/>
      <c r="V62" s="1"/>
      <c r="W62" s="1"/>
      <c r="X62" s="1"/>
      <c r="Y62" s="1">
        <v>16.525634644101544</v>
      </c>
      <c r="Z62" s="1">
        <v>61.19895876004091</v>
      </c>
      <c r="AA62" s="1">
        <v>54.151111111111121</v>
      </c>
    </row>
    <row r="63" spans="1:27" x14ac:dyDescent="0.25">
      <c r="A63" s="9">
        <f t="shared" si="2"/>
        <v>1896</v>
      </c>
      <c r="C63" s="1">
        <v>57.142251532802597</v>
      </c>
      <c r="E63" s="1"/>
      <c r="F63" s="1"/>
      <c r="G63" s="3">
        <f t="shared" ref="G63:G80" si="3">112*0.711085828059447</f>
        <v>79.641612742658054</v>
      </c>
      <c r="H63" s="1">
        <f>(1/20)*1128.18558966074</f>
        <v>56.409279483037011</v>
      </c>
      <c r="I63" s="1">
        <v>56.90372978807283</v>
      </c>
      <c r="J63" s="1">
        <v>43.655830196787129</v>
      </c>
      <c r="K63" s="1">
        <v>42.738257553954455</v>
      </c>
      <c r="L63" s="3">
        <v>49.375</v>
      </c>
      <c r="M63" s="15"/>
      <c r="N63" s="1">
        <f>(1/20)*810.999999999999</f>
        <v>40.549999999999955</v>
      </c>
      <c r="P63" s="3"/>
      <c r="Q63" s="1"/>
      <c r="R63" s="1"/>
      <c r="S63" s="1"/>
      <c r="T63" s="1">
        <v>25.84605461572129</v>
      </c>
      <c r="U63" s="1"/>
      <c r="V63" s="1"/>
      <c r="W63" s="1"/>
      <c r="X63" s="1"/>
      <c r="Y63" s="1">
        <v>55.136501129532483</v>
      </c>
      <c r="Z63" s="1">
        <v>47.746419598761904</v>
      </c>
      <c r="AA63" s="1">
        <v>43.365517241379315</v>
      </c>
    </row>
    <row r="64" spans="1:27" x14ac:dyDescent="0.25">
      <c r="A64" s="9">
        <f t="shared" si="2"/>
        <v>1897</v>
      </c>
      <c r="C64" s="1">
        <v>53.822059992054029</v>
      </c>
      <c r="E64" s="1"/>
      <c r="F64" s="1">
        <f>112*0.373401233912495</f>
        <v>41.820938198199443</v>
      </c>
      <c r="G64" s="3">
        <f t="shared" si="3"/>
        <v>79.641612742658054</v>
      </c>
      <c r="I64" s="1">
        <v>43.174121610931337</v>
      </c>
      <c r="J64" s="1">
        <v>38.422351620297917</v>
      </c>
      <c r="K64" s="1"/>
      <c r="L64" s="3">
        <v>51.111111111111114</v>
      </c>
      <c r="M64" s="15"/>
      <c r="N64" s="1">
        <f>(1/20)*804.999999999999</f>
        <v>40.24999999999995</v>
      </c>
      <c r="P64" s="1"/>
      <c r="Q64" s="1"/>
      <c r="R64" s="1"/>
      <c r="S64" s="1"/>
      <c r="U64" s="1"/>
      <c r="V64" s="1"/>
      <c r="W64" s="1"/>
      <c r="X64" s="1"/>
      <c r="Y64" s="1">
        <v>46.192135390741669</v>
      </c>
      <c r="Z64" s="1">
        <v>45.225269282122582</v>
      </c>
      <c r="AA64" s="1">
        <v>33.723870967741931</v>
      </c>
    </row>
    <row r="65" spans="1:27" x14ac:dyDescent="0.25">
      <c r="A65" s="9">
        <f t="shared" si="2"/>
        <v>1898</v>
      </c>
      <c r="C65" s="1">
        <v>60.197927349968886</v>
      </c>
      <c r="E65" s="1"/>
      <c r="F65" s="1">
        <f>112*0.468670204857363</f>
        <v>52.491062944024655</v>
      </c>
      <c r="G65" s="3">
        <f t="shared" si="3"/>
        <v>79.641612742658054</v>
      </c>
      <c r="I65" s="1">
        <v>50.357914848673069</v>
      </c>
      <c r="J65" s="1">
        <v>44.888003408213756</v>
      </c>
      <c r="K65" s="1"/>
      <c r="L65" s="3">
        <v>38.4</v>
      </c>
      <c r="M65" s="3">
        <f>(1/20)*1360.54982817869</f>
        <v>68.027491408934495</v>
      </c>
      <c r="N65" s="1">
        <f>(1/20)*819.999999999999</f>
        <v>40.99999999999995</v>
      </c>
      <c r="O65" s="1">
        <v>50.051282051282044</v>
      </c>
      <c r="P65" s="3"/>
      <c r="Q65" s="1"/>
      <c r="R65" s="1"/>
      <c r="S65" s="1"/>
      <c r="V65" s="1"/>
      <c r="W65" s="1"/>
      <c r="X65" s="1"/>
      <c r="Y65" s="1">
        <v>46.192135390741662</v>
      </c>
      <c r="Z65" s="1">
        <v>49.376515177207267</v>
      </c>
      <c r="AA65" s="1">
        <v>31.32</v>
      </c>
    </row>
    <row r="66" spans="1:27" x14ac:dyDescent="0.25">
      <c r="A66" s="9">
        <f t="shared" si="2"/>
        <v>1899</v>
      </c>
      <c r="C66" s="1">
        <v>56.611424941837967</v>
      </c>
      <c r="E66" s="1"/>
      <c r="F66" s="1">
        <f>112*0.527915237929398</f>
        <v>59.126506648092573</v>
      </c>
      <c r="G66" s="3">
        <f t="shared" si="3"/>
        <v>79.641612742658054</v>
      </c>
      <c r="I66" s="1">
        <v>42.964286191225561</v>
      </c>
      <c r="J66" s="1">
        <v>40.139427860272107</v>
      </c>
      <c r="K66" s="1"/>
      <c r="L66" s="3">
        <v>40</v>
      </c>
      <c r="M66" s="3">
        <f>(1/20)*2083.73637128819</f>
        <v>104.18681856440952</v>
      </c>
      <c r="N66" s="1">
        <f>(1/20)*844.999999999999</f>
        <v>42.24999999999995</v>
      </c>
      <c r="P66" s="1"/>
      <c r="Q66" s="1"/>
      <c r="R66" s="1"/>
      <c r="S66" s="1"/>
      <c r="V66" s="1"/>
      <c r="W66" s="1"/>
      <c r="X66" s="1"/>
      <c r="Y66" s="1"/>
      <c r="Z66" s="1">
        <v>53.237936690037358</v>
      </c>
      <c r="AA66" s="1">
        <v>33.870000000000005</v>
      </c>
    </row>
    <row r="67" spans="1:27" x14ac:dyDescent="0.25">
      <c r="A67" s="9">
        <f t="shared" si="2"/>
        <v>1900</v>
      </c>
      <c r="C67" s="1">
        <v>58.035289850024135</v>
      </c>
      <c r="E67" s="1"/>
      <c r="F67" s="1"/>
      <c r="G67" s="3">
        <f t="shared" si="3"/>
        <v>79.641612742658054</v>
      </c>
      <c r="H67" s="1">
        <f>(1/20)*1100.17699115044</f>
        <v>55.008849557522005</v>
      </c>
      <c r="I67" s="1">
        <v>47.1807003502349</v>
      </c>
      <c r="J67" s="1">
        <v>44.007953062267475</v>
      </c>
      <c r="K67" s="1"/>
      <c r="L67" s="3">
        <v>40</v>
      </c>
      <c r="M67" s="3">
        <f>(1/20)*1322.07407407407</f>
        <v>66.103703703703502</v>
      </c>
      <c r="N67" s="1">
        <f>(1/20)*855.555555555555</f>
        <v>42.77777777777775</v>
      </c>
      <c r="P67" s="1"/>
      <c r="Q67" s="1"/>
      <c r="R67" s="1"/>
      <c r="S67" s="1"/>
      <c r="T67" s="1">
        <v>46.041202628260429</v>
      </c>
      <c r="V67" s="1"/>
      <c r="W67" s="1"/>
      <c r="X67" s="1"/>
      <c r="Y67" s="1">
        <v>47.784967645594826</v>
      </c>
      <c r="Z67" s="1">
        <v>67.475203838484489</v>
      </c>
      <c r="AA67" s="1">
        <v>38.82</v>
      </c>
    </row>
    <row r="68" spans="1:27" x14ac:dyDescent="0.25">
      <c r="A68" s="9">
        <f t="shared" si="2"/>
        <v>1901</v>
      </c>
      <c r="C68" s="1">
        <v>59.968189976257882</v>
      </c>
      <c r="E68" s="1"/>
      <c r="F68" s="1"/>
      <c r="G68" s="3">
        <f t="shared" si="3"/>
        <v>79.641612742658054</v>
      </c>
      <c r="H68" s="1"/>
      <c r="I68" s="1">
        <v>50.530176815088147</v>
      </c>
      <c r="J68" s="1">
        <v>43.560497254386334</v>
      </c>
      <c r="K68" s="1"/>
      <c r="L68" s="3">
        <v>41.142857142857146</v>
      </c>
      <c r="M68" s="3">
        <f>(1/20)*1335.23555555556</f>
        <v>66.761777777778008</v>
      </c>
      <c r="N68" s="1">
        <f>(1/20)*843.749999999999</f>
        <v>42.18749999999995</v>
      </c>
      <c r="O68" s="1">
        <v>40.743589743589745</v>
      </c>
      <c r="P68" s="1"/>
      <c r="Q68" s="1"/>
      <c r="R68" s="1"/>
      <c r="S68" s="1"/>
      <c r="T68" s="1">
        <v>54.63641825512223</v>
      </c>
      <c r="V68" s="1"/>
      <c r="W68" s="1"/>
      <c r="X68" s="1"/>
      <c r="Y68" s="1">
        <v>69.573462981017542</v>
      </c>
      <c r="Z68" s="1">
        <v>58.441708904054735</v>
      </c>
      <c r="AA68" s="1">
        <v>39.18</v>
      </c>
    </row>
    <row r="69" spans="1:27" x14ac:dyDescent="0.25">
      <c r="A69" s="9">
        <f t="shared" si="2"/>
        <v>1902</v>
      </c>
      <c r="C69" s="1">
        <v>56.6370877534602</v>
      </c>
      <c r="E69" s="1"/>
      <c r="F69" s="1">
        <f>112*0.392873921847555</f>
        <v>44.001879246926158</v>
      </c>
      <c r="G69" s="3">
        <f t="shared" si="3"/>
        <v>79.641612742658054</v>
      </c>
      <c r="H69" s="1"/>
      <c r="I69" s="1"/>
      <c r="J69" s="1">
        <v>35.858308331899963</v>
      </c>
      <c r="K69" s="1">
        <v>33.166764607229503</v>
      </c>
      <c r="L69" s="3">
        <v>40</v>
      </c>
      <c r="M69" s="3">
        <f>(1/20)*1337.93333333333</f>
        <v>66.896666666666505</v>
      </c>
      <c r="N69" s="1">
        <f>(1/20)*849.999999999999</f>
        <v>42.49999999999995</v>
      </c>
      <c r="O69" s="1">
        <v>48.533333333333324</v>
      </c>
      <c r="P69" s="1"/>
      <c r="Q69" s="3">
        <f>112*0.378119001919386</f>
        <v>42.349328214971237</v>
      </c>
      <c r="R69" s="3">
        <f>112*0.341326296466269</f>
        <v>38.228545204222129</v>
      </c>
      <c r="S69" s="1"/>
      <c r="T69" s="1">
        <v>33.594837191598323</v>
      </c>
      <c r="V69" s="1">
        <f>112*0.523680124223602</f>
        <v>58.652173913043427</v>
      </c>
      <c r="W69" s="1"/>
      <c r="X69" s="1"/>
      <c r="Y69" s="1">
        <v>63.757083664139806</v>
      </c>
      <c r="AA69" s="1">
        <v>37.049999999999997</v>
      </c>
    </row>
    <row r="70" spans="1:27" x14ac:dyDescent="0.25">
      <c r="A70" s="9">
        <f t="shared" si="2"/>
        <v>1903</v>
      </c>
      <c r="C70" s="1">
        <v>58.06921445081214</v>
      </c>
      <c r="E70" s="1"/>
      <c r="F70" s="1"/>
      <c r="G70" s="3">
        <f t="shared" si="3"/>
        <v>79.641612742658054</v>
      </c>
      <c r="H70" s="1"/>
      <c r="I70" s="1">
        <v>45.362755778741274</v>
      </c>
      <c r="J70" s="1">
        <v>42.811767865536758</v>
      </c>
      <c r="K70" s="1">
        <v>42.338572060158526</v>
      </c>
      <c r="L70" s="3">
        <v>40</v>
      </c>
      <c r="M70" s="3">
        <f>(1/20)*1066.52577319588</f>
        <v>53.326288659794002</v>
      </c>
      <c r="N70" s="1">
        <f>(1/20)*840.384615384615</f>
        <v>42.019230769230752</v>
      </c>
      <c r="P70" s="1"/>
      <c r="Q70" s="3">
        <f>112*0.442307692307692</f>
        <v>49.538461538461505</v>
      </c>
      <c r="R70" s="3">
        <f>112*0.0563069531451</f>
        <v>6.3063787522512005</v>
      </c>
      <c r="S70" s="1"/>
      <c r="T70" s="1">
        <v>42.481106718414772</v>
      </c>
      <c r="V70" s="1"/>
      <c r="W70" s="1"/>
      <c r="X70" s="1"/>
      <c r="Y70" s="1"/>
      <c r="AA70" s="1">
        <v>34.5</v>
      </c>
    </row>
    <row r="71" spans="1:27" x14ac:dyDescent="0.25">
      <c r="A71" s="9">
        <f t="shared" si="2"/>
        <v>1904</v>
      </c>
      <c r="C71" s="1">
        <v>63.016791905983482</v>
      </c>
      <c r="E71" s="1"/>
      <c r="F71" s="1">
        <f>112*0.549252501673503</f>
        <v>61.516280187432343</v>
      </c>
      <c r="G71" s="3">
        <f t="shared" si="3"/>
        <v>79.641612742658054</v>
      </c>
      <c r="H71" s="1"/>
      <c r="I71" s="1">
        <v>39.584445518998798</v>
      </c>
      <c r="J71" s="1">
        <v>34.056887811390858</v>
      </c>
      <c r="K71" s="1">
        <v>33.835785503086541</v>
      </c>
      <c r="L71" s="1"/>
      <c r="M71" s="3">
        <f>(1/20)*1190.82474226804</f>
        <v>59.541237113401998</v>
      </c>
      <c r="N71" s="1">
        <f>(1/20)*844.444444444444</f>
        <v>42.2222222222222</v>
      </c>
      <c r="P71" s="1"/>
      <c r="Q71" s="3">
        <f>112*0.423076923076923</f>
        <v>47.38461538461538</v>
      </c>
      <c r="R71" s="3">
        <f>112*0.542105766733642</f>
        <v>60.715845874167897</v>
      </c>
      <c r="S71" s="1"/>
      <c r="T71" s="1">
        <v>49.136296649582661</v>
      </c>
      <c r="U71" s="13"/>
      <c r="V71" s="1"/>
      <c r="W71" s="1"/>
      <c r="X71" s="1"/>
      <c r="Y71" s="1"/>
      <c r="AA71" s="1">
        <v>48.81</v>
      </c>
    </row>
    <row r="72" spans="1:27" x14ac:dyDescent="0.25">
      <c r="A72" s="9">
        <f t="shared" ref="A72:A135" si="4">A71+1</f>
        <v>1905</v>
      </c>
      <c r="C72" s="1">
        <v>57.73856392687653</v>
      </c>
      <c r="E72" s="1"/>
      <c r="F72" s="1">
        <f>112*0.666008428336661</f>
        <v>74.592943973706028</v>
      </c>
      <c r="G72" s="3">
        <f t="shared" si="3"/>
        <v>79.641612742658054</v>
      </c>
      <c r="H72" s="1"/>
      <c r="I72" s="1">
        <v>39.060299147705202</v>
      </c>
      <c r="J72" s="1">
        <v>35.013511398168177</v>
      </c>
      <c r="K72" s="1">
        <v>39.120121227480972</v>
      </c>
      <c r="L72" s="1"/>
      <c r="M72" s="3">
        <f>(1/20)*1090.27053140097</f>
        <v>54.513526570048498</v>
      </c>
      <c r="N72" s="1">
        <f>(1/20)*844.999999999999</f>
        <v>42.24999999999995</v>
      </c>
      <c r="O72" s="1">
        <v>73.34282861025163</v>
      </c>
      <c r="P72" s="1">
        <f>112*0.572990848517591</f>
        <v>64.174975033970185</v>
      </c>
      <c r="Q72" s="3">
        <f>112*0.479411764705882</f>
        <v>53.694117647058782</v>
      </c>
      <c r="R72" s="3">
        <f>112*0.30161610194523</f>
        <v>33.781003417865755</v>
      </c>
      <c r="S72" s="1"/>
      <c r="T72" s="1">
        <v>67.478789974070878</v>
      </c>
      <c r="U72" s="1">
        <f>112*0.475714285714286</f>
        <v>53.28000000000003</v>
      </c>
      <c r="V72" s="1"/>
      <c r="W72" s="1"/>
      <c r="X72" s="1"/>
      <c r="Y72" s="1"/>
      <c r="AA72" s="1">
        <v>49.83</v>
      </c>
    </row>
    <row r="73" spans="1:27" x14ac:dyDescent="0.25">
      <c r="A73" s="9">
        <f t="shared" si="4"/>
        <v>1906</v>
      </c>
      <c r="C73" s="1">
        <v>57.733602229340974</v>
      </c>
      <c r="E73" s="1"/>
      <c r="F73" s="1"/>
      <c r="G73" s="3">
        <f t="shared" si="3"/>
        <v>79.641612742658054</v>
      </c>
      <c r="H73" s="1">
        <f>112*0.9125</f>
        <v>102.2</v>
      </c>
      <c r="I73" s="1">
        <v>46.357442964549733</v>
      </c>
      <c r="J73" s="1">
        <v>38.622364400801182</v>
      </c>
      <c r="K73" s="1">
        <v>38.180460917954484</v>
      </c>
      <c r="L73" s="1"/>
      <c r="M73" s="3">
        <f>(1/20)*1098.2766798419</f>
        <v>54.913833992095</v>
      </c>
      <c r="N73" s="1">
        <f>(1/20)*844.444444444444</f>
        <v>42.2222222222222</v>
      </c>
      <c r="P73" s="1">
        <f>112*0.706606074041233</f>
        <v>79.139880292618102</v>
      </c>
      <c r="Q73" s="3">
        <f>112*0.587412587412587</f>
        <v>65.790209790209744</v>
      </c>
      <c r="R73" s="3">
        <f>112*0.592473408828515</f>
        <v>66.357021788793674</v>
      </c>
      <c r="S73" s="1"/>
      <c r="T73" s="1"/>
      <c r="U73" s="1">
        <f>112*0.396190476190476</f>
        <v>44.373333333333306</v>
      </c>
      <c r="V73" s="1">
        <f>112*0.878512631280159</f>
        <v>98.3934147033778</v>
      </c>
      <c r="W73" s="1"/>
      <c r="X73" s="1"/>
      <c r="Y73" s="1"/>
      <c r="AA73" s="1">
        <v>42.15</v>
      </c>
    </row>
    <row r="74" spans="1:27" x14ac:dyDescent="0.25">
      <c r="A74" s="9">
        <f t="shared" si="4"/>
        <v>1907</v>
      </c>
      <c r="C74" s="1">
        <v>76.178759534252862</v>
      </c>
      <c r="E74" s="1"/>
      <c r="F74" s="1">
        <f>112*0.585742136575885</f>
        <v>65.603119296499131</v>
      </c>
      <c r="G74" s="3">
        <f t="shared" si="3"/>
        <v>79.641612742658054</v>
      </c>
      <c r="H74" s="1">
        <f>(1/20)*1353.65853658537</f>
        <v>67.68292682926851</v>
      </c>
      <c r="I74" s="1">
        <v>59.356775236552288</v>
      </c>
      <c r="J74" s="1">
        <v>55.072376422485362</v>
      </c>
      <c r="K74" s="1">
        <v>51.502044077429581</v>
      </c>
      <c r="L74" s="1"/>
      <c r="M74" s="3">
        <f>(1/20)*1111.94</f>
        <v>55.597000000000008</v>
      </c>
      <c r="N74" s="1">
        <f>(1/20)*842.857142857142</f>
        <v>42.142857142857103</v>
      </c>
      <c r="P74" s="1"/>
      <c r="Q74" s="3">
        <f>112*0.4</f>
        <v>44.800000000000004</v>
      </c>
      <c r="R74" s="3">
        <f>112*0.497258986608192</f>
        <v>55.693006500117505</v>
      </c>
      <c r="S74" s="1"/>
      <c r="T74" s="1">
        <v>52.564568462037641</v>
      </c>
      <c r="U74" s="1">
        <f>112*0.617142857142857</f>
        <v>69.119999999999976</v>
      </c>
      <c r="V74" s="1">
        <f>112*0.860065466448445</f>
        <v>96.327332242225836</v>
      </c>
      <c r="W74" s="1"/>
      <c r="X74" s="1"/>
      <c r="Y74" s="1"/>
      <c r="AA74" s="1">
        <v>41.19</v>
      </c>
    </row>
    <row r="75" spans="1:27" x14ac:dyDescent="0.25">
      <c r="A75" s="9">
        <f t="shared" si="4"/>
        <v>1908</v>
      </c>
      <c r="C75" s="1">
        <v>73.780548203547966</v>
      </c>
      <c r="E75" s="1"/>
      <c r="F75" s="1"/>
      <c r="G75" s="3">
        <f t="shared" si="3"/>
        <v>79.641612742658054</v>
      </c>
      <c r="I75" s="1">
        <v>70.542322183923545</v>
      </c>
      <c r="J75" s="1">
        <v>62.903981565282145</v>
      </c>
      <c r="K75" s="1"/>
      <c r="L75" s="1"/>
      <c r="M75" s="3">
        <f>(1/20)*887.426829268293</f>
        <v>44.371341463414652</v>
      </c>
      <c r="N75" s="1">
        <f>(1/20)*841.428571428571</f>
        <v>42.071428571428555</v>
      </c>
      <c r="Q75" s="3">
        <f>112*0.417281348788198</f>
        <v>46.735511064278178</v>
      </c>
      <c r="R75" s="3">
        <f>112*0.616427522313863</f>
        <v>69.039882499152654</v>
      </c>
      <c r="S75" s="1"/>
      <c r="T75" s="1">
        <v>58.023407022106632</v>
      </c>
      <c r="U75" s="1">
        <f>112*0.685714285714286</f>
        <v>76.80000000000004</v>
      </c>
      <c r="V75" s="1"/>
      <c r="W75" s="1">
        <v>89.600000000000009</v>
      </c>
      <c r="X75" s="1"/>
      <c r="Y75" s="1"/>
      <c r="AA75" s="1">
        <v>38.010000000000005</v>
      </c>
    </row>
    <row r="76" spans="1:27" x14ac:dyDescent="0.25">
      <c r="A76" s="9">
        <f t="shared" si="4"/>
        <v>1909</v>
      </c>
      <c r="C76" s="1">
        <v>78.002201905126611</v>
      </c>
      <c r="E76" s="1"/>
      <c r="F76" s="1">
        <f>112*0.639977245253502</f>
        <v>71.677451468392221</v>
      </c>
      <c r="G76" s="3">
        <f t="shared" si="3"/>
        <v>79.641612742658054</v>
      </c>
      <c r="H76" s="1"/>
      <c r="I76" s="1"/>
      <c r="J76" s="1"/>
      <c r="K76" s="1"/>
      <c r="L76" s="1"/>
      <c r="M76" s="15"/>
      <c r="N76" s="1">
        <f>(1/20)*841.999999999999</f>
        <v>42.099999999999952</v>
      </c>
      <c r="O76" s="1"/>
      <c r="P76" s="1"/>
      <c r="Q76" s="3">
        <f>112*0.363117870722433</f>
        <v>40.669201520912495</v>
      </c>
      <c r="R76" s="3">
        <f>112*0.632738988759931</f>
        <v>70.866766741112272</v>
      </c>
      <c r="S76" s="1"/>
      <c r="T76" s="1">
        <v>65.857558139534888</v>
      </c>
      <c r="U76" s="13"/>
      <c r="V76" s="1"/>
      <c r="W76" s="1"/>
      <c r="X76" s="1"/>
      <c r="Y76" s="1"/>
      <c r="AA76" s="1">
        <v>41.43</v>
      </c>
    </row>
    <row r="77" spans="1:27" x14ac:dyDescent="0.25">
      <c r="A77" s="9">
        <f t="shared" si="4"/>
        <v>1910</v>
      </c>
      <c r="C77" s="1">
        <v>90.153274838897588</v>
      </c>
      <c r="E77" s="1"/>
      <c r="F77" s="1"/>
      <c r="G77" s="3">
        <f t="shared" si="3"/>
        <v>79.641612742658054</v>
      </c>
      <c r="H77" s="1"/>
      <c r="I77" s="1"/>
      <c r="J77" s="1"/>
      <c r="K77" s="1"/>
      <c r="L77" s="1"/>
      <c r="M77" s="3">
        <f>(1/20)*1730.03333333333</f>
        <v>86.501666666666495</v>
      </c>
      <c r="N77" s="1">
        <f>(1/20)*839.999999999999</f>
        <v>41.99999999999995</v>
      </c>
      <c r="O77" s="1">
        <v>80.84</v>
      </c>
      <c r="P77" s="1"/>
      <c r="Q77" s="3">
        <f>112*0.432282003710575</f>
        <v>48.415584415584405</v>
      </c>
      <c r="R77" s="3">
        <f>112*0.653887113951012</f>
        <v>73.235356762513334</v>
      </c>
      <c r="S77" s="1"/>
      <c r="T77" s="1">
        <v>65.274611398963728</v>
      </c>
      <c r="U77" s="1"/>
      <c r="V77" s="1"/>
      <c r="W77" s="1"/>
      <c r="X77" s="1"/>
      <c r="Y77" s="1"/>
      <c r="AA77" s="1">
        <v>61.35</v>
      </c>
    </row>
    <row r="78" spans="1:27" x14ac:dyDescent="0.25">
      <c r="A78" s="9">
        <f t="shared" si="4"/>
        <v>1911</v>
      </c>
      <c r="C78" s="1">
        <v>102.57892958642208</v>
      </c>
      <c r="D78" s="1"/>
      <c r="E78" s="1"/>
      <c r="F78" s="1"/>
      <c r="G78" s="3">
        <f t="shared" si="3"/>
        <v>79.641612742658054</v>
      </c>
      <c r="H78" s="1">
        <f>AVERAGE((1/20)*2261.43790849673,112*0.975)</f>
        <v>111.13594771241824</v>
      </c>
      <c r="I78" s="1"/>
      <c r="J78" s="1"/>
      <c r="K78" s="1"/>
      <c r="L78" s="1"/>
      <c r="M78" s="1"/>
      <c r="N78" s="1">
        <f>(1/20)*834.9</f>
        <v>41.745000000000005</v>
      </c>
      <c r="O78" s="1">
        <v>113.75291375291376</v>
      </c>
      <c r="P78" s="1"/>
      <c r="Q78" s="3">
        <f>112*2.72920469361147</f>
        <v>305.67092568448459</v>
      </c>
      <c r="R78" s="3">
        <f>112*1.60723296888141</f>
        <v>180.01009251471791</v>
      </c>
      <c r="S78" s="1"/>
      <c r="T78" s="1">
        <v>71.698209718670071</v>
      </c>
      <c r="U78" s="1"/>
      <c r="V78" s="1"/>
      <c r="W78" s="1"/>
      <c r="X78" s="1"/>
      <c r="Y78" s="1"/>
      <c r="AA78" s="1">
        <v>100.95</v>
      </c>
    </row>
    <row r="79" spans="1:27" x14ac:dyDescent="0.25">
      <c r="A79" s="9">
        <f t="shared" si="4"/>
        <v>1912</v>
      </c>
      <c r="C79" s="1">
        <v>128.15847786852652</v>
      </c>
      <c r="D79" s="1"/>
      <c r="E79" s="1"/>
      <c r="F79" s="1"/>
      <c r="G79" s="3">
        <f t="shared" si="3"/>
        <v>79.641612742658054</v>
      </c>
      <c r="H79" s="1">
        <f>112*0.670833333333333</f>
        <v>75.133333333333297</v>
      </c>
      <c r="I79" s="1"/>
      <c r="J79" s="1"/>
      <c r="K79" s="1"/>
      <c r="L79" s="1"/>
      <c r="M79" s="1"/>
      <c r="N79" s="1">
        <f>(1/20)*834.9</f>
        <v>41.745000000000005</v>
      </c>
      <c r="O79" s="1">
        <v>85.256159561986706</v>
      </c>
      <c r="P79" s="1">
        <f>112*0.63003663003663</f>
        <v>70.564102564102569</v>
      </c>
      <c r="Q79" s="1">
        <f>112*1.20814479638009</f>
        <v>135.31221719457008</v>
      </c>
      <c r="R79" s="1">
        <f>112*0.826401215546499</f>
        <v>92.556936141207899</v>
      </c>
      <c r="S79" s="1"/>
      <c r="T79" s="1">
        <v>100.81200289226319</v>
      </c>
      <c r="U79" s="1"/>
      <c r="V79" s="1"/>
      <c r="W79" s="1"/>
      <c r="X79" s="1"/>
      <c r="Y79" s="1"/>
      <c r="AA79" s="1">
        <v>85.5</v>
      </c>
    </row>
    <row r="80" spans="1:27" x14ac:dyDescent="0.25">
      <c r="A80" s="9">
        <f t="shared" si="4"/>
        <v>1913</v>
      </c>
      <c r="C80" s="1">
        <v>113.55479301207045</v>
      </c>
      <c r="D80" s="1"/>
      <c r="E80" s="1"/>
      <c r="F80" s="1"/>
      <c r="G80" s="3">
        <f t="shared" si="3"/>
        <v>79.641612742658054</v>
      </c>
      <c r="H80" s="1"/>
      <c r="I80" s="1"/>
      <c r="J80" s="1"/>
      <c r="K80" s="1"/>
      <c r="L80" s="1"/>
      <c r="M80" s="1"/>
      <c r="N80" s="1">
        <f>(1/20)*828.3</f>
        <v>41.414999999999999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AA80" s="1">
        <v>55.064999999999998</v>
      </c>
    </row>
    <row r="81" spans="1:27" x14ac:dyDescent="0.25">
      <c r="A81" s="9">
        <f t="shared" si="4"/>
        <v>1914</v>
      </c>
      <c r="C81" s="1">
        <v>106.20397161428826</v>
      </c>
      <c r="D81" s="1"/>
      <c r="E81" s="1"/>
      <c r="F81" s="1"/>
      <c r="G81" s="1"/>
      <c r="H81" s="1"/>
      <c r="I81" s="1"/>
      <c r="J81" s="1"/>
      <c r="K81" s="1"/>
      <c r="L81" s="1"/>
      <c r="M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AA81" s="1">
        <v>46.382031249999997</v>
      </c>
    </row>
    <row r="82" spans="1:27" x14ac:dyDescent="0.25">
      <c r="A82" s="9">
        <f t="shared" si="4"/>
        <v>1915</v>
      </c>
      <c r="C82" s="1">
        <v>120.19941627316517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AA82" s="1">
        <v>48.00078125000001</v>
      </c>
    </row>
    <row r="83" spans="1:27" x14ac:dyDescent="0.25">
      <c r="A83" s="9">
        <f t="shared" si="4"/>
        <v>1916</v>
      </c>
      <c r="C83" s="1">
        <v>137.28445804573309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AA83" s="1">
        <v>54.150781250000016</v>
      </c>
    </row>
    <row r="84" spans="1:27" x14ac:dyDescent="0.25">
      <c r="A84" s="9">
        <f t="shared" si="4"/>
        <v>1917</v>
      </c>
      <c r="C84" s="1">
        <v>232.39311380114344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AA84" s="1">
        <v>98.404062500000009</v>
      </c>
    </row>
    <row r="85" spans="1:27" x14ac:dyDescent="0.25">
      <c r="A85" s="9">
        <f t="shared" si="4"/>
        <v>1918</v>
      </c>
      <c r="C85" s="1">
        <v>333.87042645087627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AA85" s="1">
        <v>96.392031250000016</v>
      </c>
    </row>
    <row r="86" spans="1:27" x14ac:dyDescent="0.25">
      <c r="A86" s="9">
        <f t="shared" si="4"/>
        <v>1919</v>
      </c>
      <c r="C86" s="1">
        <v>255.21626912781176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AA86" s="1">
        <v>114.87250000000002</v>
      </c>
    </row>
    <row r="87" spans="1:27" x14ac:dyDescent="0.25">
      <c r="A87" s="9">
        <f t="shared" si="4"/>
        <v>1920</v>
      </c>
      <c r="C87" s="1">
        <v>135.02193606348729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AA87" s="1">
        <v>170.58249999999998</v>
      </c>
    </row>
    <row r="88" spans="1:27" x14ac:dyDescent="0.25">
      <c r="A88" s="9">
        <f t="shared" si="4"/>
        <v>1921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AA88" s="1">
        <v>151.9</v>
      </c>
    </row>
    <row r="89" spans="1:27" x14ac:dyDescent="0.25">
      <c r="A89" s="9">
        <f t="shared" si="4"/>
        <v>1922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7" x14ac:dyDescent="0.25">
      <c r="A90" s="9">
        <f t="shared" si="4"/>
        <v>1923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7" x14ac:dyDescent="0.25">
      <c r="A91" s="9">
        <f t="shared" si="4"/>
        <v>1924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7" x14ac:dyDescent="0.25">
      <c r="A92" s="9">
        <f t="shared" si="4"/>
        <v>1925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7" hidden="1" x14ac:dyDescent="0.25">
      <c r="A93" s="9">
        <f t="shared" si="4"/>
        <v>1926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7" hidden="1" x14ac:dyDescent="0.25">
      <c r="A94" s="9">
        <f t="shared" si="4"/>
        <v>1927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7" hidden="1" x14ac:dyDescent="0.25">
      <c r="A95" s="9">
        <f t="shared" si="4"/>
        <v>1928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7" hidden="1" x14ac:dyDescent="0.25">
      <c r="A96" s="9">
        <f t="shared" si="4"/>
        <v>1929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idden="1" x14ac:dyDescent="0.25">
      <c r="A97" s="9">
        <f t="shared" si="4"/>
        <v>1930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idden="1" x14ac:dyDescent="0.25">
      <c r="A98" s="9">
        <f t="shared" si="4"/>
        <v>1931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idden="1" x14ac:dyDescent="0.25">
      <c r="A99" s="9">
        <f t="shared" si="4"/>
        <v>1932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idden="1" x14ac:dyDescent="0.25">
      <c r="A100" s="9">
        <f t="shared" si="4"/>
        <v>1933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idden="1" x14ac:dyDescent="0.25">
      <c r="A101" s="9">
        <f t="shared" si="4"/>
        <v>1934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idden="1" x14ac:dyDescent="0.25">
      <c r="A102" s="9">
        <f t="shared" si="4"/>
        <v>1935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idden="1" x14ac:dyDescent="0.25">
      <c r="A103" s="9">
        <f t="shared" si="4"/>
        <v>1936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idden="1" x14ac:dyDescent="0.25">
      <c r="A104" s="9">
        <f t="shared" si="4"/>
        <v>1937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idden="1" x14ac:dyDescent="0.25">
      <c r="A105" s="9">
        <f t="shared" si="4"/>
        <v>1938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idden="1" x14ac:dyDescent="0.25">
      <c r="A106" s="9">
        <f t="shared" si="4"/>
        <v>1939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idden="1" x14ac:dyDescent="0.25">
      <c r="A107" s="9">
        <f t="shared" si="4"/>
        <v>1940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idden="1" x14ac:dyDescent="0.25">
      <c r="A108" s="9">
        <f t="shared" si="4"/>
        <v>1941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idden="1" x14ac:dyDescent="0.25">
      <c r="A109" s="9">
        <f t="shared" si="4"/>
        <v>1942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idden="1" x14ac:dyDescent="0.25">
      <c r="A110" s="9">
        <f t="shared" si="4"/>
        <v>1943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idden="1" x14ac:dyDescent="0.25">
      <c r="A111" s="9">
        <f t="shared" si="4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idden="1" x14ac:dyDescent="0.25">
      <c r="A112" s="9">
        <f t="shared" si="4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idden="1" x14ac:dyDescent="0.25">
      <c r="A113" s="9">
        <f t="shared" si="4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idden="1" x14ac:dyDescent="0.25">
      <c r="A114" s="9">
        <f t="shared" si="4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idden="1" x14ac:dyDescent="0.25">
      <c r="A115" s="9">
        <f t="shared" si="4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idden="1" x14ac:dyDescent="0.25">
      <c r="A116" s="9">
        <f t="shared" si="4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idden="1" x14ac:dyDescent="0.25">
      <c r="A117" s="9">
        <f t="shared" si="4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idden="1" x14ac:dyDescent="0.25">
      <c r="A118" s="9">
        <f t="shared" si="4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idden="1" x14ac:dyDescent="0.25">
      <c r="A119" s="9">
        <f t="shared" si="4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idden="1" x14ac:dyDescent="0.25">
      <c r="A120" s="9">
        <f t="shared" si="4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idden="1" x14ac:dyDescent="0.25">
      <c r="A121" s="9">
        <f t="shared" si="4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idden="1" x14ac:dyDescent="0.25">
      <c r="A122" s="9">
        <f t="shared" si="4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idden="1" x14ac:dyDescent="0.25">
      <c r="A123" s="9">
        <f t="shared" si="4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idden="1" x14ac:dyDescent="0.25">
      <c r="A124" s="9">
        <f t="shared" si="4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idden="1" x14ac:dyDescent="0.25">
      <c r="A125" s="9">
        <f t="shared" si="4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idden="1" x14ac:dyDescent="0.25">
      <c r="A126" s="9">
        <f t="shared" si="4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idden="1" x14ac:dyDescent="0.25">
      <c r="A127" s="9">
        <f t="shared" si="4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idden="1" x14ac:dyDescent="0.25">
      <c r="A128" s="9">
        <f t="shared" si="4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idden="1" x14ac:dyDescent="0.25">
      <c r="A129" s="9">
        <f t="shared" si="4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idden="1" x14ac:dyDescent="0.25">
      <c r="A130" s="9">
        <f t="shared" si="4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idden="1" x14ac:dyDescent="0.25">
      <c r="A131" s="9">
        <f t="shared" si="4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idden="1" x14ac:dyDescent="0.25">
      <c r="A132" s="9">
        <f t="shared" si="4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idden="1" x14ac:dyDescent="0.25">
      <c r="A133" s="9">
        <f t="shared" si="4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idden="1" x14ac:dyDescent="0.25">
      <c r="A134" s="9">
        <f t="shared" si="4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idden="1" x14ac:dyDescent="0.25">
      <c r="A135" s="9">
        <f t="shared" si="4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idden="1" x14ac:dyDescent="0.25">
      <c r="A136" s="9">
        <f t="shared" ref="A136:A145" si="5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idden="1" x14ac:dyDescent="0.25">
      <c r="A137" s="9">
        <f t="shared" si="5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idden="1" x14ac:dyDescent="0.25">
      <c r="A138" s="9">
        <f t="shared" si="5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idden="1" x14ac:dyDescent="0.25">
      <c r="A139" s="9">
        <f t="shared" si="5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idden="1" x14ac:dyDescent="0.25">
      <c r="A140" s="9">
        <f t="shared" si="5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idden="1" x14ac:dyDescent="0.25">
      <c r="A141" s="9">
        <f t="shared" si="5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idden="1" x14ac:dyDescent="0.25">
      <c r="A142" s="9">
        <f t="shared" si="5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idden="1" x14ac:dyDescent="0.25">
      <c r="A143" s="9">
        <f t="shared" si="5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idden="1" x14ac:dyDescent="0.25">
      <c r="A144" s="9">
        <f t="shared" si="5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idden="1" x14ac:dyDescent="0.25">
      <c r="A145" s="9">
        <f t="shared" si="5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3:25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3:25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3:25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3:25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3:25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3:25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3:25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3:25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3:25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3:25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3:25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3:25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3:25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3:25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3:25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3:25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3:25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3:25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3:25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3:25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3:25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3:25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3:25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3:25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3:25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3:25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3:25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3:25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3:25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3:25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3:25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3:25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3:25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3:25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3:25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3:25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3:25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3:25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3:25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3:25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3:25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3:25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3:25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3:25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3:25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3:25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3:25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3:25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3:25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3:25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3:25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3:25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3:25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3:25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3:25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3:25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3:25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3:25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3:25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3:25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3:25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3:25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3:25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3:25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3:25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3:25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3:25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3:25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3:25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3:25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3:25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3:25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3:25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3:25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3:25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3:25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3:25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3:25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3:25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3:25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3:25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3:25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3:25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3:25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3:25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3:25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3:25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3:25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3:25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3:25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3:25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3:25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3:25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3:25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3:25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3:25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3:25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3:25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3:25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3:25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3:25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3:25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3:25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3:25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3:25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3:25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3:25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3:25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3:25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3:25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3:25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3:25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3:25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3:25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3:25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3:25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3:25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3:25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3:25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3:25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3:25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3:25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3:25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3:25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3:25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3:25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3:25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3:25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3:25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3:25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3:25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3:25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3:25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3:25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3:25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3:25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3:25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3:25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3:25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3:25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3:25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3:25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3:25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3:25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3:25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3:25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3:25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3:25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3:25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3:25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3:25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3:25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3:25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P18" sqref="P18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"/>
  <sheetViews>
    <sheetView workbookViewId="0">
      <selection activeCell="B2" sqref="B2"/>
    </sheetView>
  </sheetViews>
  <sheetFormatPr defaultRowHeight="13.2" x14ac:dyDescent="0.25"/>
  <sheetData>
    <row r="2" spans="2:2" x14ac:dyDescent="0.25">
      <c r="B2" s="1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>
      <selection activeCell="J31" sqref="J31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>
      <selection activeCell="F31" sqref="F31"/>
    </sheetView>
  </sheetViews>
  <sheetFormatPr defaultRowHeight="13.2" x14ac:dyDescent="0.25"/>
  <sheetData>
    <row r="1" spans="1:1" ht="15" x14ac:dyDescent="0.25">
      <c r="A1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</vt:lpstr>
      <vt:lpstr>Opium (All)</vt:lpstr>
      <vt:lpstr>Graphs (All)</vt:lpstr>
      <vt:lpstr>Collective Graph (All)</vt:lpstr>
      <vt:lpstr>Opium (Adjusted)</vt:lpstr>
      <vt:lpstr>Graph - 1</vt:lpstr>
      <vt:lpstr>Graph - 2</vt:lpstr>
      <vt:lpstr>Graph - 3</vt:lpstr>
      <vt:lpstr>Graph - 4</vt:lpstr>
      <vt:lpstr>Graph - 5</vt:lpstr>
      <vt:lpstr>Color Legend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 Ghulam Mustafa</dc:creator>
  <cp:lastModifiedBy>Rai Ghulam Mustafa</cp:lastModifiedBy>
  <dcterms:created xsi:type="dcterms:W3CDTF">2018-10-01T08:45:50Z</dcterms:created>
  <dcterms:modified xsi:type="dcterms:W3CDTF">2018-11-19T11:30:58Z</dcterms:modified>
</cp:coreProperties>
</file>