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2.xml" ContentType="application/vnd.openxmlformats-officedocument.drawing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4.xml" ContentType="application/vnd.openxmlformats-officedocument.drawing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5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6.xml" ContentType="application/vnd.openxmlformats-officedocument.drawing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7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733"/>
  </bookViews>
  <sheets>
    <sheet name="Intro" sheetId="13" r:id="rId1"/>
    <sheet name="Flour (All)" sheetId="1" r:id="rId2"/>
    <sheet name="Graphs (All)" sheetId="2" r:id="rId3"/>
    <sheet name="Collective Graph (All)" sheetId="3" r:id="rId4"/>
    <sheet name="Flour (Adjusted)" sheetId="27" r:id="rId5"/>
    <sheet name="Graph - 1" sheetId="17" r:id="rId6"/>
    <sheet name="Graph - 2" sheetId="18" r:id="rId7"/>
    <sheet name="Graph - 3" sheetId="19" r:id="rId8"/>
    <sheet name="Graph - 4" sheetId="21" r:id="rId9"/>
    <sheet name="Graph - 5" sheetId="22" r:id="rId10"/>
  </sheets>
  <calcPr calcId="152511"/>
</workbook>
</file>

<file path=xl/calcChain.xml><?xml version="1.0" encoding="utf-8"?>
<calcChain xmlns="http://schemas.openxmlformats.org/spreadsheetml/2006/main">
  <c r="AE6" i="27" l="1"/>
  <c r="AD6" i="27"/>
  <c r="C87" i="27" l="1"/>
  <c r="C86" i="27"/>
  <c r="C85" i="27"/>
  <c r="C84" i="27"/>
  <c r="C83" i="27"/>
  <c r="C82" i="27"/>
  <c r="AA81" i="27"/>
  <c r="D81" i="27"/>
  <c r="C81" i="27"/>
  <c r="AA80" i="27"/>
  <c r="I80" i="27"/>
  <c r="E80" i="27"/>
  <c r="D80" i="27"/>
  <c r="C80" i="27"/>
  <c r="AC79" i="27"/>
  <c r="AB79" i="27"/>
  <c r="AA79" i="27"/>
  <c r="T79" i="27"/>
  <c r="I79" i="27"/>
  <c r="E79" i="27"/>
  <c r="D79" i="27"/>
  <c r="C79" i="27"/>
  <c r="AC78" i="27"/>
  <c r="AB78" i="27"/>
  <c r="AA78" i="27"/>
  <c r="T78" i="27"/>
  <c r="I78" i="27"/>
  <c r="E78" i="27"/>
  <c r="D78" i="27"/>
  <c r="C78" i="27"/>
  <c r="AC77" i="27"/>
  <c r="AB77" i="27"/>
  <c r="AA77" i="27"/>
  <c r="Z77" i="27"/>
  <c r="X77" i="27"/>
  <c r="W77" i="27"/>
  <c r="U77" i="27"/>
  <c r="T77" i="27"/>
  <c r="I77" i="27"/>
  <c r="E77" i="27"/>
  <c r="D77" i="27"/>
  <c r="C77" i="27"/>
  <c r="AC76" i="27"/>
  <c r="AB76" i="27"/>
  <c r="Z76" i="27"/>
  <c r="X76" i="27"/>
  <c r="W76" i="27"/>
  <c r="U76" i="27"/>
  <c r="T76" i="27"/>
  <c r="I76" i="27"/>
  <c r="F76" i="27"/>
  <c r="E76" i="27"/>
  <c r="D76" i="27"/>
  <c r="C76" i="27"/>
  <c r="AC75" i="27"/>
  <c r="AB75" i="27"/>
  <c r="AA75" i="27"/>
  <c r="Z75" i="27"/>
  <c r="X75" i="27"/>
  <c r="W75" i="27"/>
  <c r="U75" i="27"/>
  <c r="T75" i="27"/>
  <c r="I75" i="27"/>
  <c r="F75" i="27"/>
  <c r="E75" i="27"/>
  <c r="D75" i="27"/>
  <c r="C75" i="27"/>
  <c r="AC74" i="27"/>
  <c r="AB74" i="27"/>
  <c r="AA74" i="27"/>
  <c r="X74" i="27"/>
  <c r="W74" i="27"/>
  <c r="U74" i="27"/>
  <c r="T74" i="27"/>
  <c r="I74" i="27"/>
  <c r="F74" i="27"/>
  <c r="E74" i="27"/>
  <c r="D74" i="27"/>
  <c r="C74" i="27"/>
  <c r="AC73" i="27"/>
  <c r="AB73" i="27"/>
  <c r="AA73" i="27"/>
  <c r="X73" i="27"/>
  <c r="W73" i="27"/>
  <c r="U73" i="27"/>
  <c r="T73" i="27"/>
  <c r="I73" i="27"/>
  <c r="F73" i="27"/>
  <c r="E73" i="27"/>
  <c r="D73" i="27"/>
  <c r="C73" i="27"/>
  <c r="AA72" i="27"/>
  <c r="T72" i="27"/>
  <c r="I72" i="27"/>
  <c r="F72" i="27"/>
  <c r="E72" i="27"/>
  <c r="D72" i="27"/>
  <c r="C72" i="27"/>
  <c r="T71" i="27"/>
  <c r="I71" i="27"/>
  <c r="E71" i="27"/>
  <c r="D71" i="27"/>
  <c r="C71" i="27"/>
  <c r="T70" i="27"/>
  <c r="I70" i="27"/>
  <c r="E70" i="27"/>
  <c r="D70" i="27"/>
  <c r="C70" i="27"/>
  <c r="U69" i="27"/>
  <c r="T69" i="27"/>
  <c r="I69" i="27"/>
  <c r="F69" i="27"/>
  <c r="E69" i="27"/>
  <c r="D69" i="27"/>
  <c r="C69" i="27"/>
  <c r="I68" i="27"/>
  <c r="E68" i="27"/>
  <c r="D68" i="27"/>
  <c r="C68" i="27"/>
  <c r="I67" i="27"/>
  <c r="E67" i="27"/>
  <c r="D67" i="27"/>
  <c r="C67" i="27"/>
  <c r="AB66" i="27"/>
  <c r="AC66" i="27"/>
  <c r="I66" i="27"/>
  <c r="E66" i="27"/>
  <c r="D66" i="27"/>
  <c r="C66" i="27"/>
  <c r="AB65" i="27"/>
  <c r="AC65" i="27"/>
  <c r="N65" i="27"/>
  <c r="I65" i="27"/>
  <c r="E65" i="27"/>
  <c r="D65" i="27"/>
  <c r="C65" i="27"/>
  <c r="AB64" i="27"/>
  <c r="AC64" i="27"/>
  <c r="Y64" i="27"/>
  <c r="I64" i="27"/>
  <c r="F64" i="27"/>
  <c r="E64" i="27"/>
  <c r="D64" i="27"/>
  <c r="C64" i="27"/>
  <c r="AB63" i="27"/>
  <c r="AC63" i="27"/>
  <c r="N63" i="27"/>
  <c r="I63" i="27"/>
  <c r="E63" i="27"/>
  <c r="D63" i="27"/>
  <c r="C63" i="27"/>
  <c r="U62" i="27"/>
  <c r="I62" i="27"/>
  <c r="E62" i="27"/>
  <c r="D62" i="27"/>
  <c r="C62" i="27"/>
  <c r="J61" i="27"/>
  <c r="I61" i="27"/>
  <c r="E61" i="27"/>
  <c r="D61" i="27"/>
  <c r="C61" i="27"/>
  <c r="V60" i="27"/>
  <c r="U60" i="27"/>
  <c r="Q60" i="27"/>
  <c r="J60" i="27"/>
  <c r="I60" i="27"/>
  <c r="E60" i="27"/>
  <c r="D60" i="27"/>
  <c r="C60" i="27"/>
  <c r="Y59" i="27"/>
  <c r="Q59" i="27"/>
  <c r="J59" i="27"/>
  <c r="I59" i="27"/>
  <c r="E59" i="27"/>
  <c r="D59" i="27"/>
  <c r="C59" i="27"/>
  <c r="Y58" i="27"/>
  <c r="U58" i="27"/>
  <c r="Q58" i="27"/>
  <c r="J58" i="27"/>
  <c r="I58" i="27"/>
  <c r="E58" i="27"/>
  <c r="D58" i="27"/>
  <c r="C58" i="27"/>
  <c r="Y57" i="27"/>
  <c r="Q57" i="27"/>
  <c r="J57" i="27"/>
  <c r="I57" i="27"/>
  <c r="E57" i="27"/>
  <c r="D57" i="27"/>
  <c r="C57" i="27"/>
  <c r="Q56" i="27"/>
  <c r="J56" i="27"/>
  <c r="I56" i="27"/>
  <c r="E56" i="27"/>
  <c r="D56" i="27"/>
  <c r="C56" i="27"/>
  <c r="J55" i="27"/>
  <c r="I55" i="27"/>
  <c r="E55" i="27"/>
  <c r="D55" i="27"/>
  <c r="C55" i="27"/>
  <c r="J54" i="27"/>
  <c r="I54" i="27"/>
  <c r="E54" i="27"/>
  <c r="D54" i="27"/>
  <c r="C54" i="27"/>
  <c r="J53" i="27"/>
  <c r="I53" i="27"/>
  <c r="E53" i="27"/>
  <c r="D53" i="27"/>
  <c r="C53" i="27"/>
  <c r="J52" i="27"/>
  <c r="E52" i="27"/>
  <c r="D52" i="27"/>
  <c r="C52" i="27"/>
  <c r="Q51" i="27"/>
  <c r="J51" i="27"/>
  <c r="E51" i="27"/>
  <c r="D51" i="27"/>
  <c r="C51" i="27"/>
  <c r="Q50" i="27"/>
  <c r="E50" i="27"/>
  <c r="D50" i="27"/>
  <c r="C50" i="27"/>
  <c r="Q49" i="27"/>
  <c r="E49" i="27"/>
  <c r="D49" i="27"/>
  <c r="C49" i="27"/>
  <c r="Q48" i="27"/>
  <c r="E48" i="27"/>
  <c r="D48" i="27"/>
  <c r="C48" i="27"/>
  <c r="Q47" i="27"/>
  <c r="E47" i="27"/>
  <c r="D47" i="27"/>
  <c r="C47" i="27"/>
  <c r="Q46" i="27"/>
  <c r="I46" i="27"/>
  <c r="E46" i="27"/>
  <c r="D46" i="27"/>
  <c r="C46" i="27"/>
  <c r="Q45" i="27"/>
  <c r="E45" i="27"/>
  <c r="D45" i="27"/>
  <c r="C45" i="27"/>
  <c r="Q44" i="27"/>
  <c r="E44" i="27"/>
  <c r="C44" i="27"/>
  <c r="Y43" i="27"/>
  <c r="E43" i="27"/>
  <c r="C43" i="27"/>
  <c r="Y42" i="27"/>
  <c r="V42" i="27"/>
  <c r="E42" i="27"/>
  <c r="C42" i="27"/>
  <c r="Y41" i="27"/>
  <c r="V41" i="27"/>
  <c r="E41" i="27"/>
  <c r="C41" i="27"/>
  <c r="V40" i="27"/>
  <c r="G40" i="27"/>
  <c r="E40" i="27"/>
  <c r="C40" i="27"/>
  <c r="E39" i="27"/>
  <c r="C39" i="27"/>
  <c r="E38" i="27"/>
  <c r="C38" i="27"/>
  <c r="E37" i="27"/>
  <c r="C37" i="27"/>
  <c r="G36" i="27"/>
  <c r="E36" i="27"/>
  <c r="C36" i="27"/>
  <c r="G35" i="27"/>
  <c r="E35" i="27"/>
  <c r="C35" i="27"/>
  <c r="E34" i="27"/>
  <c r="C34" i="27"/>
  <c r="G33" i="27"/>
  <c r="E33" i="27"/>
  <c r="C33" i="27"/>
  <c r="G32" i="27"/>
  <c r="E32" i="27"/>
  <c r="C32" i="27"/>
  <c r="G31" i="27"/>
  <c r="E31" i="27"/>
  <c r="C31" i="27"/>
  <c r="G30" i="27"/>
  <c r="E30" i="27"/>
  <c r="C30" i="27"/>
  <c r="G29" i="27"/>
  <c r="E29" i="27"/>
  <c r="C29" i="27"/>
  <c r="G28" i="27"/>
  <c r="E28" i="27"/>
  <c r="C28" i="27"/>
  <c r="E27" i="27"/>
  <c r="C27" i="27"/>
  <c r="E26" i="27"/>
  <c r="C26" i="27"/>
  <c r="E25" i="27"/>
  <c r="C25" i="27"/>
  <c r="E24" i="27"/>
  <c r="C24" i="27"/>
  <c r="E23" i="27"/>
  <c r="C23" i="27"/>
  <c r="E22" i="27"/>
  <c r="C22" i="27"/>
  <c r="E21" i="27"/>
  <c r="C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E7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AO65" i="1" l="1"/>
  <c r="AO63" i="1"/>
  <c r="K40" i="1" l="1"/>
  <c r="K36" i="1"/>
  <c r="K35" i="1"/>
  <c r="K33" i="1"/>
  <c r="K32" i="1"/>
  <c r="K31" i="1"/>
  <c r="K30" i="1"/>
  <c r="K29" i="1"/>
  <c r="K28" i="1"/>
  <c r="F76" i="1" l="1"/>
  <c r="F75" i="1"/>
  <c r="F74" i="1"/>
  <c r="F73" i="1"/>
  <c r="F72" i="1"/>
  <c r="F69" i="1"/>
  <c r="F64" i="1"/>
  <c r="S46" i="1" l="1"/>
  <c r="CU66" i="1" l="1"/>
  <c r="CU65" i="1"/>
  <c r="CU64" i="1"/>
  <c r="CU63" i="1"/>
  <c r="CW63" i="1"/>
  <c r="CX79" i="1" l="1"/>
  <c r="CX78" i="1"/>
  <c r="CX77" i="1"/>
  <c r="CX76" i="1"/>
  <c r="CX75" i="1"/>
  <c r="CX74" i="1"/>
  <c r="CX73" i="1"/>
  <c r="CW73" i="1"/>
  <c r="CW79" i="1"/>
  <c r="CW78" i="1"/>
  <c r="CW77" i="1"/>
  <c r="CW76" i="1"/>
  <c r="CW75" i="1"/>
  <c r="CW74" i="1"/>
  <c r="CW66" i="1"/>
  <c r="CW65" i="1"/>
  <c r="CW64" i="1"/>
  <c r="AX60" i="1" l="1"/>
  <c r="AX59" i="1"/>
  <c r="AX58" i="1"/>
  <c r="AX57" i="1"/>
  <c r="AX56" i="1"/>
  <c r="AX51" i="1"/>
  <c r="AX50" i="1"/>
  <c r="AX49" i="1"/>
  <c r="AX48" i="1"/>
  <c r="AX47" i="1"/>
  <c r="AX46" i="1"/>
  <c r="AX45" i="1"/>
  <c r="AX44" i="1"/>
  <c r="CQ78" i="1" l="1"/>
  <c r="CQ77" i="1"/>
  <c r="BJ79" i="1"/>
  <c r="BJ78" i="1"/>
  <c r="BJ77" i="1"/>
  <c r="BJ76" i="1"/>
  <c r="BJ75" i="1"/>
  <c r="BJ74" i="1"/>
  <c r="BJ73" i="1"/>
  <c r="BJ72" i="1"/>
  <c r="BJ71" i="1"/>
  <c r="BJ70" i="1"/>
  <c r="BJ69" i="1"/>
  <c r="BX41" i="1" l="1"/>
  <c r="BX64" i="1" l="1"/>
  <c r="BX59" i="1"/>
  <c r="BX58" i="1"/>
  <c r="BX57" i="1"/>
  <c r="BW60" i="1"/>
  <c r="BW42" i="1"/>
  <c r="BW41" i="1"/>
  <c r="BW40" i="1"/>
  <c r="BV69" i="1"/>
  <c r="BV62" i="1"/>
  <c r="BV60" i="1"/>
  <c r="BV58" i="1"/>
  <c r="BY73" i="1" l="1"/>
  <c r="BY74" i="1"/>
  <c r="BY77" i="1" l="1"/>
  <c r="BY76" i="1"/>
  <c r="BY75" i="1"/>
  <c r="CB73" i="1"/>
  <c r="CB77" i="1" l="1"/>
  <c r="CB76" i="1"/>
  <c r="CB75" i="1"/>
  <c r="CB74" i="1"/>
  <c r="CG43" i="1"/>
  <c r="CG42" i="1"/>
  <c r="CE77" i="1" l="1"/>
  <c r="CE76" i="1"/>
  <c r="CE75" i="1"/>
  <c r="CE74" i="1"/>
  <c r="CE73" i="1"/>
  <c r="CH77" i="1" l="1"/>
  <c r="CH76" i="1"/>
  <c r="CH75" i="1"/>
  <c r="CN81" i="1" l="1"/>
  <c r="CN80" i="1"/>
  <c r="CN79" i="1"/>
  <c r="CN75" i="1"/>
  <c r="CN74" i="1"/>
  <c r="CN73" i="1"/>
  <c r="CN72" i="1"/>
  <c r="V61" i="1"/>
  <c r="V60" i="1"/>
  <c r="V59" i="1"/>
  <c r="V58" i="1"/>
  <c r="V57" i="1"/>
  <c r="V56" i="1"/>
  <c r="V55" i="1"/>
  <c r="V54" i="1"/>
  <c r="V53" i="1"/>
  <c r="V52" i="1"/>
  <c r="V5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C6" i="1"/>
  <c r="D6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</calcChain>
</file>

<file path=xl/comments1.xml><?xml version="1.0" encoding="utf-8"?>
<comments xmlns="http://schemas.openxmlformats.org/spreadsheetml/2006/main">
  <authors>
    <author>Rai Ghulam Mustafa</author>
  </authors>
  <commentList>
    <comment ref="R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Issawi.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2-shift.</t>
        </r>
      </text>
    </comment>
    <comment ref="AC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piastres/sack, converted using 182 lbs. per sack.</t>
        </r>
      </text>
    </comment>
    <comment ref="AG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piastres/sack, converted using 182 lbs. per sack.</t>
        </r>
      </text>
    </comment>
    <comment ref="AX3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1.96193008936486 sterling/package.</t>
        </r>
      </text>
    </comment>
    <comment ref="AX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1.86753731343284 sterling/package.</t>
        </r>
      </text>
    </comment>
    <comment ref="AY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flour.</t>
        </r>
      </text>
    </comment>
    <comment ref="AX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3.51130432072796 sterling/package</t>
        </r>
      </text>
    </comment>
    <comment ref="AY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flour.</t>
        </r>
      </text>
    </comment>
    <comment ref="AY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flour.</t>
        </r>
      </text>
    </comment>
    <comment ref="AX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2.92481501057082 sterling/package.</t>
        </r>
      </text>
    </comment>
    <comment ref="CQ4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Flour, American.</t>
        </r>
      </text>
    </comment>
    <comment ref="CQ4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Flour, American.</t>
        </r>
      </text>
    </comment>
    <comment ref="CQ4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Flour, American.</t>
        </r>
      </text>
    </comment>
    <comment ref="CQ5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Flour, American.</t>
        </r>
      </text>
    </comment>
    <comment ref="CQ5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CQ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for Wheat, flour and Flour, American.</t>
        </r>
      </text>
    </comment>
    <comment ref="CQ5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for Wheat, flour and Flour, American.</t>
        </r>
      </text>
    </comment>
    <comment ref="CQ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CQ5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CQ5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for Wheat, flour and Flour, American.</t>
        </r>
      </text>
    </comment>
    <comment ref="CQ5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CQ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CQ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CQ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DC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O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of Flour, wheat and Other flours.</t>
        </r>
      </text>
    </comment>
    <comment ref="DC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O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of Flour, wheat and Other flours.</t>
        </r>
      </text>
    </comment>
    <comment ref="DC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P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Flours, other than wheat.</t>
        </r>
      </text>
    </comment>
    <comment ref="BJ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Value equals 151 sterling, unusually low but confirmed from the reports.</t>
        </r>
      </text>
    </comment>
    <comment ref="DC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8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8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8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8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8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8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8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8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8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8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8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8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DC8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DD8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2-shift.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piastres/sack, converted using 182 lbs. per sack.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piastres/sack, converted using 182 lbs. per sack.</t>
        </r>
      </text>
    </comment>
    <comment ref="Q3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1.96193008936486 sterling/package.</t>
        </r>
      </text>
    </comment>
    <comment ref="Q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1.86753731343284 sterling/package.</t>
        </r>
      </text>
    </comment>
    <comment ref="R3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flour.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3.51130432072796 sterling/package</t>
        </r>
      </text>
    </comment>
    <comment ref="R3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flour.</t>
        </r>
      </text>
    </comment>
    <comment ref="R3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Combined price of wheat, barley and flour.</t>
        </r>
      </text>
    </comment>
    <comment ref="Q3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2.92481501057082 sterling/package.</t>
        </r>
      </text>
    </comment>
    <comment ref="Y4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for Resht.</t>
        </r>
      </text>
    </comment>
    <comment ref="AA4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Flour, American.</t>
        </r>
      </text>
    </comment>
    <comment ref="AA4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Flour, American.</t>
        </r>
      </text>
    </comment>
    <comment ref="AA4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Flour, American.</t>
        </r>
      </text>
    </comment>
    <comment ref="AA5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Flour, American.</t>
        </r>
      </text>
    </comment>
    <comment ref="AA5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AA5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for Wheat, flour and Flour, American.</t>
        </r>
      </text>
    </comment>
    <comment ref="AA5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for Wheat, flour and Flour, American.</t>
        </r>
      </text>
    </comment>
    <comment ref="AA5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AA5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AA5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price for Wheat, flour and Flour, American.</t>
        </r>
      </text>
    </comment>
    <comment ref="AA5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AA5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AA5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AA6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wheat, flour.</t>
        </r>
      </text>
    </comment>
    <comment ref="AD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N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of Flour, wheat and Other flours.</t>
        </r>
      </text>
    </comment>
    <comment ref="AD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6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N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average of Flour, wheat and Other flours.</t>
        </r>
      </text>
    </comment>
    <comment ref="AD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6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6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6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6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6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O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for Flours, other than wheat.</t>
        </r>
      </text>
    </comment>
    <comment ref="T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Value equals 151 sterling, unusually low but confirmed from the reports.</t>
        </r>
      </text>
    </comment>
    <comment ref="AD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8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8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8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8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8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8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8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8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8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8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8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8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8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8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  <comment ref="AD8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combined price of grain, flour and pulse.</t>
        </r>
      </text>
    </comment>
    <comment ref="AE8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Flour, wheat.</t>
        </r>
      </text>
    </comment>
  </commentList>
</comments>
</file>

<file path=xl/sharedStrings.xml><?xml version="1.0" encoding="utf-8"?>
<sst xmlns="http://schemas.openxmlformats.org/spreadsheetml/2006/main" count="560" uniqueCount="61">
  <si>
    <t>Baghdad</t>
  </si>
  <si>
    <t>UK</t>
  </si>
  <si>
    <t>Damascus</t>
  </si>
  <si>
    <t>Izmir</t>
  </si>
  <si>
    <t>Beirut</t>
  </si>
  <si>
    <t>Bahrain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</si>
  <si>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</si>
  <si>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</si>
  <si>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</si>
  <si>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</si>
  <si>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</si>
  <si>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</si>
  <si>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</si>
  <si>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</si>
  <si>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</si>
  <si>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</si>
  <si>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</si>
  <si>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</si>
  <si>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</si>
  <si>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</si>
  <si>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</si>
  <si>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</si>
  <si>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</si>
  <si>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</si>
  <si>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</si>
  <si>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</si>
  <si>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</si>
  <si>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</si>
  <si>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</si>
  <si>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</si>
  <si>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</si>
  <si>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</si>
  <si>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</si>
  <si>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</si>
  <si>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</si>
  <si>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</si>
  <si>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</si>
  <si>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</si>
  <si>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</si>
  <si>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Values are in pounds sterling.</t>
  </si>
  <si>
    <t>This spreadsheet was put together by Robert Allen in October 2018.</t>
  </si>
  <si>
    <t>Egypt</t>
  </si>
  <si>
    <t>Turkey &amp; Constantinople</t>
  </si>
  <si>
    <t>Istanbul (Nallrihan)</t>
  </si>
  <si>
    <t>Aleppo</t>
  </si>
  <si>
    <t>Alexandria</t>
  </si>
  <si>
    <t>Istanbul (Rumeli)</t>
  </si>
  <si>
    <t>Istanbul (Anatolia)</t>
  </si>
  <si>
    <t>Resht &amp; Bender Gez &amp; Astarabad</t>
  </si>
  <si>
    <t>Flour</t>
  </si>
  <si>
    <t>pound/ton</t>
  </si>
  <si>
    <t>US</t>
  </si>
  <si>
    <t>Retail</t>
  </si>
  <si>
    <t>Jaffa</t>
  </si>
  <si>
    <t>Muscat &amp; Bahrain</t>
  </si>
  <si>
    <t>Mohammerah &amp; Lingah</t>
  </si>
  <si>
    <t>Resht &amp; Mazandaran</t>
  </si>
  <si>
    <t>that taxed trade and were published in the British House of Commons papers in the diplomatic &amp; consular reports on trade and finance as well as in the administration reports on the Persian Gulf Political Residency.</t>
  </si>
  <si>
    <t>There are important issues regarding the accuracy of the returns in view of their provenance and the incentives to underreport values and evade taxation.</t>
  </si>
  <si>
    <r>
      <t xml:space="preserve">The spreadsheet shows the </t>
    </r>
    <r>
      <rPr>
        <b/>
        <i/>
        <sz val="10"/>
        <rFont val="Arial"/>
        <family val="2"/>
      </rPr>
      <t>Prices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Exports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Flour </t>
    </r>
    <r>
      <rPr>
        <sz val="10"/>
        <rFont val="Arial"/>
        <family val="2"/>
      </rPr>
      <t xml:space="preserve">in leading </t>
    </r>
    <r>
      <rPr>
        <b/>
        <sz val="10"/>
        <rFont val="Arial"/>
        <family val="2"/>
      </rPr>
      <t>cities</t>
    </r>
    <r>
      <rPr>
        <sz val="10"/>
        <rFont val="Arial"/>
        <family val="2"/>
      </rPr>
      <t xml:space="preserve"> in the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Middle East, United States, United Kingdom </t>
    </r>
    <r>
      <rPr>
        <sz val="10"/>
        <rFont val="Arial"/>
        <family val="2"/>
      </rPr>
      <t>&amp;</t>
    </r>
    <r>
      <rPr>
        <b/>
        <i/>
        <sz val="10"/>
        <rFont val="Arial"/>
        <family val="2"/>
      </rPr>
      <t xml:space="preserve"> India</t>
    </r>
    <r>
      <rPr>
        <sz val="10"/>
        <rFont val="Arial"/>
        <family val="2"/>
      </rPr>
      <t>. The data were compiled by British consuls usually from figures collected by Ottoman customs houses</t>
    </r>
  </si>
  <si>
    <t>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</si>
</sst>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&quot;?&quot;;\-#,##0&quot;?&quot;"/>
    <numFmt numFmtId="165" formatCode="0.0000"/>
    <numFmt numFmtId="166" formatCode="_(* #,##0.0000_);_(* \(#,##0.0000\);_(* &quot;-&quot;??_);_(@_)"/>
    <numFmt numFmtId="167" formatCode="0.000000000"/>
  </numFmts>
  <fonts count="36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2"/>
      <color rgb="FF22222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34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32"/>
      <name val="Calibri"/>
      <family val="2"/>
    </font>
    <font>
      <b/>
      <sz val="13"/>
      <color indexed="32"/>
      <name val="Calibri"/>
      <family val="2"/>
    </font>
    <font>
      <b/>
      <sz val="11"/>
      <color indexed="32"/>
      <name val="Calibri"/>
      <family val="2"/>
    </font>
    <font>
      <sz val="11"/>
      <color indexed="32"/>
      <name val="Calibri"/>
      <family val="2"/>
    </font>
    <font>
      <sz val="11"/>
      <color indexed="34"/>
      <name val="Calibri"/>
      <family val="2"/>
    </font>
    <font>
      <sz val="11"/>
      <color indexed="37"/>
      <name val="Calibri"/>
      <family val="2"/>
    </font>
    <font>
      <b/>
      <sz val="11"/>
      <color indexed="22"/>
      <name val="Calibri"/>
      <family val="2"/>
    </font>
    <font>
      <b/>
      <sz val="18"/>
      <color indexed="32"/>
      <name val="Cambria"/>
      <family val="1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52"/>
      </patternFill>
    </fill>
    <fill>
      <patternFill patternType="solid">
        <fgColor indexed="17"/>
        <bgColor indexed="17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32"/>
      </patternFill>
    </fill>
    <fill>
      <patternFill patternType="solid">
        <fgColor indexed="38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double">
        <color indexed="0"/>
      </bottom>
      <diagonal/>
    </border>
  </borders>
  <cellStyleXfs count="61">
    <xf numFmtId="0" fontId="0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5" fillId="0" borderId="1" applyNumberFormat="0" applyFont="0" applyBorder="0" applyAlignment="0" applyProtection="0"/>
    <xf numFmtId="0" fontId="6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6" fillId="0" borderId="0">
      <alignment vertical="top"/>
    </xf>
    <xf numFmtId="0" fontId="16" fillId="0" borderId="0">
      <alignment vertical="top"/>
    </xf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3" borderId="0" applyNumberFormat="0" applyFont="0" applyFill="0" applyProtection="0"/>
    <xf numFmtId="0" fontId="16" fillId="4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5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6" borderId="0" applyNumberFormat="0" applyFont="0" applyFill="0" applyProtection="0"/>
    <xf numFmtId="0" fontId="18" fillId="2" borderId="0" applyNumberFormat="0" applyFont="0" applyFill="0" applyProtection="0"/>
    <xf numFmtId="0" fontId="18" fillId="2" borderId="0" applyNumberFormat="0" applyFont="0" applyFill="0" applyProtection="0"/>
    <xf numFmtId="0" fontId="18" fillId="5" borderId="0" applyNumberFormat="0" applyFont="0" applyFill="0" applyProtection="0"/>
    <xf numFmtId="0" fontId="18" fillId="7" borderId="0" applyNumberFormat="0" applyFont="0" applyFill="0" applyProtection="0"/>
    <xf numFmtId="0" fontId="18" fillId="8" borderId="0" applyNumberFormat="0" applyFont="0" applyFill="0" applyProtection="0"/>
    <xf numFmtId="0" fontId="18" fillId="9" borderId="0" applyNumberFormat="0" applyFont="0" applyFill="0" applyProtection="0"/>
    <xf numFmtId="0" fontId="18" fillId="4" borderId="0" applyNumberFormat="0" applyFont="0" applyFill="0" applyProtection="0"/>
    <xf numFmtId="0" fontId="18" fillId="4" borderId="0" applyNumberFormat="0" applyFont="0" applyFill="0" applyProtection="0"/>
    <xf numFmtId="0" fontId="18" fillId="10" borderId="0" applyNumberFormat="0" applyFont="0" applyFill="0" applyProtection="0"/>
    <xf numFmtId="0" fontId="18" fillId="7" borderId="0" applyNumberFormat="0" applyFont="0" applyFill="0" applyProtection="0"/>
    <xf numFmtId="0" fontId="18" fillId="8" borderId="0" applyNumberFormat="0" applyFont="0" applyFill="0" applyProtection="0"/>
    <xf numFmtId="0" fontId="18" fillId="11" borderId="0" applyNumberFormat="0" applyFont="0" applyFill="0" applyProtection="0"/>
    <xf numFmtId="0" fontId="19" fillId="2" borderId="0" applyNumberFormat="0" applyFont="0" applyFill="0" applyProtection="0"/>
    <xf numFmtId="0" fontId="20" fillId="8" borderId="2" applyNumberFormat="0" applyFont="0" applyProtection="0"/>
    <xf numFmtId="0" fontId="21" fillId="11" borderId="3" applyNumberFormat="0" applyFont="0" applyProtection="0"/>
    <xf numFmtId="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2" fillId="0" borderId="0" applyNumberFormat="0" applyFont="0" applyFill="0" applyAlignment="0" applyProtection="0"/>
    <xf numFmtId="0" fontId="23" fillId="2" borderId="0" applyNumberFormat="0" applyFont="0" applyFill="0" applyProtection="0"/>
    <xf numFmtId="0" fontId="24" fillId="0" borderId="4" applyNumberFormat="0" applyFont="0" applyAlignment="0" applyProtection="0"/>
    <xf numFmtId="0" fontId="25" fillId="0" borderId="4" applyNumberFormat="0" applyFont="0" applyAlignment="0" applyProtection="0"/>
    <xf numFmtId="0" fontId="26" fillId="0" borderId="5" applyNumberFormat="0" applyFont="0" applyAlignment="0" applyProtection="0"/>
    <xf numFmtId="0" fontId="26" fillId="0" borderId="0" applyNumberFormat="0" applyFont="0" applyFill="0" applyAlignment="0" applyProtection="0"/>
    <xf numFmtId="0" fontId="27" fillId="4" borderId="2" applyNumberFormat="0" applyFont="0" applyProtection="0"/>
    <xf numFmtId="0" fontId="28" fillId="0" borderId="6" applyNumberFormat="0" applyFont="0" applyAlignment="0" applyProtection="0"/>
    <xf numFmtId="0" fontId="29" fillId="2" borderId="0" applyNumberFormat="0" applyFont="0" applyFill="0" applyProtection="0"/>
    <xf numFmtId="0" fontId="16" fillId="4" borderId="7" applyNumberFormat="0" applyFont="0" applyBorder="0" applyProtection="0"/>
    <xf numFmtId="0" fontId="30" fillId="8" borderId="7" applyNumberFormat="0" applyFont="0" applyProtection="0"/>
    <xf numFmtId="0" fontId="31" fillId="0" borderId="0" applyNumberFormat="0" applyFont="0" applyFill="0" applyAlignment="0" applyProtection="0"/>
    <xf numFmtId="0" fontId="17" fillId="0" borderId="8" applyNumberFormat="0" applyFont="0" applyAlignment="0" applyProtection="0"/>
    <xf numFmtId="0" fontId="32" fillId="0" borderId="0" applyNumberFormat="0" applyFont="0" applyFill="0" applyAlignment="0" applyProtection="0"/>
    <xf numFmtId="43" fontId="35" fillId="0" borderId="0" applyFont="0" applyFill="0" applyBorder="0" applyAlignment="0" applyProtection="0"/>
  </cellStyleXfs>
  <cellXfs count="24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0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165" fontId="6" fillId="0" borderId="0" xfId="0" applyNumberFormat="1" applyFont="1" applyAlignment="1"/>
    <xf numFmtId="0" fontId="6" fillId="0" borderId="0" xfId="10" applyAlignment="1"/>
    <xf numFmtId="165" fontId="13" fillId="0" borderId="0" xfId="7" applyNumberFormat="1" applyFont="1" applyBorder="1" applyAlignment="1" applyProtection="1">
      <alignment horizontal="center"/>
    </xf>
    <xf numFmtId="0" fontId="12" fillId="0" borderId="0" xfId="0" applyFont="1" applyAlignment="1"/>
    <xf numFmtId="0" fontId="0" fillId="0" borderId="0" xfId="0" applyFill="1" applyAlignment="1"/>
    <xf numFmtId="0" fontId="15" fillId="0" borderId="0" xfId="0" applyFont="1" applyAlignment="1"/>
    <xf numFmtId="0" fontId="33" fillId="0" borderId="0" xfId="8" applyFont="1" applyFill="1" applyBorder="1" applyAlignment="1" applyProtection="1">
      <alignment horizontal="right"/>
    </xf>
    <xf numFmtId="166" fontId="0" fillId="0" borderId="0" xfId="60" applyNumberFormat="1" applyFont="1" applyAlignment="1"/>
    <xf numFmtId="166" fontId="0" fillId="0" borderId="0" xfId="60" applyNumberFormat="1" applyFont="1" applyFill="1" applyAlignment="1"/>
    <xf numFmtId="166" fontId="6" fillId="0" borderId="0" xfId="60" applyNumberFormat="1" applyFont="1" applyAlignment="1"/>
    <xf numFmtId="167" fontId="0" fillId="0" borderId="0" xfId="0" applyNumberFormat="1" applyAlignment="1"/>
    <xf numFmtId="165" fontId="0" fillId="0" borderId="0" xfId="60" applyNumberFormat="1" applyFont="1" applyFill="1" applyAlignment="1"/>
    <xf numFmtId="166" fontId="0" fillId="0" borderId="0" xfId="0" applyNumberFormat="1" applyFill="1" applyAlignment="1"/>
    <xf numFmtId="0" fontId="6" fillId="0" borderId="0" xfId="0" applyFont="1" applyAlignment="1"/>
  </cellXfs>
  <cellStyles count="61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" xfId="60" builtinId="3"/>
    <cellStyle name="Comma 2" xfId="13"/>
    <cellStyle name="Comma0" xfId="1"/>
    <cellStyle name="Comma0 2" xfId="44"/>
    <cellStyle name="Currency0" xfId="2"/>
    <cellStyle name="Currency0 2" xfId="45"/>
    <cellStyle name="Date" xfId="3"/>
    <cellStyle name="Explanatory Text 2" xfId="46"/>
    <cellStyle name="Fixed" xfId="4"/>
    <cellStyle name="Good 2" xfId="47"/>
    <cellStyle name="Heading 1" xfId="5" builtinId="16" customBuiltin="1"/>
    <cellStyle name="Heading 1 2" xfId="48"/>
    <cellStyle name="Heading 2" xfId="6" builtinId="17" customBuiltin="1"/>
    <cellStyle name="Heading 2 2" xfId="49"/>
    <cellStyle name="Heading 3 2" xfId="50"/>
    <cellStyle name="Heading 4 2" xfId="51"/>
    <cellStyle name="Input 2" xfId="52"/>
    <cellStyle name="Linked Cell 2" xfId="53"/>
    <cellStyle name="Neutral 2" xfId="54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Normal 6" xfId="16"/>
    <cellStyle name="Note 2" xfId="55"/>
    <cellStyle name="Output 2" xfId="56"/>
    <cellStyle name="Title 2" xfId="57"/>
    <cellStyle name="Total" xfId="9" builtinId="25" customBuiltin="1"/>
    <cellStyle name="Total 2" xfId="58"/>
    <cellStyle name="Warning Text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Retail,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(All)'!$D$7:$D$107</c:f>
              <c:numCache>
                <c:formatCode>_(* #,##0.0000_);_(* \(#,##0.0000\);_(* "-"??_);_(@_)</c:formatCode>
                <c:ptCount val="101"/>
                <c:pt idx="38">
                  <c:v>23.333333333333336</c:v>
                </c:pt>
                <c:pt idx="39">
                  <c:v>17.333333333333361</c:v>
                </c:pt>
                <c:pt idx="40">
                  <c:v>22.000000000000028</c:v>
                </c:pt>
                <c:pt idx="41">
                  <c:v>19.333333333333321</c:v>
                </c:pt>
                <c:pt idx="42">
                  <c:v>19.999999999999975</c:v>
                </c:pt>
                <c:pt idx="43">
                  <c:v>19.999999999999975</c:v>
                </c:pt>
                <c:pt idx="44">
                  <c:v>17.333333333333361</c:v>
                </c:pt>
                <c:pt idx="45">
                  <c:v>14</c:v>
                </c:pt>
                <c:pt idx="46">
                  <c:v>14</c:v>
                </c:pt>
                <c:pt idx="47">
                  <c:v>14.666666666666655</c:v>
                </c:pt>
                <c:pt idx="48">
                  <c:v>14</c:v>
                </c:pt>
                <c:pt idx="49">
                  <c:v>15.333333333333307</c:v>
                </c:pt>
                <c:pt idx="50">
                  <c:v>14</c:v>
                </c:pt>
                <c:pt idx="51">
                  <c:v>14.666666666666655</c:v>
                </c:pt>
                <c:pt idx="52">
                  <c:v>15.999999999999961</c:v>
                </c:pt>
                <c:pt idx="53">
                  <c:v>12.000000000000041</c:v>
                </c:pt>
                <c:pt idx="54">
                  <c:v>12.000000000000041</c:v>
                </c:pt>
                <c:pt idx="55">
                  <c:v>11.333333333333293</c:v>
                </c:pt>
                <c:pt idx="56">
                  <c:v>12.000000000000041</c:v>
                </c:pt>
                <c:pt idx="57">
                  <c:v>14</c:v>
                </c:pt>
                <c:pt idx="58">
                  <c:v>16.666666666666707</c:v>
                </c:pt>
                <c:pt idx="59">
                  <c:v>12.666666666666694</c:v>
                </c:pt>
                <c:pt idx="60">
                  <c:v>13.333333333333346</c:v>
                </c:pt>
                <c:pt idx="61">
                  <c:v>14</c:v>
                </c:pt>
                <c:pt idx="62">
                  <c:v>14</c:v>
                </c:pt>
                <c:pt idx="63">
                  <c:v>13.626666666666667</c:v>
                </c:pt>
                <c:pt idx="64">
                  <c:v>14.373333333333335</c:v>
                </c:pt>
                <c:pt idx="65">
                  <c:v>14.466666666666669</c:v>
                </c:pt>
                <c:pt idx="66">
                  <c:v>14.373333333333335</c:v>
                </c:pt>
                <c:pt idx="67">
                  <c:v>15.026666666666669</c:v>
                </c:pt>
                <c:pt idx="68">
                  <c:v>15.96</c:v>
                </c:pt>
                <c:pt idx="69">
                  <c:v>16.893333333333334</c:v>
                </c:pt>
                <c:pt idx="70">
                  <c:v>15.493333333333334</c:v>
                </c:pt>
                <c:pt idx="71">
                  <c:v>14.933333333333335</c:v>
                </c:pt>
                <c:pt idx="72">
                  <c:v>15.773333333333333</c:v>
                </c:pt>
                <c:pt idx="73">
                  <c:v>15.773333333333333</c:v>
                </c:pt>
                <c:pt idx="74">
                  <c:v>14.746666666666668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(All)'!$D$7:$D$107</c:f>
              <c:numCache>
                <c:formatCode>_(* #,##0.0000_);_(* \(#,##0.0000\);_(* "-"??_);_(@_)</c:formatCode>
                <c:ptCount val="101"/>
                <c:pt idx="38">
                  <c:v>23.333333333333336</c:v>
                </c:pt>
                <c:pt idx="39">
                  <c:v>17.333333333333361</c:v>
                </c:pt>
                <c:pt idx="40">
                  <c:v>22.000000000000028</c:v>
                </c:pt>
                <c:pt idx="41">
                  <c:v>19.333333333333321</c:v>
                </c:pt>
                <c:pt idx="42">
                  <c:v>19.999999999999975</c:v>
                </c:pt>
                <c:pt idx="43">
                  <c:v>19.999999999999975</c:v>
                </c:pt>
                <c:pt idx="44">
                  <c:v>17.333333333333361</c:v>
                </c:pt>
                <c:pt idx="45">
                  <c:v>14</c:v>
                </c:pt>
                <c:pt idx="46">
                  <c:v>14</c:v>
                </c:pt>
                <c:pt idx="47">
                  <c:v>14.666666666666655</c:v>
                </c:pt>
                <c:pt idx="48">
                  <c:v>14</c:v>
                </c:pt>
                <c:pt idx="49">
                  <c:v>15.333333333333307</c:v>
                </c:pt>
                <c:pt idx="50">
                  <c:v>14</c:v>
                </c:pt>
                <c:pt idx="51">
                  <c:v>14.666666666666655</c:v>
                </c:pt>
                <c:pt idx="52">
                  <c:v>15.999999999999961</c:v>
                </c:pt>
                <c:pt idx="53">
                  <c:v>12.000000000000041</c:v>
                </c:pt>
                <c:pt idx="54">
                  <c:v>12.000000000000041</c:v>
                </c:pt>
                <c:pt idx="55">
                  <c:v>11.333333333333293</c:v>
                </c:pt>
                <c:pt idx="56">
                  <c:v>12.000000000000041</c:v>
                </c:pt>
                <c:pt idx="57">
                  <c:v>14</c:v>
                </c:pt>
                <c:pt idx="58">
                  <c:v>16.666666666666707</c:v>
                </c:pt>
                <c:pt idx="59">
                  <c:v>12.666666666666694</c:v>
                </c:pt>
                <c:pt idx="60">
                  <c:v>13.333333333333346</c:v>
                </c:pt>
                <c:pt idx="61">
                  <c:v>14</c:v>
                </c:pt>
                <c:pt idx="62">
                  <c:v>14</c:v>
                </c:pt>
                <c:pt idx="63">
                  <c:v>13.626666666666667</c:v>
                </c:pt>
                <c:pt idx="64">
                  <c:v>14.373333333333335</c:v>
                </c:pt>
                <c:pt idx="65">
                  <c:v>14.466666666666669</c:v>
                </c:pt>
                <c:pt idx="66">
                  <c:v>14.373333333333335</c:v>
                </c:pt>
                <c:pt idx="67">
                  <c:v>15.026666666666669</c:v>
                </c:pt>
                <c:pt idx="68">
                  <c:v>15.96</c:v>
                </c:pt>
                <c:pt idx="69">
                  <c:v>16.893333333333334</c:v>
                </c:pt>
                <c:pt idx="70">
                  <c:v>15.493333333333334</c:v>
                </c:pt>
                <c:pt idx="71">
                  <c:v>14.933333333333335</c:v>
                </c:pt>
                <c:pt idx="72">
                  <c:v>15.773333333333333</c:v>
                </c:pt>
                <c:pt idx="73">
                  <c:v>15.773333333333333</c:v>
                </c:pt>
                <c:pt idx="74">
                  <c:v>14.746666666666668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28832"/>
        <c:axId val="782272272"/>
      </c:scatterChart>
      <c:valAx>
        <c:axId val="782328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72272"/>
        <c:crosses val="autoZero"/>
        <c:crossBetween val="midCat"/>
        <c:majorUnit val="5"/>
      </c:valAx>
      <c:valAx>
        <c:axId val="78227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28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(All)'!$I$7:$I$107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(All)'!$I$7:$I$107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09232"/>
        <c:axId val="782304192"/>
      </c:scatterChart>
      <c:valAx>
        <c:axId val="782309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4192"/>
        <c:crosses val="autoZero"/>
        <c:crossBetween val="midCat"/>
        <c:majorUnit val="5"/>
      </c:valAx>
      <c:valAx>
        <c:axId val="78230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9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(All)'!$DE$7:$DE$107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(All)'!$DE$7:$DE$107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33184"/>
        <c:axId val="307133744"/>
      </c:scatterChart>
      <c:valAx>
        <c:axId val="3071331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33744"/>
        <c:crosses val="autoZero"/>
        <c:crossBetween val="midCat"/>
        <c:majorUnit val="5"/>
      </c:valAx>
      <c:valAx>
        <c:axId val="30713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331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(Nallrihan),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(All)'!$AI$7:$AI$107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(All)'!$AI$7:$AI$107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36544"/>
        <c:axId val="307137104"/>
      </c:scatterChart>
      <c:valAx>
        <c:axId val="307136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37104"/>
        <c:crosses val="autoZero"/>
        <c:crossBetween val="midCat"/>
        <c:majorUnit val="5"/>
      </c:valAx>
      <c:valAx>
        <c:axId val="30713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36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(All)'!$AJ$7:$AJ$107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(All)'!$AJ$7:$AJ$107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39904"/>
        <c:axId val="307140464"/>
      </c:scatterChart>
      <c:valAx>
        <c:axId val="3071399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40464"/>
        <c:crosses val="autoZero"/>
        <c:crossBetween val="midCat"/>
        <c:majorUnit val="5"/>
      </c:valAx>
      <c:valAx>
        <c:axId val="30714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399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(All)'!$AK$7:$AK$107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(All)'!$AK$7:$AK$107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43264"/>
        <c:axId val="307143824"/>
      </c:scatterChart>
      <c:valAx>
        <c:axId val="3071432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43824"/>
        <c:crosses val="autoZero"/>
        <c:crossBetween val="midCat"/>
        <c:majorUnit val="5"/>
      </c:valAx>
      <c:valAx>
        <c:axId val="3071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432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(All)'!$C$7:$C$107</c:f>
              <c:numCache>
                <c:formatCode>_(* #,##0.0000_);_(* \(#,##0.0000\);_(* "-"??_);_(@_)</c:formatCode>
                <c:ptCount val="101"/>
                <c:pt idx="14">
                  <c:v>21.777285373254696</c:v>
                </c:pt>
                <c:pt idx="15">
                  <c:v>24.199947065051148</c:v>
                </c:pt>
                <c:pt idx="16">
                  <c:v>20.542192891866708</c:v>
                </c:pt>
                <c:pt idx="17">
                  <c:v>18.03019813162372</c:v>
                </c:pt>
                <c:pt idx="18">
                  <c:v>16.543210324763642</c:v>
                </c:pt>
                <c:pt idx="19">
                  <c:v>14.375373311011815</c:v>
                </c:pt>
                <c:pt idx="20">
                  <c:v>16.98926904459503</c:v>
                </c:pt>
                <c:pt idx="21">
                  <c:v>16.075686119379043</c:v>
                </c:pt>
                <c:pt idx="22">
                  <c:v>14.949353506737067</c:v>
                </c:pt>
                <c:pt idx="23">
                  <c:v>13.500465704294148</c:v>
                </c:pt>
                <c:pt idx="24">
                  <c:v>12.552990199652468</c:v>
                </c:pt>
                <c:pt idx="25">
                  <c:v>13.44</c:v>
                </c:pt>
                <c:pt idx="26">
                  <c:v>15.270000000000014</c:v>
                </c:pt>
                <c:pt idx="27">
                  <c:v>19.589999999999989</c:v>
                </c:pt>
                <c:pt idx="28">
                  <c:v>18.30999999999996</c:v>
                </c:pt>
                <c:pt idx="29">
                  <c:v>14.039999999999962</c:v>
                </c:pt>
                <c:pt idx="30">
                  <c:v>14.090000000000027</c:v>
                </c:pt>
                <c:pt idx="31">
                  <c:v>17.590000000000028</c:v>
                </c:pt>
                <c:pt idx="32">
                  <c:v>18.630000000000013</c:v>
                </c:pt>
                <c:pt idx="33">
                  <c:v>18.830000000000002</c:v>
                </c:pt>
                <c:pt idx="34">
                  <c:v>18.23000000000004</c:v>
                </c:pt>
                <c:pt idx="35">
                  <c:v>15.869999999999974</c:v>
                </c:pt>
                <c:pt idx="36">
                  <c:v>15.910000000000029</c:v>
                </c:pt>
                <c:pt idx="37">
                  <c:v>18.459999999999976</c:v>
                </c:pt>
                <c:pt idx="38">
                  <c:v>17.329999999999963</c:v>
                </c:pt>
                <c:pt idx="39">
                  <c:v>15.850000000000041</c:v>
                </c:pt>
                <c:pt idx="40">
                  <c:v>16.489999999999959</c:v>
                </c:pt>
                <c:pt idx="41">
                  <c:v>16.209999999999962</c:v>
                </c:pt>
                <c:pt idx="42">
                  <c:v>16.330000000000027</c:v>
                </c:pt>
                <c:pt idx="43">
                  <c:v>15.120000000000003</c:v>
                </c:pt>
                <c:pt idx="44">
                  <c:v>13.470000000000041</c:v>
                </c:pt>
                <c:pt idx="45">
                  <c:v>12.190000000000015</c:v>
                </c:pt>
                <c:pt idx="46">
                  <c:v>11.200000000000001</c:v>
                </c:pt>
                <c:pt idx="47">
                  <c:v>11.099999999999961</c:v>
                </c:pt>
                <c:pt idx="48">
                  <c:v>11.270000000000001</c:v>
                </c:pt>
                <c:pt idx="49">
                  <c:v>11.650000000000039</c:v>
                </c:pt>
                <c:pt idx="50">
                  <c:v>11.510000000000041</c:v>
                </c:pt>
                <c:pt idx="51">
                  <c:v>12.18</c:v>
                </c:pt>
                <c:pt idx="52">
                  <c:v>11.099999999999961</c:v>
                </c:pt>
                <c:pt idx="53">
                  <c:v>9.5699999999999736</c:v>
                </c:pt>
                <c:pt idx="54">
                  <c:v>8.360000000000003</c:v>
                </c:pt>
                <c:pt idx="55">
                  <c:v>8.360000000000003</c:v>
                </c:pt>
                <c:pt idx="56">
                  <c:v>8.6600000000000019</c:v>
                </c:pt>
                <c:pt idx="57">
                  <c:v>10.279999999999989</c:v>
                </c:pt>
                <c:pt idx="58">
                  <c:v>10.99</c:v>
                </c:pt>
                <c:pt idx="59">
                  <c:v>9.33</c:v>
                </c:pt>
                <c:pt idx="60">
                  <c:v>9.379999999999999</c:v>
                </c:pt>
                <c:pt idx="61">
                  <c:v>9.1599999999999966</c:v>
                </c:pt>
                <c:pt idx="62">
                  <c:v>9.2099999999999991</c:v>
                </c:pt>
                <c:pt idx="63">
                  <c:v>9.4399999999999871</c:v>
                </c:pt>
                <c:pt idx="64">
                  <c:v>9.859999999999987</c:v>
                </c:pt>
                <c:pt idx="65">
                  <c:v>10.11000000000004</c:v>
                </c:pt>
                <c:pt idx="66">
                  <c:v>9.6100000000000279</c:v>
                </c:pt>
                <c:pt idx="67">
                  <c:v>10.069999999999986</c:v>
                </c:pt>
                <c:pt idx="68">
                  <c:v>10.909999999999988</c:v>
                </c:pt>
                <c:pt idx="69">
                  <c:v>11.529999999999973</c:v>
                </c:pt>
                <c:pt idx="70">
                  <c:v>11.070000000000014</c:v>
                </c:pt>
                <c:pt idx="71">
                  <c:v>10.489999999999988</c:v>
                </c:pt>
                <c:pt idx="72">
                  <c:v>10.829999999999973</c:v>
                </c:pt>
                <c:pt idx="73">
                  <c:v>10.600000000000041</c:v>
                </c:pt>
                <c:pt idx="74">
                  <c:v>11.02999999999996</c:v>
                </c:pt>
                <c:pt idx="75">
                  <c:v>15.859999999999962</c:v>
                </c:pt>
                <c:pt idx="76">
                  <c:v>17.209999999999987</c:v>
                </c:pt>
                <c:pt idx="77">
                  <c:v>25.759999999999998</c:v>
                </c:pt>
                <c:pt idx="78">
                  <c:v>27.069999999999975</c:v>
                </c:pt>
                <c:pt idx="79">
                  <c:v>29.05</c:v>
                </c:pt>
                <c:pt idx="80">
                  <c:v>35.500000000000014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'Wheat (All)'!#REF!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46624"/>
        <c:axId val="307147184"/>
      </c:scatterChart>
      <c:valAx>
        <c:axId val="3071466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47184"/>
        <c:crosses val="autoZero"/>
        <c:crossBetween val="midCat"/>
        <c:majorUnit val="5"/>
      </c:valAx>
      <c:valAx>
        <c:axId val="30714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46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US,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(All)'!$E$7:$E$107</c:f>
              <c:numCache>
                <c:formatCode>0.0000</c:formatCode>
                <c:ptCount val="101"/>
                <c:pt idx="0">
                  <c:v>12.563772889256773</c:v>
                </c:pt>
                <c:pt idx="1">
                  <c:v>12.023648073456974</c:v>
                </c:pt>
                <c:pt idx="2">
                  <c:v>13.503120394995653</c:v>
                </c:pt>
                <c:pt idx="3">
                  <c:v>10.497208376631388</c:v>
                </c:pt>
                <c:pt idx="4">
                  <c:v>11.037333192431188</c:v>
                </c:pt>
                <c:pt idx="5">
                  <c:v>10.614626814848748</c:v>
                </c:pt>
                <c:pt idx="6">
                  <c:v>11.953197010526521</c:v>
                </c:pt>
                <c:pt idx="7">
                  <c:v>13.996277835508549</c:v>
                </c:pt>
                <c:pt idx="8">
                  <c:v>14.606853714238708</c:v>
                </c:pt>
                <c:pt idx="9">
                  <c:v>12.563772889256773</c:v>
                </c:pt>
                <c:pt idx="10">
                  <c:v>12.023648073456974</c:v>
                </c:pt>
                <c:pt idx="11">
                  <c:v>11.225202693579002</c:v>
                </c:pt>
                <c:pt idx="12">
                  <c:v>9.9570835608315882</c:v>
                </c:pt>
                <c:pt idx="13">
                  <c:v>11.882745947596161</c:v>
                </c:pt>
                <c:pt idx="14">
                  <c:v>16.180260786351294</c:v>
                </c:pt>
                <c:pt idx="15">
                  <c:v>21.243343842283547</c:v>
                </c:pt>
                <c:pt idx="16">
                  <c:v>19.585395494654549</c:v>
                </c:pt>
                <c:pt idx="17">
                  <c:v>16.375175393792041</c:v>
                </c:pt>
                <c:pt idx="18">
                  <c:v>10.577052914619149</c:v>
                </c:pt>
                <c:pt idx="19">
                  <c:v>13.937568616399867</c:v>
                </c:pt>
                <c:pt idx="20">
                  <c:v>13.890601241112867</c:v>
                </c:pt>
                <c:pt idx="21">
                  <c:v>13.388050325542574</c:v>
                </c:pt>
                <c:pt idx="22">
                  <c:v>11.690026329141627</c:v>
                </c:pt>
                <c:pt idx="23">
                  <c:v>10.449594067800534</c:v>
                </c:pt>
                <c:pt idx="24">
                  <c:v>8.30881284896628</c:v>
                </c:pt>
                <c:pt idx="25">
                  <c:v>15.544320136288441</c:v>
                </c:pt>
                <c:pt idx="26">
                  <c:v>14.045211907134613</c:v>
                </c:pt>
                <c:pt idx="27">
                  <c:v>15.036696957819974</c:v>
                </c:pt>
                <c:pt idx="28">
                  <c:v>16.926073792563042</c:v>
                </c:pt>
                <c:pt idx="29">
                  <c:v>13.628642731424561</c:v>
                </c:pt>
                <c:pt idx="30">
                  <c:v>12.491932017136042</c:v>
                </c:pt>
                <c:pt idx="31">
                  <c:v>13.863154549780294</c:v>
                </c:pt>
                <c:pt idx="32">
                  <c:v>14.852805645679121</c:v>
                </c:pt>
                <c:pt idx="33">
                  <c:v>15.487265005645627</c:v>
                </c:pt>
                <c:pt idx="34">
                  <c:v>15.023646933062041</c:v>
                </c:pt>
                <c:pt idx="35">
                  <c:v>11.645783480634988</c:v>
                </c:pt>
                <c:pt idx="36">
                  <c:v>13.091892591194014</c:v>
                </c:pt>
                <c:pt idx="37">
                  <c:v>14.538374564011201</c:v>
                </c:pt>
                <c:pt idx="38">
                  <c:v>14.812429170355788</c:v>
                </c:pt>
                <c:pt idx="39">
                  <c:v>12.333632750350802</c:v>
                </c:pt>
                <c:pt idx="40">
                  <c:v>13.80371159683208</c:v>
                </c:pt>
                <c:pt idx="41">
                  <c:v>13.310554156319187</c:v>
                </c:pt>
                <c:pt idx="42">
                  <c:v>14.440119531970067</c:v>
                </c:pt>
                <c:pt idx="43">
                  <c:v>13.984535991686773</c:v>
                </c:pt>
                <c:pt idx="44">
                  <c:v>13.122684655171373</c:v>
                </c:pt>
                <c:pt idx="45">
                  <c:v>11.4999618390076</c:v>
                </c:pt>
                <c:pt idx="46">
                  <c:v>11.034984823666814</c:v>
                </c:pt>
                <c:pt idx="47">
                  <c:v>10.591143127205294</c:v>
                </c:pt>
                <c:pt idx="48">
                  <c:v>10.753180571945187</c:v>
                </c:pt>
                <c:pt idx="49">
                  <c:v>11.347317869325014</c:v>
                </c:pt>
                <c:pt idx="50">
                  <c:v>10.943398441857282</c:v>
                </c:pt>
                <c:pt idx="51">
                  <c:v>11.319137444152814</c:v>
                </c:pt>
                <c:pt idx="52">
                  <c:v>11.64790907116144</c:v>
                </c:pt>
                <c:pt idx="53">
                  <c:v>10.661594190135654</c:v>
                </c:pt>
                <c:pt idx="54">
                  <c:v>9.6517956214664142</c:v>
                </c:pt>
                <c:pt idx="55">
                  <c:v>7.9374864234930786</c:v>
                </c:pt>
                <c:pt idx="56">
                  <c:v>8.3601928010755557</c:v>
                </c:pt>
                <c:pt idx="57">
                  <c:v>9.017736055092735</c:v>
                </c:pt>
                <c:pt idx="58">
                  <c:v>10.591143127205294</c:v>
                </c:pt>
                <c:pt idx="59">
                  <c:v>9.4874098079621483</c:v>
                </c:pt>
                <c:pt idx="60">
                  <c:v>8.5010949269363785</c:v>
                </c:pt>
                <c:pt idx="61">
                  <c:v>8.7359318033710807</c:v>
                </c:pt>
                <c:pt idx="62">
                  <c:v>8.6889644280841463</c:v>
                </c:pt>
                <c:pt idx="63">
                  <c:v>8.7828991786580239</c:v>
                </c:pt>
                <c:pt idx="64">
                  <c:v>9.5108934956056022</c:v>
                </c:pt>
                <c:pt idx="65">
                  <c:v>10.685077877779108</c:v>
                </c:pt>
                <c:pt idx="66">
                  <c:v>9.9805672484750403</c:v>
                </c:pt>
                <c:pt idx="67">
                  <c:v>9.3699913697447865</c:v>
                </c:pt>
                <c:pt idx="68">
                  <c:v>10.825980003640014</c:v>
                </c:pt>
                <c:pt idx="69">
                  <c:v>11.413072194726722</c:v>
                </c:pt>
                <c:pt idx="70">
                  <c:v>12.375903388109053</c:v>
                </c:pt>
                <c:pt idx="71">
                  <c:v>11.46003957001372</c:v>
                </c:pt>
                <c:pt idx="72">
                  <c:v>10.872947378926922</c:v>
                </c:pt>
                <c:pt idx="73">
                  <c:v>10.961663255181522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(All)'!$E$7:$E$107</c:f>
              <c:numCache>
                <c:formatCode>0.0000</c:formatCode>
                <c:ptCount val="101"/>
                <c:pt idx="0">
                  <c:v>12.563772889256773</c:v>
                </c:pt>
                <c:pt idx="1">
                  <c:v>12.023648073456974</c:v>
                </c:pt>
                <c:pt idx="2">
                  <c:v>13.503120394995653</c:v>
                </c:pt>
                <c:pt idx="3">
                  <c:v>10.497208376631388</c:v>
                </c:pt>
                <c:pt idx="4">
                  <c:v>11.037333192431188</c:v>
                </c:pt>
                <c:pt idx="5">
                  <c:v>10.614626814848748</c:v>
                </c:pt>
                <c:pt idx="6">
                  <c:v>11.953197010526521</c:v>
                </c:pt>
                <c:pt idx="7">
                  <c:v>13.996277835508549</c:v>
                </c:pt>
                <c:pt idx="8">
                  <c:v>14.606853714238708</c:v>
                </c:pt>
                <c:pt idx="9">
                  <c:v>12.563772889256773</c:v>
                </c:pt>
                <c:pt idx="10">
                  <c:v>12.023648073456974</c:v>
                </c:pt>
                <c:pt idx="11">
                  <c:v>11.225202693579002</c:v>
                </c:pt>
                <c:pt idx="12">
                  <c:v>9.9570835608315882</c:v>
                </c:pt>
                <c:pt idx="13">
                  <c:v>11.882745947596161</c:v>
                </c:pt>
                <c:pt idx="14">
                  <c:v>16.180260786351294</c:v>
                </c:pt>
                <c:pt idx="15">
                  <c:v>21.243343842283547</c:v>
                </c:pt>
                <c:pt idx="16">
                  <c:v>19.585395494654549</c:v>
                </c:pt>
                <c:pt idx="17">
                  <c:v>16.375175393792041</c:v>
                </c:pt>
                <c:pt idx="18">
                  <c:v>10.577052914619149</c:v>
                </c:pt>
                <c:pt idx="19">
                  <c:v>13.937568616399867</c:v>
                </c:pt>
                <c:pt idx="20">
                  <c:v>13.890601241112867</c:v>
                </c:pt>
                <c:pt idx="21">
                  <c:v>13.388050325542574</c:v>
                </c:pt>
                <c:pt idx="22">
                  <c:v>11.690026329141627</c:v>
                </c:pt>
                <c:pt idx="23">
                  <c:v>10.449594067800534</c:v>
                </c:pt>
                <c:pt idx="24">
                  <c:v>8.30881284896628</c:v>
                </c:pt>
                <c:pt idx="25">
                  <c:v>15.544320136288441</c:v>
                </c:pt>
                <c:pt idx="26">
                  <c:v>14.045211907134613</c:v>
                </c:pt>
                <c:pt idx="27">
                  <c:v>15.036696957819974</c:v>
                </c:pt>
                <c:pt idx="28">
                  <c:v>16.926073792563042</c:v>
                </c:pt>
                <c:pt idx="29">
                  <c:v>13.628642731424561</c:v>
                </c:pt>
                <c:pt idx="30">
                  <c:v>12.491932017136042</c:v>
                </c:pt>
                <c:pt idx="31">
                  <c:v>13.863154549780294</c:v>
                </c:pt>
                <c:pt idx="32">
                  <c:v>14.852805645679121</c:v>
                </c:pt>
                <c:pt idx="33">
                  <c:v>15.487265005645627</c:v>
                </c:pt>
                <c:pt idx="34">
                  <c:v>15.023646933062041</c:v>
                </c:pt>
                <c:pt idx="35">
                  <c:v>11.645783480634988</c:v>
                </c:pt>
                <c:pt idx="36">
                  <c:v>13.091892591194014</c:v>
                </c:pt>
                <c:pt idx="37">
                  <c:v>14.538374564011201</c:v>
                </c:pt>
                <c:pt idx="38">
                  <c:v>14.812429170355788</c:v>
                </c:pt>
                <c:pt idx="39">
                  <c:v>12.333632750350802</c:v>
                </c:pt>
                <c:pt idx="40">
                  <c:v>13.80371159683208</c:v>
                </c:pt>
                <c:pt idx="41">
                  <c:v>13.310554156319187</c:v>
                </c:pt>
                <c:pt idx="42">
                  <c:v>14.440119531970067</c:v>
                </c:pt>
                <c:pt idx="43">
                  <c:v>13.984535991686773</c:v>
                </c:pt>
                <c:pt idx="44">
                  <c:v>13.122684655171373</c:v>
                </c:pt>
                <c:pt idx="45">
                  <c:v>11.4999618390076</c:v>
                </c:pt>
                <c:pt idx="46">
                  <c:v>11.034984823666814</c:v>
                </c:pt>
                <c:pt idx="47">
                  <c:v>10.591143127205294</c:v>
                </c:pt>
                <c:pt idx="48">
                  <c:v>10.753180571945187</c:v>
                </c:pt>
                <c:pt idx="49">
                  <c:v>11.347317869325014</c:v>
                </c:pt>
                <c:pt idx="50">
                  <c:v>10.943398441857282</c:v>
                </c:pt>
                <c:pt idx="51">
                  <c:v>11.319137444152814</c:v>
                </c:pt>
                <c:pt idx="52">
                  <c:v>11.64790907116144</c:v>
                </c:pt>
                <c:pt idx="53">
                  <c:v>10.661594190135654</c:v>
                </c:pt>
                <c:pt idx="54">
                  <c:v>9.6517956214664142</c:v>
                </c:pt>
                <c:pt idx="55">
                  <c:v>7.9374864234930786</c:v>
                </c:pt>
                <c:pt idx="56">
                  <c:v>8.3601928010755557</c:v>
                </c:pt>
                <c:pt idx="57">
                  <c:v>9.017736055092735</c:v>
                </c:pt>
                <c:pt idx="58">
                  <c:v>10.591143127205294</c:v>
                </c:pt>
                <c:pt idx="59">
                  <c:v>9.4874098079621483</c:v>
                </c:pt>
                <c:pt idx="60">
                  <c:v>8.5010949269363785</c:v>
                </c:pt>
                <c:pt idx="61">
                  <c:v>8.7359318033710807</c:v>
                </c:pt>
                <c:pt idx="62">
                  <c:v>8.6889644280841463</c:v>
                </c:pt>
                <c:pt idx="63">
                  <c:v>8.7828991786580239</c:v>
                </c:pt>
                <c:pt idx="64">
                  <c:v>9.5108934956056022</c:v>
                </c:pt>
                <c:pt idx="65">
                  <c:v>10.685077877779108</c:v>
                </c:pt>
                <c:pt idx="66">
                  <c:v>9.9805672484750403</c:v>
                </c:pt>
                <c:pt idx="67">
                  <c:v>9.3699913697447865</c:v>
                </c:pt>
                <c:pt idx="68">
                  <c:v>10.825980003640014</c:v>
                </c:pt>
                <c:pt idx="69">
                  <c:v>11.413072194726722</c:v>
                </c:pt>
                <c:pt idx="70">
                  <c:v>12.375903388109053</c:v>
                </c:pt>
                <c:pt idx="71">
                  <c:v>11.46003957001372</c:v>
                </c:pt>
                <c:pt idx="72">
                  <c:v>10.872947378926922</c:v>
                </c:pt>
                <c:pt idx="73">
                  <c:v>10.961663255181522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49984"/>
        <c:axId val="307150544"/>
      </c:scatterChart>
      <c:valAx>
        <c:axId val="3071499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50544"/>
        <c:crosses val="autoZero"/>
        <c:crossBetween val="midCat"/>
        <c:majorUnit val="5"/>
      </c:valAx>
      <c:valAx>
        <c:axId val="30715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499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Aleppo,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(All)'!$R$7:$R$107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(All)'!$R$7:$R$107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53344"/>
        <c:axId val="753602624"/>
      </c:scatterChart>
      <c:valAx>
        <c:axId val="307153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3602624"/>
        <c:crosses val="autoZero"/>
        <c:crossBetween val="midCat"/>
        <c:majorUnit val="5"/>
      </c:valAx>
      <c:valAx>
        <c:axId val="75360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53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Alexandria,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(All)'!$AB$7:$AB$107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(All)'!$AB$7:$AB$107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605424"/>
        <c:axId val="753605984"/>
      </c:scatterChart>
      <c:valAx>
        <c:axId val="753605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3605984"/>
        <c:crosses val="autoZero"/>
        <c:crossBetween val="midCat"/>
        <c:majorUnit val="5"/>
      </c:valAx>
      <c:valAx>
        <c:axId val="75360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3605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Flour, in</a:t>
            </a:r>
            <a:r>
              <a:rPr lang="en-US" sz="2000" b="1" baseline="0">
                <a:solidFill>
                  <a:schemeClr val="tx1"/>
                </a:solidFill>
              </a:rPr>
              <a:t> pound/ton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'Flour (All)'!$C$6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(All)'!$C$7:$C$107</c:f>
              <c:numCache>
                <c:formatCode>_(* #,##0.0000_);_(* \(#,##0.0000\);_(* "-"??_);_(@_)</c:formatCode>
                <c:ptCount val="101"/>
                <c:pt idx="14">
                  <c:v>21.777285373254696</c:v>
                </c:pt>
                <c:pt idx="15">
                  <c:v>24.199947065051148</c:v>
                </c:pt>
                <c:pt idx="16">
                  <c:v>20.542192891866708</c:v>
                </c:pt>
                <c:pt idx="17">
                  <c:v>18.03019813162372</c:v>
                </c:pt>
                <c:pt idx="18">
                  <c:v>16.543210324763642</c:v>
                </c:pt>
                <c:pt idx="19">
                  <c:v>14.375373311011815</c:v>
                </c:pt>
                <c:pt idx="20">
                  <c:v>16.98926904459503</c:v>
                </c:pt>
                <c:pt idx="21">
                  <c:v>16.075686119379043</c:v>
                </c:pt>
                <c:pt idx="22">
                  <c:v>14.949353506737067</c:v>
                </c:pt>
                <c:pt idx="23">
                  <c:v>13.500465704294148</c:v>
                </c:pt>
                <c:pt idx="24">
                  <c:v>12.552990199652468</c:v>
                </c:pt>
                <c:pt idx="25">
                  <c:v>13.44</c:v>
                </c:pt>
                <c:pt idx="26">
                  <c:v>15.270000000000014</c:v>
                </c:pt>
                <c:pt idx="27">
                  <c:v>19.589999999999989</c:v>
                </c:pt>
                <c:pt idx="28">
                  <c:v>18.30999999999996</c:v>
                </c:pt>
                <c:pt idx="29">
                  <c:v>14.039999999999962</c:v>
                </c:pt>
                <c:pt idx="30">
                  <c:v>14.090000000000027</c:v>
                </c:pt>
                <c:pt idx="31">
                  <c:v>17.590000000000028</c:v>
                </c:pt>
                <c:pt idx="32">
                  <c:v>18.630000000000013</c:v>
                </c:pt>
                <c:pt idx="33">
                  <c:v>18.830000000000002</c:v>
                </c:pt>
                <c:pt idx="34">
                  <c:v>18.23000000000004</c:v>
                </c:pt>
                <c:pt idx="35">
                  <c:v>15.869999999999974</c:v>
                </c:pt>
                <c:pt idx="36">
                  <c:v>15.910000000000029</c:v>
                </c:pt>
                <c:pt idx="37">
                  <c:v>18.459999999999976</c:v>
                </c:pt>
                <c:pt idx="38">
                  <c:v>17.329999999999963</c:v>
                </c:pt>
                <c:pt idx="39">
                  <c:v>15.850000000000041</c:v>
                </c:pt>
                <c:pt idx="40">
                  <c:v>16.489999999999959</c:v>
                </c:pt>
                <c:pt idx="41">
                  <c:v>16.209999999999962</c:v>
                </c:pt>
                <c:pt idx="42">
                  <c:v>16.330000000000027</c:v>
                </c:pt>
                <c:pt idx="43">
                  <c:v>15.120000000000003</c:v>
                </c:pt>
                <c:pt idx="44">
                  <c:v>13.470000000000041</c:v>
                </c:pt>
                <c:pt idx="45">
                  <c:v>12.190000000000015</c:v>
                </c:pt>
                <c:pt idx="46">
                  <c:v>11.200000000000001</c:v>
                </c:pt>
                <c:pt idx="47">
                  <c:v>11.099999999999961</c:v>
                </c:pt>
                <c:pt idx="48">
                  <c:v>11.270000000000001</c:v>
                </c:pt>
                <c:pt idx="49">
                  <c:v>11.650000000000039</c:v>
                </c:pt>
                <c:pt idx="50">
                  <c:v>11.510000000000041</c:v>
                </c:pt>
                <c:pt idx="51">
                  <c:v>12.18</c:v>
                </c:pt>
                <c:pt idx="52">
                  <c:v>11.099999999999961</c:v>
                </c:pt>
                <c:pt idx="53">
                  <c:v>9.5699999999999736</c:v>
                </c:pt>
                <c:pt idx="54">
                  <c:v>8.360000000000003</c:v>
                </c:pt>
                <c:pt idx="55">
                  <c:v>8.360000000000003</c:v>
                </c:pt>
                <c:pt idx="56">
                  <c:v>8.6600000000000019</c:v>
                </c:pt>
                <c:pt idx="57">
                  <c:v>10.279999999999989</c:v>
                </c:pt>
                <c:pt idx="58">
                  <c:v>10.99</c:v>
                </c:pt>
                <c:pt idx="59">
                  <c:v>9.33</c:v>
                </c:pt>
                <c:pt idx="60">
                  <c:v>9.379999999999999</c:v>
                </c:pt>
                <c:pt idx="61">
                  <c:v>9.1599999999999966</c:v>
                </c:pt>
                <c:pt idx="62">
                  <c:v>9.2099999999999991</c:v>
                </c:pt>
                <c:pt idx="63">
                  <c:v>9.4399999999999871</c:v>
                </c:pt>
                <c:pt idx="64">
                  <c:v>9.859999999999987</c:v>
                </c:pt>
                <c:pt idx="65">
                  <c:v>10.11000000000004</c:v>
                </c:pt>
                <c:pt idx="66">
                  <c:v>9.6100000000000279</c:v>
                </c:pt>
                <c:pt idx="67">
                  <c:v>10.069999999999986</c:v>
                </c:pt>
                <c:pt idx="68">
                  <c:v>10.909999999999988</c:v>
                </c:pt>
                <c:pt idx="69">
                  <c:v>11.529999999999973</c:v>
                </c:pt>
                <c:pt idx="70">
                  <c:v>11.070000000000014</c:v>
                </c:pt>
                <c:pt idx="71">
                  <c:v>10.489999999999988</c:v>
                </c:pt>
                <c:pt idx="72">
                  <c:v>10.829999999999973</c:v>
                </c:pt>
                <c:pt idx="73">
                  <c:v>10.600000000000041</c:v>
                </c:pt>
                <c:pt idx="74">
                  <c:v>11.02999999999996</c:v>
                </c:pt>
                <c:pt idx="75">
                  <c:v>15.859999999999962</c:v>
                </c:pt>
                <c:pt idx="76">
                  <c:v>17.209999999999987</c:v>
                </c:pt>
                <c:pt idx="77">
                  <c:v>25.759999999999998</c:v>
                </c:pt>
                <c:pt idx="78">
                  <c:v>27.069999999999975</c:v>
                </c:pt>
                <c:pt idx="79">
                  <c:v>29.05</c:v>
                </c:pt>
                <c:pt idx="80">
                  <c:v>35.500000000000014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'Flour (All)'!$D$6</c:f>
              <c:strCache>
                <c:ptCount val="1"/>
                <c:pt idx="0">
                  <c:v>UK, Retail,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(All)'!$D$7:$D$107</c:f>
              <c:numCache>
                <c:formatCode>_(* #,##0.0000_);_(* \(#,##0.0000\);_(* "-"??_);_(@_)</c:formatCode>
                <c:ptCount val="101"/>
                <c:pt idx="38">
                  <c:v>23.333333333333336</c:v>
                </c:pt>
                <c:pt idx="39">
                  <c:v>17.333333333333361</c:v>
                </c:pt>
                <c:pt idx="40">
                  <c:v>22.000000000000028</c:v>
                </c:pt>
                <c:pt idx="41">
                  <c:v>19.333333333333321</c:v>
                </c:pt>
                <c:pt idx="42">
                  <c:v>19.999999999999975</c:v>
                </c:pt>
                <c:pt idx="43">
                  <c:v>19.999999999999975</c:v>
                </c:pt>
                <c:pt idx="44">
                  <c:v>17.333333333333361</c:v>
                </c:pt>
                <c:pt idx="45">
                  <c:v>14</c:v>
                </c:pt>
                <c:pt idx="46">
                  <c:v>14</c:v>
                </c:pt>
                <c:pt idx="47">
                  <c:v>14.666666666666655</c:v>
                </c:pt>
                <c:pt idx="48">
                  <c:v>14</c:v>
                </c:pt>
                <c:pt idx="49">
                  <c:v>15.333333333333307</c:v>
                </c:pt>
                <c:pt idx="50">
                  <c:v>14</c:v>
                </c:pt>
                <c:pt idx="51">
                  <c:v>14.666666666666655</c:v>
                </c:pt>
                <c:pt idx="52">
                  <c:v>15.999999999999961</c:v>
                </c:pt>
                <c:pt idx="53">
                  <c:v>12.000000000000041</c:v>
                </c:pt>
                <c:pt idx="54">
                  <c:v>12.000000000000041</c:v>
                </c:pt>
                <c:pt idx="55">
                  <c:v>11.333333333333293</c:v>
                </c:pt>
                <c:pt idx="56">
                  <c:v>12.000000000000041</c:v>
                </c:pt>
                <c:pt idx="57">
                  <c:v>14</c:v>
                </c:pt>
                <c:pt idx="58">
                  <c:v>16.666666666666707</c:v>
                </c:pt>
                <c:pt idx="59">
                  <c:v>12.666666666666694</c:v>
                </c:pt>
                <c:pt idx="60">
                  <c:v>13.333333333333346</c:v>
                </c:pt>
                <c:pt idx="61">
                  <c:v>14</c:v>
                </c:pt>
                <c:pt idx="62">
                  <c:v>14</c:v>
                </c:pt>
                <c:pt idx="63">
                  <c:v>13.626666666666667</c:v>
                </c:pt>
                <c:pt idx="64">
                  <c:v>14.373333333333335</c:v>
                </c:pt>
                <c:pt idx="65">
                  <c:v>14.466666666666669</c:v>
                </c:pt>
                <c:pt idx="66">
                  <c:v>14.373333333333335</c:v>
                </c:pt>
                <c:pt idx="67">
                  <c:v>15.026666666666669</c:v>
                </c:pt>
                <c:pt idx="68">
                  <c:v>15.96</c:v>
                </c:pt>
                <c:pt idx="69">
                  <c:v>16.893333333333334</c:v>
                </c:pt>
                <c:pt idx="70">
                  <c:v>15.493333333333334</c:v>
                </c:pt>
                <c:pt idx="71">
                  <c:v>14.933333333333335</c:v>
                </c:pt>
                <c:pt idx="72">
                  <c:v>15.773333333333333</c:v>
                </c:pt>
                <c:pt idx="73">
                  <c:v>15.773333333333333</c:v>
                </c:pt>
                <c:pt idx="74">
                  <c:v>14.746666666666668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'Flour (All)'!$F$6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(All)'!$F$7:$F$107</c:f>
              <c:numCache>
                <c:formatCode>0.0000</c:formatCode>
                <c:ptCount val="101"/>
                <c:pt idx="57" formatCode="_(* #,##0.0000_);_(* \(#,##0.0000\);_(* &quot;-&quot;??_);_(@_)">
                  <c:v>11.981566820276502</c:v>
                </c:pt>
                <c:pt idx="62" formatCode="_(* #,##0.0000_);_(* \(#,##0.0000\);_(* &quot;-&quot;??_);_(@_)">
                  <c:v>9.6000000000000103</c:v>
                </c:pt>
                <c:pt idx="65">
                  <c:v>18.408941485864563</c:v>
                </c:pt>
                <c:pt idx="66">
                  <c:v>18.46153846153846</c:v>
                </c:pt>
                <c:pt idx="67" formatCode="_(* #,##0.0000_);_(* \(#,##0.0000\);_(* &quot;-&quot;??_);_(@_)">
                  <c:v>7.9999999999999964</c:v>
                </c:pt>
                <c:pt idx="68" formatCode="_(* #,##0.0000_);_(* \(#,##0.0000\);_(* &quot;-&quot;??_);_(@_)">
                  <c:v>14</c:v>
                </c:pt>
                <c:pt idx="69" formatCode="_(* #,##0.0000_);_(* \(#,##0.0000\);_(* &quot;-&quot;??_);_(@_)">
                  <c:v>15.999999999999993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'Flour (All)'!$G$6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(All)'!$G$7:$G$107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"/>
          <c:order val="4"/>
          <c:tx>
            <c:strRef>
              <c:f>'Flour (All)'!$H$6</c:f>
              <c:strCache>
                <c:ptCount val="1"/>
                <c:pt idx="0">
                  <c:v>Baghdad,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(All)'!$H$7:$H$107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"/>
          <c:order val="5"/>
          <c:tx>
            <c:strRef>
              <c:f>'Flour (All)'!$I$6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(All)'!$I$7:$I$107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"/>
          <c:order val="6"/>
          <c:tx>
            <c:strRef>
              <c:f>'Flour (All)'!$J$6</c:f>
              <c:strCache>
                <c:ptCount val="1"/>
                <c:pt idx="0">
                  <c:v>Basrah,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(All)'!$J$7:$J$107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"/>
          <c:order val="7"/>
          <c:tx>
            <c:strRef>
              <c:f>'Flour (All)'!$K$6</c:f>
              <c:strCache>
                <c:ptCount val="1"/>
                <c:pt idx="0">
                  <c:v>Basrah,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(All)'!$K$7:$K$107</c:f>
              <c:numCache>
                <c:formatCode>0.0000</c:formatCode>
                <c:ptCount val="101"/>
                <c:pt idx="21">
                  <c:v>17.111111111111089</c:v>
                </c:pt>
                <c:pt idx="22">
                  <c:v>14</c:v>
                </c:pt>
                <c:pt idx="23">
                  <c:v>12.444444444444432</c:v>
                </c:pt>
                <c:pt idx="24">
                  <c:v>11.666666666666659</c:v>
                </c:pt>
                <c:pt idx="25">
                  <c:v>12.444444444444432</c:v>
                </c:pt>
                <c:pt idx="26">
                  <c:v>14</c:v>
                </c:pt>
                <c:pt idx="28">
                  <c:v>14</c:v>
                </c:pt>
                <c:pt idx="29">
                  <c:v>18.666666666666657</c:v>
                </c:pt>
                <c:pt idx="33">
                  <c:v>18.666666666666657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'Flour (All)'!$L$6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(All)'!$L$7:$L$107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"/>
          <c:order val="9"/>
          <c:tx>
            <c:strRef>
              <c:f>'Flour (All)'!$M$6</c:f>
              <c:strCache>
                <c:ptCount val="1"/>
                <c:pt idx="0">
                  <c:v>Mosul,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(All)'!$M$7:$M$107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9"/>
          <c:order val="10"/>
          <c:tx>
            <c:strRef>
              <c:f>'Flour (All)'!$N$6</c:f>
              <c:strCache>
                <c:ptCount val="1"/>
                <c:pt idx="0">
                  <c:v>Mosul,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(All)'!$N$7:$N$107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21"/>
          <c:order val="11"/>
          <c:tx>
            <c:strRef>
              <c:f>'Flour (All)'!$S$6</c:f>
              <c:strCache>
                <c:ptCount val="1"/>
                <c:pt idx="0">
                  <c:v>Jaffa,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(All)'!$S$7:$S$107</c:f>
              <c:numCache>
                <c:formatCode>0.0000</c:formatCode>
                <c:ptCount val="101"/>
                <c:pt idx="39">
                  <c:v>15.235016835016832</c:v>
                </c:pt>
                <c:pt idx="46">
                  <c:v>10.805518080000001</c:v>
                </c:pt>
                <c:pt idx="47">
                  <c:v>10.181819200000001</c:v>
                </c:pt>
                <c:pt idx="48">
                  <c:v>12.727272319999999</c:v>
                </c:pt>
                <c:pt idx="49">
                  <c:v>12.74710752</c:v>
                </c:pt>
                <c:pt idx="50">
                  <c:v>12.012257600000002</c:v>
                </c:pt>
                <c:pt idx="51">
                  <c:v>12.969696320000001</c:v>
                </c:pt>
                <c:pt idx="52">
                  <c:v>15.272727680000003</c:v>
                </c:pt>
                <c:pt idx="53">
                  <c:v>14.157575040000001</c:v>
                </c:pt>
                <c:pt idx="54">
                  <c:v>12.231405759999999</c:v>
                </c:pt>
                <c:pt idx="55">
                  <c:v>9.4592377600000006</c:v>
                </c:pt>
                <c:pt idx="56">
                  <c:v>10.188839360000001</c:v>
                </c:pt>
                <c:pt idx="57">
                  <c:v>10.853819200000002</c:v>
                </c:pt>
                <c:pt idx="58">
                  <c:v>12.218180800000003</c:v>
                </c:pt>
                <c:pt idx="59">
                  <c:v>10.181819200000001</c:v>
                </c:pt>
                <c:pt idx="60">
                  <c:v>10.95390016</c:v>
                </c:pt>
                <c:pt idx="61">
                  <c:v>9.7359651200000012</c:v>
                </c:pt>
                <c:pt idx="62">
                  <c:v>9.2818499200000009</c:v>
                </c:pt>
                <c:pt idx="63">
                  <c:v>9.1014022400000005</c:v>
                </c:pt>
                <c:pt idx="64">
                  <c:v>9.766106559999999</c:v>
                </c:pt>
                <c:pt idx="65">
                  <c:v>9.6218192000000009</c:v>
                </c:pt>
                <c:pt idx="66">
                  <c:v>9.9751881600000001</c:v>
                </c:pt>
                <c:pt idx="67">
                  <c:v>10.592184960000001</c:v>
                </c:pt>
                <c:pt idx="68">
                  <c:v>11.93379264</c:v>
                </c:pt>
                <c:pt idx="69">
                  <c:v>13.713624960000001</c:v>
                </c:pt>
                <c:pt idx="70">
                  <c:v>11.252613120000001</c:v>
                </c:pt>
                <c:pt idx="71">
                  <c:v>11.200044800000002</c:v>
                </c:pt>
                <c:pt idx="72">
                  <c:v>13.032727680000002</c:v>
                </c:pt>
                <c:pt idx="73">
                  <c:v>13.169912000000002</c:v>
                </c:pt>
              </c:numCache>
            </c:numRef>
          </c:val>
          <c:smooth val="0"/>
        </c:ser>
        <c:ser>
          <c:idx val="23"/>
          <c:order val="12"/>
          <c:tx>
            <c:strRef>
              <c:f>'Flour (All)'!$T$6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(All)'!$T$7:$T$107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25"/>
          <c:order val="13"/>
          <c:tx>
            <c:strRef>
              <c:f>'Flour (All)'!$U$6</c:f>
              <c:strCache>
                <c:ptCount val="1"/>
                <c:pt idx="0">
                  <c:v>Palestine,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(All)'!$U$7:$U$107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29"/>
          <c:order val="14"/>
          <c:tx>
            <c:strRef>
              <c:f>'Flour (All)'!$W$6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(All)'!$W$7:$W$107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1"/>
          <c:order val="15"/>
          <c:tx>
            <c:strRef>
              <c:f>'Flour (All)'!$X$6</c:f>
              <c:strCache>
                <c:ptCount val="1"/>
                <c:pt idx="0">
                  <c:v>Damascus,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(All)'!$X$7:$X$107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3"/>
          <c:order val="16"/>
          <c:tx>
            <c:strRef>
              <c:f>'Flour (All)'!$Y$6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(All)'!$Y$7:$Y$107</c:f>
              <c:numCache>
                <c:formatCode>0.0000</c:formatCode>
                <c:ptCount val="101"/>
                <c:pt idx="55">
                  <c:v>12.444444444444445</c:v>
                </c:pt>
                <c:pt idx="56">
                  <c:v>12.444444444444445</c:v>
                </c:pt>
                <c:pt idx="57">
                  <c:v>13.481481481481481</c:v>
                </c:pt>
                <c:pt idx="58">
                  <c:v>6.9091399999999989</c:v>
                </c:pt>
                <c:pt idx="59">
                  <c:v>11.039921143420404</c:v>
                </c:pt>
                <c:pt idx="60">
                  <c:v>10.160499999999999</c:v>
                </c:pt>
                <c:pt idx="61">
                  <c:v>10.7532</c:v>
                </c:pt>
              </c:numCache>
            </c:numRef>
          </c:val>
          <c:smooth val="0"/>
        </c:ser>
        <c:ser>
          <c:idx val="35"/>
          <c:order val="17"/>
          <c:tx>
            <c:strRef>
              <c:f>'Flour (All)'!$Z$6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(All)'!$Z$7:$Z$107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7"/>
          <c:order val="18"/>
          <c:tx>
            <c:strRef>
              <c:f>'Flour (All)'!$AA$6</c:f>
              <c:strCache>
                <c:ptCount val="1"/>
                <c:pt idx="0">
                  <c:v>Beirut,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(All)'!$AA$7:$AA$107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8"/>
          <c:order val="19"/>
          <c:tx>
            <c:strRef>
              <c:f>'Flour (All)'!$AC$6</c:f>
              <c:strCache>
                <c:ptCount val="1"/>
                <c:pt idx="0">
                  <c:v>Istanbul (Rumeli), , in pound/ton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(All)'!$AC$7:$AC$107</c:f>
              <c:numCache>
                <c:formatCode>0.0000</c:formatCode>
                <c:ptCount val="101"/>
                <c:pt idx="47" formatCode="_(* #,##0.0000_);_(* \(#,##0.0000\);_(* &quot;-&quot;??_);_(@_)">
                  <c:v>8.2758620689655178</c:v>
                </c:pt>
                <c:pt idx="49" formatCode="_(* #,##0.0000_);_(* \(#,##0.0000\);_(* &quot;-&quot;??_);_(@_)">
                  <c:v>7.8601398601398609</c:v>
                </c:pt>
                <c:pt idx="50" formatCode="_(* #,##0.0000_);_(* \(#,##0.0000\);_(* &quot;-&quot;??_);_(@_)">
                  <c:v>9.6223776223776234</c:v>
                </c:pt>
                <c:pt idx="52" formatCode="_(* #,##0.0000_);_(* \(#,##0.0000\);_(* &quot;-&quot;??_);_(@_)">
                  <c:v>9.6794521698945513</c:v>
                </c:pt>
                <c:pt idx="53" formatCode="_(* #,##0.0000_);_(* \(#,##0.0000\);_(* &quot;-&quot;??_);_(@_)">
                  <c:v>7.6439801162692733</c:v>
                </c:pt>
                <c:pt idx="54" formatCode="_(* #,##0.0000_);_(* \(#,##0.0000\);_(* &quot;-&quot;??_);_(@_)">
                  <c:v>5.4871794871794872</c:v>
                </c:pt>
                <c:pt idx="55" formatCode="_(* #,##0.0000_);_(* \(#,##0.0000\);_(* &quot;-&quot;??_);_(@_)">
                  <c:v>5.8668192565845514</c:v>
                </c:pt>
                <c:pt idx="56" formatCode="_(* #,##0.0000_);_(* \(#,##0.0000\);_(* &quot;-&quot;??_);_(@_)">
                  <c:v>6.1806227637509048</c:v>
                </c:pt>
                <c:pt idx="57" formatCode="_(* #,##0.0000_);_(* \(#,##0.0000\);_(* &quot;-&quot;??_);_(@_)">
                  <c:v>8.4163514776975159</c:v>
                </c:pt>
              </c:numCache>
            </c:numRef>
          </c:val>
          <c:smooth val="0"/>
        </c:ser>
        <c:ser>
          <c:idx val="40"/>
          <c:order val="20"/>
          <c:tx>
            <c:strRef>
              <c:f>'Flour (All)'!$AD$6</c:f>
              <c:strCache>
                <c:ptCount val="1"/>
                <c:pt idx="0">
                  <c:v>Istanbul (Rumeli),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(All)'!$AD$7:$AD$107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2"/>
          <c:order val="21"/>
          <c:tx>
            <c:strRef>
              <c:f>'Flour (All)'!$AE$6</c:f>
              <c:strCache>
                <c:ptCount val="1"/>
                <c:pt idx="0">
                  <c:v>Istanbul (Rumeli),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(All)'!$AE$7:$AE$107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3"/>
          <c:order val="22"/>
          <c:tx>
            <c:strRef>
              <c:f>'Flour (All)'!$AF$6</c:f>
              <c:strCache>
                <c:ptCount val="1"/>
                <c:pt idx="0">
                  <c:v>Istanbul (Anatolia), 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(All)'!$AF$7:$AF$107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5"/>
          <c:order val="23"/>
          <c:tx>
            <c:strRef>
              <c:f>'Flour (All)'!$AG$6</c:f>
              <c:strCache>
                <c:ptCount val="1"/>
                <c:pt idx="0">
                  <c:v>Istanbul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(All)'!$AG$7:$AG$107</c:f>
              <c:numCache>
                <c:formatCode>0.0000</c:formatCode>
                <c:ptCount val="101"/>
                <c:pt idx="47">
                  <c:v>9.7612732095490724</c:v>
                </c:pt>
                <c:pt idx="50">
                  <c:v>9.8461538461538467</c:v>
                </c:pt>
                <c:pt idx="52">
                  <c:v>7.4478006973910844</c:v>
                </c:pt>
                <c:pt idx="53">
                  <c:v>7.2794675204313766</c:v>
                </c:pt>
                <c:pt idx="54">
                  <c:v>4.9107692307692314</c:v>
                </c:pt>
                <c:pt idx="55">
                  <c:v>5.1385970277851776</c:v>
                </c:pt>
                <c:pt idx="56">
                  <c:v>5.4245121874224305</c:v>
                </c:pt>
                <c:pt idx="57">
                  <c:v>8.5792486030723083</c:v>
                </c:pt>
                <c:pt idx="58">
                  <c:v>8.3597175771088814</c:v>
                </c:pt>
                <c:pt idx="59">
                  <c:v>7.742666325725394</c:v>
                </c:pt>
                <c:pt idx="60">
                  <c:v>7.0387875688412676</c:v>
                </c:pt>
                <c:pt idx="61">
                  <c:v>6.5084552715309743</c:v>
                </c:pt>
                <c:pt idx="62">
                  <c:v>6.432215127867301</c:v>
                </c:pt>
                <c:pt idx="64">
                  <c:v>6.660344542745233</c:v>
                </c:pt>
                <c:pt idx="66">
                  <c:v>6.6025624906103699</c:v>
                </c:pt>
                <c:pt idx="67">
                  <c:v>7.0015315850342263</c:v>
                </c:pt>
              </c:numCache>
            </c:numRef>
          </c:val>
          <c:smooth val="0"/>
        </c:ser>
        <c:ser>
          <c:idx val="47"/>
          <c:order val="24"/>
          <c:tx>
            <c:strRef>
              <c:f>'Flour (All)'!$AH$6</c:f>
              <c:strCache>
                <c:ptCount val="1"/>
                <c:pt idx="0">
                  <c:v>Istanbul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(All)'!$AH$7:$AH$107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9"/>
          <c:order val="25"/>
          <c:tx>
            <c:strRef>
              <c:f>'Flour (All)'!$AL$6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(All)'!$AL$7:$AL$107</c:f>
              <c:numCache>
                <c:formatCode>0.0000</c:formatCode>
                <c:ptCount val="101"/>
                <c:pt idx="70">
                  <c:v>9.5971948865916339</c:v>
                </c:pt>
                <c:pt idx="71">
                  <c:v>9.6973443931145429</c:v>
                </c:pt>
              </c:numCache>
            </c:numRef>
          </c:val>
          <c:smooth val="0"/>
        </c:ser>
        <c:ser>
          <c:idx val="51"/>
          <c:order val="26"/>
          <c:tx>
            <c:strRef>
              <c:f>'Flour (All)'!$AM$6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(All)'!$AM$7:$AM$107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53"/>
          <c:order val="27"/>
          <c:tx>
            <c:strRef>
              <c:f>'Flour (All)'!$AN$6</c:f>
              <c:strCache>
                <c:ptCount val="1"/>
                <c:pt idx="0">
                  <c:v>Turkey,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(All)'!$AN$7:$AN$107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55"/>
          <c:order val="28"/>
          <c:tx>
            <c:strRef>
              <c:f>'Flour (All)'!$AO$6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(All)'!$AO$7:$AO$107</c:f>
              <c:numCache>
                <c:formatCode>0.0000</c:formatCode>
                <c:ptCount val="101"/>
                <c:pt idx="49">
                  <c:v>11.072603163963485</c:v>
                </c:pt>
                <c:pt idx="50">
                  <c:v>13.714855640020089</c:v>
                </c:pt>
                <c:pt idx="52">
                  <c:v>10</c:v>
                </c:pt>
                <c:pt idx="56">
                  <c:v>16.345397943460849</c:v>
                </c:pt>
                <c:pt idx="58">
                  <c:v>13.754251700680289</c:v>
                </c:pt>
              </c:numCache>
            </c:numRef>
          </c:val>
          <c:smooth val="0"/>
        </c:ser>
        <c:ser>
          <c:idx val="57"/>
          <c:order val="29"/>
          <c:tx>
            <c:strRef>
              <c:f>'Flour (All)'!$AP$6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(All)'!$AP$7:$AP$107</c:f>
              <c:numCache>
                <c:formatCode>0.0000</c:formatCode>
                <c:ptCount val="101"/>
                <c:pt idx="49">
                  <c:v>9.6475453698626517</c:v>
                </c:pt>
                <c:pt idx="50">
                  <c:v>10.903217981372604</c:v>
                </c:pt>
                <c:pt idx="67">
                  <c:v>4.1033434650455929</c:v>
                </c:pt>
              </c:numCache>
            </c:numRef>
          </c:val>
          <c:smooth val="0"/>
        </c:ser>
        <c:ser>
          <c:idx val="59"/>
          <c:order val="30"/>
          <c:tx>
            <c:strRef>
              <c:f>'Flour (All)'!$AQ$6</c:f>
              <c:strCache>
                <c:ptCount val="1"/>
                <c:pt idx="0">
                  <c:v>Constantinople,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(All)'!$AQ$7:$AQ$107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1"/>
          <c:order val="31"/>
          <c:tx>
            <c:strRef>
              <c:f>'Flour (All)'!$AR$6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(All)'!$AR$7:$AR$107</c:f>
              <c:numCache>
                <c:formatCode>0.0000</c:formatCode>
                <c:ptCount val="101"/>
                <c:pt idx="43">
                  <c:v>12.5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8.0019709288001977</c:v>
                </c:pt>
                <c:pt idx="48">
                  <c:v>8.0047770700636942</c:v>
                </c:pt>
                <c:pt idx="49">
                  <c:v>7.9993895925530287</c:v>
                </c:pt>
                <c:pt idx="50">
                  <c:v>7.1013329050907341</c:v>
                </c:pt>
                <c:pt idx="51">
                  <c:v>7.7952917093142275</c:v>
                </c:pt>
                <c:pt idx="52">
                  <c:v>8.6918467649633069</c:v>
                </c:pt>
                <c:pt idx="53">
                  <c:v>6.7858588584536497</c:v>
                </c:pt>
                <c:pt idx="54">
                  <c:v>7.2722790583014918</c:v>
                </c:pt>
                <c:pt idx="55">
                  <c:v>5.7287438722260289</c:v>
                </c:pt>
                <c:pt idx="56">
                  <c:v>5.9992475545522952</c:v>
                </c:pt>
                <c:pt idx="57">
                  <c:v>6.7248556465690879</c:v>
                </c:pt>
                <c:pt idx="58">
                  <c:v>8.146836061568532</c:v>
                </c:pt>
                <c:pt idx="59">
                  <c:v>7.2265730488792865</c:v>
                </c:pt>
                <c:pt idx="60">
                  <c:v>6.2217394256229213</c:v>
                </c:pt>
                <c:pt idx="61">
                  <c:v>6.361890126776796</c:v>
                </c:pt>
                <c:pt idx="62">
                  <c:v>6.0001507954459772</c:v>
                </c:pt>
                <c:pt idx="63">
                  <c:v>6.045316514832983</c:v>
                </c:pt>
                <c:pt idx="64">
                  <c:v>7.4933362949800086</c:v>
                </c:pt>
                <c:pt idx="65">
                  <c:v>7.5924219150025607</c:v>
                </c:pt>
                <c:pt idx="66">
                  <c:v>7.5457070122656784</c:v>
                </c:pt>
                <c:pt idx="67">
                  <c:v>8.1914123124676657</c:v>
                </c:pt>
                <c:pt idx="68">
                  <c:v>10.549022788095046</c:v>
                </c:pt>
                <c:pt idx="69">
                  <c:v>10.706521739130434</c:v>
                </c:pt>
              </c:numCache>
            </c:numRef>
          </c:val>
          <c:smooth val="0"/>
        </c:ser>
        <c:ser>
          <c:idx val="63"/>
          <c:order val="32"/>
          <c:tx>
            <c:strRef>
              <c:f>'Flour (All)'!$AS$6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(All)'!$AS$7:$AS$107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5"/>
          <c:order val="33"/>
          <c:tx>
            <c:strRef>
              <c:f>'Flour (All)'!$AT$6</c:f>
              <c:strCache>
                <c:ptCount val="1"/>
                <c:pt idx="0">
                  <c:v>Trebizond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(All)'!$AT$7:$AT$107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7"/>
          <c:order val="34"/>
          <c:tx>
            <c:strRef>
              <c:f>'Flour (All)'!$AU$6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(All)'!$AU$7:$AU$107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9"/>
          <c:order val="35"/>
          <c:tx>
            <c:strRef>
              <c:f>'Flour (All)'!$AV$6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(All)'!$AV$7:$AV$107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1"/>
          <c:order val="36"/>
          <c:tx>
            <c:strRef>
              <c:f>'Flour (All)'!$AW$6</c:f>
              <c:strCache>
                <c:ptCount val="1"/>
                <c:pt idx="0">
                  <c:v>Trebizond (Persia),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(All)'!$AW$7:$AW$107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3"/>
          <c:order val="37"/>
          <c:tx>
            <c:strRef>
              <c:f>'Flour (All)'!$AX$6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(All)'!$AX$7:$AX$107</c:f>
              <c:numCache>
                <c:formatCode>0.0000</c:formatCode>
                <c:ptCount val="101"/>
                <c:pt idx="37">
                  <c:v>22.238118569328801</c:v>
                </c:pt>
                <c:pt idx="38">
                  <c:v>21.042408998812199</c:v>
                </c:pt>
                <c:pt idx="39">
                  <c:v>24.729991333493402</c:v>
                </c:pt>
                <c:pt idx="40">
                  <c:v>13.86534222762654</c:v>
                </c:pt>
                <c:pt idx="41">
                  <c:v>13.90270219069814</c:v>
                </c:pt>
                <c:pt idx="42">
                  <c:v>14.76917547985134</c:v>
                </c:pt>
                <c:pt idx="43">
                  <c:v>14.77077398442318</c:v>
                </c:pt>
                <c:pt idx="44">
                  <c:v>17.231142927210939</c:v>
                </c:pt>
                <c:pt idx="49">
                  <c:v>14.767411282240822</c:v>
                </c:pt>
                <c:pt idx="50">
                  <c:v>14.769623421721041</c:v>
                </c:pt>
                <c:pt idx="51">
                  <c:v>14.7682677260142</c:v>
                </c:pt>
                <c:pt idx="52">
                  <c:v>14.769230769230759</c:v>
                </c:pt>
                <c:pt idx="53">
                  <c:v>14.7681432770896</c:v>
                </c:pt>
              </c:numCache>
            </c:numRef>
          </c:val>
          <c:smooth val="0"/>
        </c:ser>
        <c:ser>
          <c:idx val="75"/>
          <c:order val="38"/>
          <c:tx>
            <c:strRef>
              <c:f>'Flour (All)'!$AY$6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(All)'!$AY$7:$AY$107</c:f>
              <c:numCache>
                <c:formatCode>0.0000</c:formatCode>
                <c:ptCount val="101"/>
                <c:pt idx="25">
                  <c:v>5.7517564402810306</c:v>
                </c:pt>
                <c:pt idx="26">
                  <c:v>6.0210889570552144</c:v>
                </c:pt>
                <c:pt idx="27">
                  <c:v>5.2576956904133683</c:v>
                </c:pt>
                <c:pt idx="49" formatCode="_(* #,##0.0000_);_(* \(#,##0.0000\);_(* &quot;-&quot;??_);_(@_)">
                  <c:v>12.307692307692307</c:v>
                </c:pt>
                <c:pt idx="69" formatCode="_(* #,##0.0000_);_(* \(#,##0.0000\);_(* &quot;-&quot;??_);_(@_)">
                  <c:v>4.3719575847480909</c:v>
                </c:pt>
              </c:numCache>
            </c:numRef>
          </c:val>
          <c:smooth val="0"/>
        </c:ser>
        <c:ser>
          <c:idx val="77"/>
          <c:order val="39"/>
          <c:tx>
            <c:strRef>
              <c:f>'Flour (All)'!$AZ$6</c:f>
              <c:strCache>
                <c:ptCount val="1"/>
                <c:pt idx="0">
                  <c:v>Izmir,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(All)'!$AZ$7:$AZ$107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9"/>
          <c:order val="40"/>
          <c:tx>
            <c:strRef>
              <c:f>'Flour (All)'!$BA$6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(All)'!$BA$7:$BA$107</c:f>
              <c:numCache>
                <c:formatCode>0.0000</c:formatCode>
                <c:ptCount val="101"/>
                <c:pt idx="38">
                  <c:v>26.56084656084656</c:v>
                </c:pt>
                <c:pt idx="39">
                  <c:v>21.448275862068968</c:v>
                </c:pt>
                <c:pt idx="40">
                  <c:v>21.431372549019606</c:v>
                </c:pt>
                <c:pt idx="41">
                  <c:v>21.56451612903226</c:v>
                </c:pt>
                <c:pt idx="42">
                  <c:v>21.932773109243698</c:v>
                </c:pt>
                <c:pt idx="43">
                  <c:v>21.833333333333336</c:v>
                </c:pt>
                <c:pt idx="47">
                  <c:v>19.570754716981131</c:v>
                </c:pt>
                <c:pt idx="48">
                  <c:v>20.2015503875969</c:v>
                </c:pt>
                <c:pt idx="49">
                  <c:v>22.246153846153849</c:v>
                </c:pt>
                <c:pt idx="50">
                  <c:v>14.454545454545441</c:v>
                </c:pt>
                <c:pt idx="51">
                  <c:v>22.280612244897934</c:v>
                </c:pt>
                <c:pt idx="52">
                  <c:v>22.883018867924505</c:v>
                </c:pt>
                <c:pt idx="53">
                  <c:v>20.802588996763735</c:v>
                </c:pt>
                <c:pt idx="54">
                  <c:v>21.868421052631557</c:v>
                </c:pt>
                <c:pt idx="55">
                  <c:v>20.322916666666647</c:v>
                </c:pt>
                <c:pt idx="56">
                  <c:v>41.872538860103582</c:v>
                </c:pt>
                <c:pt idx="57">
                  <c:v>24.150627615062739</c:v>
                </c:pt>
                <c:pt idx="58">
                  <c:v>21.221896383186689</c:v>
                </c:pt>
                <c:pt idx="59">
                  <c:v>17.263723150357979</c:v>
                </c:pt>
                <c:pt idx="60">
                  <c:v>19.309045226130635</c:v>
                </c:pt>
                <c:pt idx="61">
                  <c:v>17.159340659340639</c:v>
                </c:pt>
                <c:pt idx="62">
                  <c:v>17.082779991146509</c:v>
                </c:pt>
                <c:pt idx="63">
                  <c:v>18.706140350877174</c:v>
                </c:pt>
                <c:pt idx="64">
                  <c:v>38.261384335154794</c:v>
                </c:pt>
                <c:pt idx="65">
                  <c:v>39.03494347379236</c:v>
                </c:pt>
                <c:pt idx="66">
                  <c:v>40.158192090395445</c:v>
                </c:pt>
                <c:pt idx="67">
                  <c:v>41.713586291309625</c:v>
                </c:pt>
                <c:pt idx="68">
                  <c:v>41.028419182948447</c:v>
                </c:pt>
                <c:pt idx="69">
                  <c:v>56.554385964912235</c:v>
                </c:pt>
                <c:pt idx="70">
                  <c:v>35.046249999999972</c:v>
                </c:pt>
                <c:pt idx="71">
                  <c:v>32.30100755667506</c:v>
                </c:pt>
                <c:pt idx="72">
                  <c:v>30.1100826446281</c:v>
                </c:pt>
                <c:pt idx="73">
                  <c:v>28.538362068965519</c:v>
                </c:pt>
              </c:numCache>
            </c:numRef>
          </c:val>
          <c:smooth val="0"/>
        </c:ser>
        <c:ser>
          <c:idx val="81"/>
          <c:order val="41"/>
          <c:tx>
            <c:strRef>
              <c:f>'Flour (All)'!$BB$6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(All)'!$BB$7:$BB$107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3"/>
          <c:order val="42"/>
          <c:tx>
            <c:strRef>
              <c:f>'Flour (All)'!$BC$6</c:f>
              <c:strCache>
                <c:ptCount val="1"/>
                <c:pt idx="0">
                  <c:v>Alexandretta,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(All)'!$BC$7:$BC$107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5"/>
          <c:order val="43"/>
          <c:tx>
            <c:strRef>
              <c:f>'Flour (All)'!$BD$6</c:f>
              <c:strCache>
                <c:ptCount val="1"/>
                <c:pt idx="0">
                  <c:v>Ispahan,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(All)'!$BD$7:$BD$107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7"/>
          <c:order val="44"/>
          <c:tx>
            <c:strRef>
              <c:f>'Flour (All)'!$BE$6</c:f>
              <c:strCache>
                <c:ptCount val="1"/>
                <c:pt idx="0">
                  <c:v>Ispahan,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(All)'!$BE$7:$BE$107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9"/>
          <c:order val="45"/>
          <c:tx>
            <c:strRef>
              <c:f>'Flour (All)'!$BF$6</c:f>
              <c:strCache>
                <c:ptCount val="1"/>
                <c:pt idx="0">
                  <c:v>Ispahan,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(All)'!$BF$7:$BF$107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1"/>
          <c:order val="46"/>
          <c:tx>
            <c:strRef>
              <c:f>'Flour (All)'!$BG$6</c:f>
              <c:strCache>
                <c:ptCount val="1"/>
                <c:pt idx="0">
                  <c:v>Yezd,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(All)'!$BG$7:$BG$107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3"/>
          <c:order val="47"/>
          <c:tx>
            <c:strRef>
              <c:f>'Flour (All)'!$BH$6</c:f>
              <c:strCache>
                <c:ptCount val="1"/>
                <c:pt idx="0">
                  <c:v>Yezd,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(All)'!$BH$7:$BH$107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5"/>
          <c:order val="48"/>
          <c:tx>
            <c:strRef>
              <c:f>'Flour (All)'!$BI$6</c:f>
              <c:strCache>
                <c:ptCount val="1"/>
                <c:pt idx="0">
                  <c:v>Yezd,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(All)'!$BI$7:$BI$107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7"/>
          <c:order val="49"/>
          <c:tx>
            <c:strRef>
              <c:f>'Flour (All)'!$BJ$6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(All)'!$BJ$7:$BJ$107</c:f>
              <c:numCache>
                <c:formatCode>0.0000</c:formatCode>
                <c:ptCount val="101"/>
                <c:pt idx="62">
                  <c:v>16.148659146701469</c:v>
                </c:pt>
                <c:pt idx="63">
                  <c:v>13.15377063149511</c:v>
                </c:pt>
                <c:pt idx="64">
                  <c:v>9.5357962537943379</c:v>
                </c:pt>
                <c:pt idx="65">
                  <c:v>4.5517280744313506</c:v>
                </c:pt>
                <c:pt idx="66">
                  <c:v>15.873615277064093</c:v>
                </c:pt>
                <c:pt idx="67">
                  <c:v>1.6699828676662991</c:v>
                </c:pt>
                <c:pt idx="68">
                  <c:v>23.237188114711646</c:v>
                </c:pt>
                <c:pt idx="69">
                  <c:v>23.613902157799295</c:v>
                </c:pt>
                <c:pt idx="70">
                  <c:v>18.740331491712702</c:v>
                </c:pt>
                <c:pt idx="71">
                  <c:v>24.417935006170275</c:v>
                </c:pt>
                <c:pt idx="72">
                  <c:v>20.270588060190203</c:v>
                </c:pt>
              </c:numCache>
            </c:numRef>
          </c:val>
          <c:smooth val="0"/>
        </c:ser>
        <c:ser>
          <c:idx val="99"/>
          <c:order val="50"/>
          <c:tx>
            <c:strRef>
              <c:f>'Flour (All)'!$BK$6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(All)'!$BK$7:$BK$107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1"/>
          <c:order val="51"/>
          <c:tx>
            <c:strRef>
              <c:f>'Flour (All)'!$BL$6</c:f>
              <c:strCache>
                <c:ptCount val="1"/>
                <c:pt idx="0">
                  <c:v>Khorasan,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(All)'!$BL$7:$BL$107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3"/>
          <c:order val="52"/>
          <c:tx>
            <c:strRef>
              <c:f>'Flour (All)'!$BM$6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(All)'!$BM$7:$BM$107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5"/>
          <c:order val="53"/>
          <c:tx>
            <c:strRef>
              <c:f>'Flour (All)'!$BN$6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(All)'!$BN$7:$BN$107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7"/>
          <c:order val="54"/>
          <c:tx>
            <c:strRef>
              <c:f>'Flour (All)'!$BO$6</c:f>
              <c:strCache>
                <c:ptCount val="1"/>
                <c:pt idx="0">
                  <c:v>Kermanshah,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(All)'!$BO$7:$BO$107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9"/>
          <c:order val="55"/>
          <c:tx>
            <c:strRef>
              <c:f>'Flour (All)'!$BP$6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(All)'!$BP$7:$BP$107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1"/>
          <c:order val="56"/>
          <c:tx>
            <c:strRef>
              <c:f>'Flour (All)'!$BQ$6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(All)'!$BQ$7:$BQ$107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3"/>
          <c:order val="57"/>
          <c:tx>
            <c:strRef>
              <c:f>'Flour (All)'!$BR$6</c:f>
              <c:strCache>
                <c:ptCount val="1"/>
                <c:pt idx="0">
                  <c:v>Kerman,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(All)'!$BR$7:$BR$107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5"/>
          <c:order val="58"/>
          <c:tx>
            <c:strRef>
              <c:f>'Flour (All)'!$BS$6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(All)'!$BS$7:$BS$107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7"/>
          <c:order val="59"/>
          <c:tx>
            <c:strRef>
              <c:f>'Flour (All)'!$BT$6</c:f>
              <c:strCache>
                <c:ptCount val="1"/>
                <c:pt idx="0">
                  <c:v>Bam,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(All)'!$BT$7:$BT$107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9"/>
          <c:order val="60"/>
          <c:tx>
            <c:strRef>
              <c:f>'Flour (All)'!$BU$6</c:f>
              <c:strCache>
                <c:ptCount val="1"/>
                <c:pt idx="0">
                  <c:v>Bam,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(All)'!$BU$7:$BU$107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1"/>
          <c:order val="61"/>
          <c:tx>
            <c:strRef>
              <c:f>'Flour (All)'!$BV$6</c:f>
              <c:strCache>
                <c:ptCount val="1"/>
                <c:pt idx="0">
                  <c:v>Resht,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(All)'!$BV$7:$BV$107</c:f>
              <c:numCache>
                <c:formatCode>0.0000</c:formatCode>
                <c:ptCount val="101"/>
                <c:pt idx="51">
                  <c:v>7.1036553795174466</c:v>
                </c:pt>
                <c:pt idx="53">
                  <c:v>5.5699939038085216</c:v>
                </c:pt>
                <c:pt idx="55">
                  <c:v>5.5342908287106942</c:v>
                </c:pt>
                <c:pt idx="62">
                  <c:v>8.926314260115749</c:v>
                </c:pt>
              </c:numCache>
            </c:numRef>
          </c:val>
          <c:smooth val="0"/>
        </c:ser>
        <c:ser>
          <c:idx val="123"/>
          <c:order val="62"/>
          <c:tx>
            <c:strRef>
              <c:f>'Flour (All)'!$BW$6</c:f>
              <c:strCache>
                <c:ptCount val="1"/>
                <c:pt idx="0">
                  <c:v>Resht,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(All)'!$BW$7:$BW$107</c:f>
              <c:numCache>
                <c:formatCode>0.0000</c:formatCode>
                <c:ptCount val="101"/>
                <c:pt idx="33">
                  <c:v>5.8584615384615493</c:v>
                </c:pt>
                <c:pt idx="34">
                  <c:v>5.8609975470155424</c:v>
                </c:pt>
                <c:pt idx="35">
                  <c:v>6.7639215686274392</c:v>
                </c:pt>
                <c:pt idx="53">
                  <c:v>3.8986354775828547</c:v>
                </c:pt>
              </c:numCache>
            </c:numRef>
          </c:val>
          <c:smooth val="0"/>
        </c:ser>
        <c:ser>
          <c:idx val="125"/>
          <c:order val="63"/>
          <c:tx>
            <c:strRef>
              <c:f>'Flour (All)'!$BX$6</c:f>
              <c:strCache>
                <c:ptCount val="1"/>
                <c:pt idx="0">
                  <c:v>Resht,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(All)'!$BX$7:$BX$107</c:f>
              <c:numCache>
                <c:formatCode>0.0000</c:formatCode>
                <c:ptCount val="101"/>
                <c:pt idx="34">
                  <c:v>28.109803921568545</c:v>
                </c:pt>
                <c:pt idx="50">
                  <c:v>6.2222222222222276</c:v>
                </c:pt>
                <c:pt idx="51">
                  <c:v>7.6862745098039262</c:v>
                </c:pt>
                <c:pt idx="52">
                  <c:v>7.3202614379084956</c:v>
                </c:pt>
                <c:pt idx="57">
                  <c:v>12.865914042384638</c:v>
                </c:pt>
              </c:numCache>
            </c:numRef>
          </c:val>
          <c:smooth val="0"/>
        </c:ser>
        <c:ser>
          <c:idx val="127"/>
          <c:order val="64"/>
          <c:tx>
            <c:strRef>
              <c:f>'Flour (All)'!$BY$6</c:f>
              <c:strCache>
                <c:ptCount val="1"/>
                <c:pt idx="0">
                  <c:v>Mazandaran,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(All)'!$BY$7:$BY$107</c:f>
              <c:numCache>
                <c:formatCode>0.0000</c:formatCode>
                <c:ptCount val="101"/>
                <c:pt idx="66">
                  <c:v>7.6130976653220825</c:v>
                </c:pt>
                <c:pt idx="67">
                  <c:v>6.8857224214197883</c:v>
                </c:pt>
                <c:pt idx="68">
                  <c:v>13.247862101829041</c:v>
                </c:pt>
                <c:pt idx="69">
                  <c:v>13.083971883069159</c:v>
                </c:pt>
                <c:pt idx="70">
                  <c:v>12.386184911428899</c:v>
                </c:pt>
              </c:numCache>
            </c:numRef>
          </c:val>
          <c:smooth val="0"/>
        </c:ser>
        <c:ser>
          <c:idx val="129"/>
          <c:order val="65"/>
          <c:tx>
            <c:strRef>
              <c:f>'Flour (All)'!$BZ$6</c:f>
              <c:strCache>
                <c:ptCount val="1"/>
                <c:pt idx="0">
                  <c:v>Mazandaran,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(All)'!$BZ$7:$BZ$107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1"/>
          <c:order val="66"/>
          <c:tx>
            <c:strRef>
              <c:f>'Flour (All)'!$CA$6</c:f>
              <c:strCache>
                <c:ptCount val="1"/>
                <c:pt idx="0">
                  <c:v>Mazandaran,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(All)'!$CA$7:$CA$107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3"/>
          <c:order val="67"/>
          <c:tx>
            <c:strRef>
              <c:f>'Flour (All)'!$CB$6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(All)'!$CB$7:$CB$107</c:f>
              <c:numCache>
                <c:formatCode>0.0000</c:formatCode>
                <c:ptCount val="101"/>
                <c:pt idx="66">
                  <c:v>11.937507335936964</c:v>
                </c:pt>
                <c:pt idx="67">
                  <c:v>12.701492924866324</c:v>
                </c:pt>
                <c:pt idx="68">
                  <c:v>12.759556141928826</c:v>
                </c:pt>
                <c:pt idx="69">
                  <c:v>12.965640200352739</c:v>
                </c:pt>
                <c:pt idx="70">
                  <c:v>11.717630772687169</c:v>
                </c:pt>
              </c:numCache>
            </c:numRef>
          </c:val>
          <c:smooth val="0"/>
        </c:ser>
        <c:ser>
          <c:idx val="135"/>
          <c:order val="68"/>
          <c:tx>
            <c:strRef>
              <c:f>'Flour (All)'!$CC$6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(All)'!$CC$7:$CC$107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7"/>
          <c:order val="69"/>
          <c:tx>
            <c:strRef>
              <c:f>'Flour (All)'!$CD$6</c:f>
              <c:strCache>
                <c:ptCount val="1"/>
                <c:pt idx="0">
                  <c:v>Ghilan &amp; Tunekabun,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(All)'!$CD$7:$CD$107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9"/>
          <c:order val="70"/>
          <c:tx>
            <c:strRef>
              <c:f>'Flour (All)'!$CE$6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(All)'!$CE$7:$CE$107</c:f>
              <c:numCache>
                <c:formatCode>0.0000</c:formatCode>
                <c:ptCount val="101"/>
                <c:pt idx="66">
                  <c:v>12.538907566940027</c:v>
                </c:pt>
                <c:pt idx="67">
                  <c:v>12.641985460229776</c:v>
                </c:pt>
                <c:pt idx="68">
                  <c:v>12.663927347117378</c:v>
                </c:pt>
                <c:pt idx="69">
                  <c:v>12.318205042935837</c:v>
                </c:pt>
                <c:pt idx="70">
                  <c:v>12.221812219259732</c:v>
                </c:pt>
              </c:numCache>
            </c:numRef>
          </c:val>
          <c:smooth val="0"/>
        </c:ser>
        <c:ser>
          <c:idx val="141"/>
          <c:order val="71"/>
          <c:tx>
            <c:strRef>
              <c:f>'Flour (All)'!$CF$6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(All)'!$CF$7:$CF$107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3"/>
          <c:order val="72"/>
          <c:tx>
            <c:strRef>
              <c:f>'Flour (All)'!$CG$6</c:f>
              <c:strCache>
                <c:ptCount val="1"/>
                <c:pt idx="0">
                  <c:v>Bender Gez &amp; Astarabad,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(All)'!$CG$7:$CG$107</c:f>
              <c:numCache>
                <c:formatCode>0.0000</c:formatCode>
                <c:ptCount val="101"/>
                <c:pt idx="35">
                  <c:v>7.9999999999999964</c:v>
                </c:pt>
                <c:pt idx="36">
                  <c:v>5.0000000000000062</c:v>
                </c:pt>
              </c:numCache>
            </c:numRef>
          </c:val>
          <c:smooth val="0"/>
        </c:ser>
        <c:ser>
          <c:idx val="145"/>
          <c:order val="73"/>
          <c:tx>
            <c:strRef>
              <c:f>'Flour (All)'!$CH$6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(All)'!$CH$7:$CH$107</c:f>
              <c:numCache>
                <c:formatCode>0.0000</c:formatCode>
                <c:ptCount val="101"/>
                <c:pt idx="68">
                  <c:v>9.8181432660706083</c:v>
                </c:pt>
                <c:pt idx="69">
                  <c:v>9.987871097037031</c:v>
                </c:pt>
                <c:pt idx="70">
                  <c:v>6.768548842315008</c:v>
                </c:pt>
              </c:numCache>
            </c:numRef>
          </c:val>
          <c:smooth val="0"/>
        </c:ser>
        <c:ser>
          <c:idx val="147"/>
          <c:order val="74"/>
          <c:tx>
            <c:strRef>
              <c:f>'Flour (All)'!$CI$6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(All)'!$CI$7:$CI$107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9"/>
          <c:order val="75"/>
          <c:tx>
            <c:strRef>
              <c:f>'Flour (All)'!$CJ$6</c:f>
              <c:strCache>
                <c:ptCount val="1"/>
                <c:pt idx="0">
                  <c:v>Astara,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(All)'!$CJ$7:$CJ$107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1"/>
          <c:order val="76"/>
          <c:tx>
            <c:strRef>
              <c:f>'Flour (All)'!$CK$6</c:f>
              <c:strCache>
                <c:ptCount val="1"/>
                <c:pt idx="0">
                  <c:v>Sultanabad,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(All)'!$CK$7:$CK$107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3"/>
          <c:order val="77"/>
          <c:tx>
            <c:strRef>
              <c:f>'Flour (All)'!$CL$6</c:f>
              <c:strCache>
                <c:ptCount val="1"/>
                <c:pt idx="0">
                  <c:v>Sultanabad,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(All)'!$CL$7:$CL$107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5"/>
          <c:order val="78"/>
          <c:tx>
            <c:strRef>
              <c:f>'Flour (All)'!$CM$6</c:f>
              <c:strCache>
                <c:ptCount val="1"/>
                <c:pt idx="0">
                  <c:v>Sultanabad,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(All)'!$CM$7:$CM$107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6"/>
          <c:order val="79"/>
          <c:tx>
            <c:strRef>
              <c:f>'Flour (All)'!$CN$6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(All)'!$CN$7:$CN$107</c:f>
              <c:numCache>
                <c:formatCode>0.0000</c:formatCode>
                <c:ptCount val="101"/>
                <c:pt idx="65">
                  <c:v>10.668181818181814</c:v>
                </c:pt>
                <c:pt idx="66">
                  <c:v>11.333187613843387</c:v>
                </c:pt>
                <c:pt idx="67">
                  <c:v>10.667138309161693</c:v>
                </c:pt>
                <c:pt idx="68">
                  <c:v>10.666666666666639</c:v>
                </c:pt>
                <c:pt idx="72">
                  <c:v>9.1047297297297334</c:v>
                </c:pt>
                <c:pt idx="73">
                  <c:v>11.554666666666668</c:v>
                </c:pt>
                <c:pt idx="74">
                  <c:v>10.755120213713308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'Flour (All)'!$CO$6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(All)'!$CO$7:$CO$107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8"/>
          <c:order val="81"/>
          <c:tx>
            <c:strRef>
              <c:f>'Flour (All)'!$CP$6</c:f>
              <c:strCache>
                <c:ptCount val="1"/>
                <c:pt idx="0">
                  <c:v>Bahrain,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(All)'!$CP$7:$CP$107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0"/>
          <c:order val="82"/>
          <c:tx>
            <c:strRef>
              <c:f>'Flour (All)'!$CQ$6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(All)'!$CQ$7:$CQ$107</c:f>
              <c:numCache>
                <c:formatCode>0.0000</c:formatCode>
                <c:ptCount val="101"/>
                <c:pt idx="40">
                  <c:v>11.58154502512766</c:v>
                </c:pt>
                <c:pt idx="41">
                  <c:v>12.006792759686659</c:v>
                </c:pt>
                <c:pt idx="42">
                  <c:v>13.431347179977401</c:v>
                </c:pt>
                <c:pt idx="43">
                  <c:v>8.319700767027939</c:v>
                </c:pt>
                <c:pt idx="44">
                  <c:v>17.818149088245541</c:v>
                </c:pt>
                <c:pt idx="45">
                  <c:v>19.976537379421217</c:v>
                </c:pt>
                <c:pt idx="46">
                  <c:v>17.567375138114681</c:v>
                </c:pt>
                <c:pt idx="47">
                  <c:v>15.57108250878346</c:v>
                </c:pt>
                <c:pt idx="48">
                  <c:v>13.83289640122438</c:v>
                </c:pt>
                <c:pt idx="49">
                  <c:v>13.262250659364877</c:v>
                </c:pt>
                <c:pt idx="50">
                  <c:v>8.1294868081041809</c:v>
                </c:pt>
                <c:pt idx="51">
                  <c:v>6.8890864275108594</c:v>
                </c:pt>
                <c:pt idx="52">
                  <c:v>6.4452176638671794</c:v>
                </c:pt>
                <c:pt idx="53">
                  <c:v>7.4840964139999402</c:v>
                </c:pt>
                <c:pt idx="70">
                  <c:v>10.100129198966401</c:v>
                </c:pt>
                <c:pt idx="71">
                  <c:v>9.36170212765958</c:v>
                </c:pt>
              </c:numCache>
            </c:numRef>
          </c:val>
          <c:smooth val="0"/>
        </c:ser>
        <c:ser>
          <c:idx val="162"/>
          <c:order val="83"/>
          <c:tx>
            <c:strRef>
              <c:f>'Flour (All)'!$CR$6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(All)'!$CR$7:$CR$107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4"/>
          <c:order val="84"/>
          <c:tx>
            <c:strRef>
              <c:f>'Flour (All)'!$CS$6</c:f>
              <c:strCache>
                <c:ptCount val="1"/>
                <c:pt idx="0">
                  <c:v>Muscat, Bazaar (Local),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(All)'!$CS$7:$CS$107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6"/>
          <c:order val="85"/>
          <c:tx>
            <c:strRef>
              <c:f>'Flour (All)'!$CT$6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(All)'!$CT$7:$CT$107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8"/>
          <c:order val="86"/>
          <c:tx>
            <c:strRef>
              <c:f>'Flour (All)'!$CU$6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(All)'!$CU$7:$CU$107</c:f>
              <c:numCache>
                <c:formatCode>0.0000</c:formatCode>
                <c:ptCount val="101"/>
                <c:pt idx="56">
                  <c:v>6.7136150234741798</c:v>
                </c:pt>
                <c:pt idx="57">
                  <c:v>10</c:v>
                </c:pt>
                <c:pt idx="58">
                  <c:v>4.31924882629108</c:v>
                </c:pt>
                <c:pt idx="59">
                  <c:v>6.002886002886</c:v>
                </c:pt>
              </c:numCache>
            </c:numRef>
          </c:val>
          <c:smooth val="0"/>
        </c:ser>
        <c:ser>
          <c:idx val="170"/>
          <c:order val="87"/>
          <c:tx>
            <c:strRef>
              <c:f>'Flour (All)'!$CV$6</c:f>
              <c:strCache>
                <c:ptCount val="1"/>
                <c:pt idx="0">
                  <c:v>Mohammerah,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(All)'!$CV$7:$CV$107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2"/>
          <c:order val="88"/>
          <c:tx>
            <c:strRef>
              <c:f>'Flour (All)'!$CW$6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(All)'!$CW$7:$CW$107</c:f>
              <c:numCache>
                <c:formatCode>0.0000</c:formatCode>
                <c:ptCount val="101"/>
                <c:pt idx="56">
                  <c:v>11.76</c:v>
                </c:pt>
                <c:pt idx="57">
                  <c:v>12.48888888888888</c:v>
                </c:pt>
                <c:pt idx="58">
                  <c:v>6.25</c:v>
                </c:pt>
                <c:pt idx="59">
                  <c:v>6.6679999999999993</c:v>
                </c:pt>
                <c:pt idx="66">
                  <c:v>6.5257452574525798</c:v>
                </c:pt>
                <c:pt idx="67">
                  <c:v>8.1721249047981797</c:v>
                </c:pt>
                <c:pt idx="68">
                  <c:v>9.6456692913385798</c:v>
                </c:pt>
                <c:pt idx="69">
                  <c:v>9.6578387782718007</c:v>
                </c:pt>
                <c:pt idx="70">
                  <c:v>9.8698481561822202</c:v>
                </c:pt>
                <c:pt idx="71">
                  <c:v>13.978102189781021</c:v>
                </c:pt>
                <c:pt idx="72">
                  <c:v>10.807291666666661</c:v>
                </c:pt>
              </c:numCache>
            </c:numRef>
          </c:val>
          <c:smooth val="0"/>
        </c:ser>
        <c:ser>
          <c:idx val="174"/>
          <c:order val="89"/>
          <c:tx>
            <c:strRef>
              <c:f>'Flour (All)'!$CX$6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(All)'!$CX$7:$CX$107</c:f>
              <c:numCache>
                <c:formatCode>0.0000</c:formatCode>
                <c:ptCount val="101"/>
                <c:pt idx="66">
                  <c:v>12.67857142857142</c:v>
                </c:pt>
                <c:pt idx="67">
                  <c:v>11.9753086419753</c:v>
                </c:pt>
                <c:pt idx="68">
                  <c:v>11.9108280254777</c:v>
                </c:pt>
                <c:pt idx="69">
                  <c:v>14.60292374555512</c:v>
                </c:pt>
                <c:pt idx="70">
                  <c:v>16.565164433617539</c:v>
                </c:pt>
                <c:pt idx="71">
                  <c:v>12.658772874058119</c:v>
                </c:pt>
                <c:pt idx="72">
                  <c:v>11.358361774744019</c:v>
                </c:pt>
              </c:numCache>
            </c:numRef>
          </c:val>
          <c:smooth val="0"/>
        </c:ser>
        <c:ser>
          <c:idx val="176"/>
          <c:order val="90"/>
          <c:tx>
            <c:strRef>
              <c:f>'Flour (All)'!$CY$6</c:f>
              <c:strCache>
                <c:ptCount val="1"/>
                <c:pt idx="0">
                  <c:v>Lingah,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(All)'!$CY$7:$CY$107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8"/>
          <c:order val="91"/>
          <c:tx>
            <c:strRef>
              <c:f>'Flour (All)'!$CZ$6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(All)'!$CZ$7:$CZ$107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180"/>
          <c:order val="92"/>
          <c:tx>
            <c:strRef>
              <c:f>'Flour (All)'!$DA$6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(All)'!$DA$7:$DA$107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182"/>
          <c:order val="93"/>
          <c:tx>
            <c:strRef>
              <c:f>'Flour (All)'!$DB$6</c:f>
              <c:strCache>
                <c:ptCount val="1"/>
                <c:pt idx="0">
                  <c:v>Shiraz,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(All)'!$DB$7:$DB$107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0"/>
          <c:order val="94"/>
          <c:tx>
            <c:strRef>
              <c:f>'Flour (All)'!$DC$6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(All)'!$DC$7:$DC$107</c:f>
              <c:numCache>
                <c:formatCode>General</c:formatCode>
                <c:ptCount val="101"/>
                <c:pt idx="55" formatCode="0.0000">
                  <c:v>4.1919776947698528</c:v>
                </c:pt>
                <c:pt idx="56" formatCode="0.0000">
                  <c:v>4.7230508999952123</c:v>
                </c:pt>
                <c:pt idx="57" formatCode="0.0000">
                  <c:v>6.3161004233642988</c:v>
                </c:pt>
                <c:pt idx="58" formatCode="0.0000">
                  <c:v>6.9109026175786701</c:v>
                </c:pt>
                <c:pt idx="59" formatCode="0.0000">
                  <c:v>7.0450051545520607</c:v>
                </c:pt>
                <c:pt idx="60" formatCode="0.0000">
                  <c:v>6.4211715217859329</c:v>
                </c:pt>
                <c:pt idx="61" formatCode="0.0000">
                  <c:v>6.5403778333022178</c:v>
                </c:pt>
                <c:pt idx="62" formatCode="0.0000">
                  <c:v>6.8288650053147517</c:v>
                </c:pt>
                <c:pt idx="63" formatCode="0.0000">
                  <c:v>6.8787404971154364</c:v>
                </c:pt>
                <c:pt idx="64" formatCode="0.0000">
                  <c:v>6.6798812122079498</c:v>
                </c:pt>
                <c:pt idx="65" formatCode="0.0000">
                  <c:v>6.7380679559432224</c:v>
                </c:pt>
                <c:pt idx="66" formatCode="0.0000">
                  <c:v>6.5921502200136928</c:v>
                </c:pt>
                <c:pt idx="67" formatCode="0.0000">
                  <c:v>7.1776721918233779</c:v>
                </c:pt>
                <c:pt idx="68" formatCode="0.0000">
                  <c:v>8.3761163387510695</c:v>
                </c:pt>
                <c:pt idx="69" formatCode="0.0000">
                  <c:v>8.6208024285013494</c:v>
                </c:pt>
                <c:pt idx="70" formatCode="0.0000">
                  <c:v>8.0629282420254906</c:v>
                </c:pt>
                <c:pt idx="71" formatCode="0.0000">
                  <c:v>8.7266719203352796</c:v>
                </c:pt>
                <c:pt idx="72" formatCode="0.0000">
                  <c:v>8.9123355340783341</c:v>
                </c:pt>
                <c:pt idx="73" formatCode="0.0000">
                  <c:v>9.4442518900418087</c:v>
                </c:pt>
                <c:pt idx="74" formatCode="0.0000">
                  <c:v>10.072020126764061</c:v>
                </c:pt>
                <c:pt idx="75" formatCode="0.0000">
                  <c:v>8.0447582504297461</c:v>
                </c:pt>
                <c:pt idx="76" formatCode="0.0000">
                  <c:v>9.4970528113799286</c:v>
                </c:pt>
                <c:pt idx="77" formatCode="0.0000">
                  <c:v>9.5813583296886886</c:v>
                </c:pt>
                <c:pt idx="78" formatCode="0.0000">
                  <c:v>11.727041048511877</c:v>
                </c:pt>
                <c:pt idx="79" formatCode="0.0000">
                  <c:v>12.592623103091459</c:v>
                </c:pt>
                <c:pt idx="80" formatCode="0.0000">
                  <c:v>18.448259799266868</c:v>
                </c:pt>
              </c:numCache>
            </c:numRef>
          </c:val>
          <c:smooth val="0"/>
        </c:ser>
        <c:ser>
          <c:idx val="3"/>
          <c:order val="95"/>
          <c:tx>
            <c:strRef>
              <c:f>'Flour (All)'!$DD$6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(All)'!$DD$7:$DD$107</c:f>
              <c:numCache>
                <c:formatCode>General</c:formatCode>
                <c:ptCount val="101"/>
                <c:pt idx="55" formatCode="0.0000">
                  <c:v>6.2620241338199847</c:v>
                </c:pt>
                <c:pt idx="56" formatCode="0.0000">
                  <c:v>7.2153046811323982</c:v>
                </c:pt>
                <c:pt idx="57" formatCode="0.0000">
                  <c:v>8.822356347547192</c:v>
                </c:pt>
                <c:pt idx="58" formatCode="0.0000">
                  <c:v>10.025843123984412</c:v>
                </c:pt>
                <c:pt idx="59" formatCode="0.0000">
                  <c:v>9.6959842498923337</c:v>
                </c:pt>
                <c:pt idx="60" formatCode="0.0000">
                  <c:v>9.1997763015913421</c:v>
                </c:pt>
                <c:pt idx="61" formatCode="0.0000">
                  <c:v>9.6061092277810616</c:v>
                </c:pt>
                <c:pt idx="62" formatCode="0.0000">
                  <c:v>9.3524242057854483</c:v>
                </c:pt>
                <c:pt idx="63" formatCode="0.0000">
                  <c:v>8.6427778636552901</c:v>
                </c:pt>
                <c:pt idx="64" formatCode="0.0000">
                  <c:v>8.7178284893549289</c:v>
                </c:pt>
                <c:pt idx="65" formatCode="0.0000">
                  <c:v>8.9470331896906927</c:v>
                </c:pt>
                <c:pt idx="66" formatCode="0.0000">
                  <c:v>9.466618319659732</c:v>
                </c:pt>
                <c:pt idx="67" formatCode="0.0000">
                  <c:v>9.5416525141057242</c:v>
                </c:pt>
                <c:pt idx="68" formatCode="0.0000">
                  <c:v>10.040140788307049</c:v>
                </c:pt>
                <c:pt idx="69" formatCode="0.0000">
                  <c:v>11.540624527684537</c:v>
                </c:pt>
                <c:pt idx="70" formatCode="0.0000">
                  <c:v>11.293315189949249</c:v>
                </c:pt>
                <c:pt idx="71" formatCode="0.0000">
                  <c:v>10.458600039501288</c:v>
                </c:pt>
                <c:pt idx="72" formatCode="0.0000">
                  <c:v>10.298618217796811</c:v>
                </c:pt>
                <c:pt idx="73" formatCode="0.0000">
                  <c:v>10.475692881134792</c:v>
                </c:pt>
                <c:pt idx="74" formatCode="0.0000">
                  <c:v>10.503014333430924</c:v>
                </c:pt>
                <c:pt idx="75" formatCode="0.0000">
                  <c:v>11.334953524471432</c:v>
                </c:pt>
                <c:pt idx="76" formatCode="0.0000">
                  <c:v>12.742394654695698</c:v>
                </c:pt>
                <c:pt idx="77" formatCode="0.0000">
                  <c:v>12.33375620046753</c:v>
                </c:pt>
                <c:pt idx="78" formatCode="0.0000">
                  <c:v>14.059883636444932</c:v>
                </c:pt>
                <c:pt idx="79" formatCode="0.0000">
                  <c:v>17.549669623278429</c:v>
                </c:pt>
                <c:pt idx="80" formatCode="0.0000">
                  <c:v>30.703441494999865</c:v>
                </c:pt>
              </c:numCache>
            </c:numRef>
          </c:val>
          <c:smooth val="0"/>
        </c:ser>
        <c:ser>
          <c:idx val="6"/>
          <c:order val="96"/>
          <c:tx>
            <c:strRef>
              <c:f>'Flour (All)'!$DE$6</c:f>
              <c:strCache>
                <c:ptCount val="1"/>
                <c:pt idx="0">
                  <c:v>India,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(All)'!$DE$7:$DE$107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8"/>
          <c:order val="97"/>
          <c:tx>
            <c:strRef>
              <c:f>'Flour (All)'!$E$6</c:f>
              <c:strCache>
                <c:ptCount val="1"/>
                <c:pt idx="0">
                  <c:v>US, Exports,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'Flour (All)'!$E$7:$E$107</c:f>
              <c:numCache>
                <c:formatCode>0.0000</c:formatCode>
                <c:ptCount val="101"/>
                <c:pt idx="0">
                  <c:v>12.563772889256773</c:v>
                </c:pt>
                <c:pt idx="1">
                  <c:v>12.023648073456974</c:v>
                </c:pt>
                <c:pt idx="2">
                  <c:v>13.503120394995653</c:v>
                </c:pt>
                <c:pt idx="3">
                  <c:v>10.497208376631388</c:v>
                </c:pt>
                <c:pt idx="4">
                  <c:v>11.037333192431188</c:v>
                </c:pt>
                <c:pt idx="5">
                  <c:v>10.614626814848748</c:v>
                </c:pt>
                <c:pt idx="6">
                  <c:v>11.953197010526521</c:v>
                </c:pt>
                <c:pt idx="7">
                  <c:v>13.996277835508549</c:v>
                </c:pt>
                <c:pt idx="8">
                  <c:v>14.606853714238708</c:v>
                </c:pt>
                <c:pt idx="9">
                  <c:v>12.563772889256773</c:v>
                </c:pt>
                <c:pt idx="10">
                  <c:v>12.023648073456974</c:v>
                </c:pt>
                <c:pt idx="11">
                  <c:v>11.225202693579002</c:v>
                </c:pt>
                <c:pt idx="12">
                  <c:v>9.9570835608315882</c:v>
                </c:pt>
                <c:pt idx="13">
                  <c:v>11.882745947596161</c:v>
                </c:pt>
                <c:pt idx="14">
                  <c:v>16.180260786351294</c:v>
                </c:pt>
                <c:pt idx="15">
                  <c:v>21.243343842283547</c:v>
                </c:pt>
                <c:pt idx="16">
                  <c:v>19.585395494654549</c:v>
                </c:pt>
                <c:pt idx="17">
                  <c:v>16.375175393792041</c:v>
                </c:pt>
                <c:pt idx="18">
                  <c:v>10.577052914619149</c:v>
                </c:pt>
                <c:pt idx="19">
                  <c:v>13.937568616399867</c:v>
                </c:pt>
                <c:pt idx="20">
                  <c:v>13.890601241112867</c:v>
                </c:pt>
                <c:pt idx="21">
                  <c:v>13.388050325542574</c:v>
                </c:pt>
                <c:pt idx="22">
                  <c:v>11.690026329141627</c:v>
                </c:pt>
                <c:pt idx="23">
                  <c:v>10.449594067800534</c:v>
                </c:pt>
                <c:pt idx="24">
                  <c:v>8.30881284896628</c:v>
                </c:pt>
                <c:pt idx="25">
                  <c:v>15.544320136288441</c:v>
                </c:pt>
                <c:pt idx="26">
                  <c:v>14.045211907134613</c:v>
                </c:pt>
                <c:pt idx="27">
                  <c:v>15.036696957819974</c:v>
                </c:pt>
                <c:pt idx="28">
                  <c:v>16.926073792563042</c:v>
                </c:pt>
                <c:pt idx="29">
                  <c:v>13.628642731424561</c:v>
                </c:pt>
                <c:pt idx="30">
                  <c:v>12.491932017136042</c:v>
                </c:pt>
                <c:pt idx="31">
                  <c:v>13.863154549780294</c:v>
                </c:pt>
                <c:pt idx="32">
                  <c:v>14.852805645679121</c:v>
                </c:pt>
                <c:pt idx="33">
                  <c:v>15.487265005645627</c:v>
                </c:pt>
                <c:pt idx="34">
                  <c:v>15.023646933062041</c:v>
                </c:pt>
                <c:pt idx="35">
                  <c:v>11.645783480634988</c:v>
                </c:pt>
                <c:pt idx="36">
                  <c:v>13.091892591194014</c:v>
                </c:pt>
                <c:pt idx="37">
                  <c:v>14.538374564011201</c:v>
                </c:pt>
                <c:pt idx="38">
                  <c:v>14.812429170355788</c:v>
                </c:pt>
                <c:pt idx="39">
                  <c:v>12.333632750350802</c:v>
                </c:pt>
                <c:pt idx="40">
                  <c:v>13.80371159683208</c:v>
                </c:pt>
                <c:pt idx="41">
                  <c:v>13.310554156319187</c:v>
                </c:pt>
                <c:pt idx="42">
                  <c:v>14.440119531970067</c:v>
                </c:pt>
                <c:pt idx="43">
                  <c:v>13.984535991686773</c:v>
                </c:pt>
                <c:pt idx="44">
                  <c:v>13.122684655171373</c:v>
                </c:pt>
                <c:pt idx="45">
                  <c:v>11.4999618390076</c:v>
                </c:pt>
                <c:pt idx="46">
                  <c:v>11.034984823666814</c:v>
                </c:pt>
                <c:pt idx="47">
                  <c:v>10.591143127205294</c:v>
                </c:pt>
                <c:pt idx="48">
                  <c:v>10.753180571945187</c:v>
                </c:pt>
                <c:pt idx="49">
                  <c:v>11.347317869325014</c:v>
                </c:pt>
                <c:pt idx="50">
                  <c:v>10.943398441857282</c:v>
                </c:pt>
                <c:pt idx="51">
                  <c:v>11.319137444152814</c:v>
                </c:pt>
                <c:pt idx="52">
                  <c:v>11.64790907116144</c:v>
                </c:pt>
                <c:pt idx="53">
                  <c:v>10.661594190135654</c:v>
                </c:pt>
                <c:pt idx="54">
                  <c:v>9.6517956214664142</c:v>
                </c:pt>
                <c:pt idx="55">
                  <c:v>7.9374864234930786</c:v>
                </c:pt>
                <c:pt idx="56">
                  <c:v>8.3601928010755557</c:v>
                </c:pt>
                <c:pt idx="57">
                  <c:v>9.017736055092735</c:v>
                </c:pt>
                <c:pt idx="58">
                  <c:v>10.591143127205294</c:v>
                </c:pt>
                <c:pt idx="59">
                  <c:v>9.4874098079621483</c:v>
                </c:pt>
                <c:pt idx="60">
                  <c:v>8.5010949269363785</c:v>
                </c:pt>
                <c:pt idx="61">
                  <c:v>8.7359318033710807</c:v>
                </c:pt>
                <c:pt idx="62">
                  <c:v>8.6889644280841463</c:v>
                </c:pt>
                <c:pt idx="63">
                  <c:v>8.7828991786580239</c:v>
                </c:pt>
                <c:pt idx="64">
                  <c:v>9.5108934956056022</c:v>
                </c:pt>
                <c:pt idx="65">
                  <c:v>10.685077877779108</c:v>
                </c:pt>
                <c:pt idx="66">
                  <c:v>9.9805672484750403</c:v>
                </c:pt>
                <c:pt idx="67">
                  <c:v>9.3699913697447865</c:v>
                </c:pt>
                <c:pt idx="68">
                  <c:v>10.825980003640014</c:v>
                </c:pt>
                <c:pt idx="69">
                  <c:v>11.413072194726722</c:v>
                </c:pt>
                <c:pt idx="70">
                  <c:v>12.375903388109053</c:v>
                </c:pt>
                <c:pt idx="71">
                  <c:v>11.46003957001372</c:v>
                </c:pt>
                <c:pt idx="72">
                  <c:v>10.872947378926922</c:v>
                </c:pt>
                <c:pt idx="73">
                  <c:v>10.961663255181522</c:v>
                </c:pt>
              </c:numCache>
            </c:numRef>
          </c:val>
          <c:smooth val="0"/>
        </c:ser>
        <c:ser>
          <c:idx val="10"/>
          <c:order val="98"/>
          <c:tx>
            <c:strRef>
              <c:f>'Flour (All)'!$R$6</c:f>
              <c:strCache>
                <c:ptCount val="1"/>
                <c:pt idx="0">
                  <c:v>Aleppo, 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'Flour (All)'!$R$7:$R$107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"/>
          <c:order val="99"/>
          <c:tx>
            <c:strRef>
              <c:f>'Flour (All)'!$AB$6</c:f>
              <c:strCache>
                <c:ptCount val="1"/>
                <c:pt idx="0">
                  <c:v>Alexandria,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'Flour (All)'!$AB$7:$AB$107</c:f>
              <c:numCache>
                <c:formatCode>0.0000</c:formatCode>
                <c:ptCount val="10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043184"/>
        <c:axId val="407043744"/>
      </c:lineChart>
      <c:catAx>
        <c:axId val="40704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043744"/>
        <c:crosses val="autoZero"/>
        <c:auto val="1"/>
        <c:lblAlgn val="ctr"/>
        <c:lblOffset val="100"/>
        <c:noMultiLvlLbl val="0"/>
      </c:catAx>
      <c:valAx>
        <c:axId val="407043744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0431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80540778341336"/>
          <c:y val="2.7022325866908663E-2"/>
          <c:w val="0.43879352068400734"/>
          <c:h val="0.8842728259616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Flour, UK, US &amp; Ottomon Empire, in pound/ton</a:t>
            </a:r>
          </a:p>
        </c:rich>
      </c:tx>
      <c:layout/>
      <c:overlay val="0"/>
      <c:spPr>
        <a:noFill/>
        <a:ln w="1587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'Flour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(Adjusted)'!$C$7:$C$107</c:f>
              <c:numCache>
                <c:formatCode>_(* #,##0.0000_);_(* \(#,##0.0000\);_(* "-"??_);_(@_)</c:formatCode>
                <c:ptCount val="101"/>
                <c:pt idx="14">
                  <c:v>21.777285373254696</c:v>
                </c:pt>
                <c:pt idx="15">
                  <c:v>24.199947065051148</c:v>
                </c:pt>
                <c:pt idx="16">
                  <c:v>20.542192891866708</c:v>
                </c:pt>
                <c:pt idx="17">
                  <c:v>18.03019813162372</c:v>
                </c:pt>
                <c:pt idx="18">
                  <c:v>16.543210324763642</c:v>
                </c:pt>
                <c:pt idx="19">
                  <c:v>14.375373311011815</c:v>
                </c:pt>
                <c:pt idx="20">
                  <c:v>16.98926904459503</c:v>
                </c:pt>
                <c:pt idx="21">
                  <c:v>16.075686119379043</c:v>
                </c:pt>
                <c:pt idx="22">
                  <c:v>14.949353506737067</c:v>
                </c:pt>
                <c:pt idx="23">
                  <c:v>13.500465704294148</c:v>
                </c:pt>
                <c:pt idx="24">
                  <c:v>12.552990199652468</c:v>
                </c:pt>
                <c:pt idx="25">
                  <c:v>13.44</c:v>
                </c:pt>
                <c:pt idx="26">
                  <c:v>15.270000000000014</c:v>
                </c:pt>
                <c:pt idx="27">
                  <c:v>19.589999999999989</c:v>
                </c:pt>
                <c:pt idx="28">
                  <c:v>18.30999999999996</c:v>
                </c:pt>
                <c:pt idx="29">
                  <c:v>14.039999999999962</c:v>
                </c:pt>
                <c:pt idx="30">
                  <c:v>14.090000000000027</c:v>
                </c:pt>
                <c:pt idx="31">
                  <c:v>17.590000000000028</c:v>
                </c:pt>
                <c:pt idx="32">
                  <c:v>18.630000000000013</c:v>
                </c:pt>
                <c:pt idx="33">
                  <c:v>18.830000000000002</c:v>
                </c:pt>
                <c:pt idx="34">
                  <c:v>18.23000000000004</c:v>
                </c:pt>
                <c:pt idx="35">
                  <c:v>15.869999999999974</c:v>
                </c:pt>
                <c:pt idx="36">
                  <c:v>15.910000000000029</c:v>
                </c:pt>
                <c:pt idx="37">
                  <c:v>18.459999999999976</c:v>
                </c:pt>
                <c:pt idx="38">
                  <c:v>17.329999999999963</c:v>
                </c:pt>
                <c:pt idx="39">
                  <c:v>15.850000000000041</c:v>
                </c:pt>
                <c:pt idx="40">
                  <c:v>16.489999999999959</c:v>
                </c:pt>
                <c:pt idx="41">
                  <c:v>16.209999999999962</c:v>
                </c:pt>
                <c:pt idx="42">
                  <c:v>16.330000000000027</c:v>
                </c:pt>
                <c:pt idx="43">
                  <c:v>15.120000000000003</c:v>
                </c:pt>
                <c:pt idx="44">
                  <c:v>13.470000000000041</c:v>
                </c:pt>
                <c:pt idx="45">
                  <c:v>12.190000000000015</c:v>
                </c:pt>
                <c:pt idx="46">
                  <c:v>11.200000000000001</c:v>
                </c:pt>
                <c:pt idx="47">
                  <c:v>11.099999999999961</c:v>
                </c:pt>
                <c:pt idx="48">
                  <c:v>11.270000000000001</c:v>
                </c:pt>
                <c:pt idx="49">
                  <c:v>11.650000000000039</c:v>
                </c:pt>
                <c:pt idx="50">
                  <c:v>11.510000000000041</c:v>
                </c:pt>
                <c:pt idx="51">
                  <c:v>12.18</c:v>
                </c:pt>
                <c:pt idx="52">
                  <c:v>11.099999999999961</c:v>
                </c:pt>
                <c:pt idx="53">
                  <c:v>9.5699999999999736</c:v>
                </c:pt>
                <c:pt idx="54">
                  <c:v>8.360000000000003</c:v>
                </c:pt>
                <c:pt idx="55">
                  <c:v>8.360000000000003</c:v>
                </c:pt>
                <c:pt idx="56">
                  <c:v>8.6600000000000019</c:v>
                </c:pt>
                <c:pt idx="57">
                  <c:v>10.279999999999989</c:v>
                </c:pt>
                <c:pt idx="58">
                  <c:v>10.99</c:v>
                </c:pt>
                <c:pt idx="59">
                  <c:v>9.33</c:v>
                </c:pt>
                <c:pt idx="60">
                  <c:v>9.379999999999999</c:v>
                </c:pt>
                <c:pt idx="61">
                  <c:v>9.1599999999999966</c:v>
                </c:pt>
                <c:pt idx="62">
                  <c:v>9.2099999999999991</c:v>
                </c:pt>
                <c:pt idx="63">
                  <c:v>9.4399999999999871</c:v>
                </c:pt>
                <c:pt idx="64">
                  <c:v>9.859999999999987</c:v>
                </c:pt>
                <c:pt idx="65">
                  <c:v>10.11000000000004</c:v>
                </c:pt>
                <c:pt idx="66">
                  <c:v>9.6100000000000279</c:v>
                </c:pt>
                <c:pt idx="67">
                  <c:v>10.069999999999986</c:v>
                </c:pt>
                <c:pt idx="68">
                  <c:v>10.909999999999988</c:v>
                </c:pt>
                <c:pt idx="69">
                  <c:v>11.529999999999973</c:v>
                </c:pt>
                <c:pt idx="70">
                  <c:v>11.070000000000014</c:v>
                </c:pt>
                <c:pt idx="71">
                  <c:v>10.489999999999988</c:v>
                </c:pt>
                <c:pt idx="72">
                  <c:v>10.829999999999973</c:v>
                </c:pt>
                <c:pt idx="73">
                  <c:v>10.600000000000041</c:v>
                </c:pt>
                <c:pt idx="74">
                  <c:v>11.02999999999996</c:v>
                </c:pt>
                <c:pt idx="75">
                  <c:v>15.859999999999962</c:v>
                </c:pt>
                <c:pt idx="76">
                  <c:v>17.209999999999987</c:v>
                </c:pt>
                <c:pt idx="77">
                  <c:v>25.759999999999998</c:v>
                </c:pt>
                <c:pt idx="78">
                  <c:v>27.069999999999975</c:v>
                </c:pt>
                <c:pt idx="79">
                  <c:v>29.05</c:v>
                </c:pt>
                <c:pt idx="80">
                  <c:v>35.500000000000014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'Flour (Adjusted)'!$D$6</c:f>
              <c:strCache>
                <c:ptCount val="1"/>
                <c:pt idx="0">
                  <c:v>UK, Retail,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(Adjusted)'!$D$7:$D$107</c:f>
              <c:numCache>
                <c:formatCode>_(* #,##0.0000_);_(* \(#,##0.0000\);_(* "-"??_);_(@_)</c:formatCode>
                <c:ptCount val="101"/>
                <c:pt idx="38">
                  <c:v>23.333333333333336</c:v>
                </c:pt>
                <c:pt idx="39">
                  <c:v>17.333333333333361</c:v>
                </c:pt>
                <c:pt idx="40">
                  <c:v>22.000000000000028</c:v>
                </c:pt>
                <c:pt idx="41">
                  <c:v>19.333333333333321</c:v>
                </c:pt>
                <c:pt idx="42">
                  <c:v>19.999999999999975</c:v>
                </c:pt>
                <c:pt idx="43">
                  <c:v>19.999999999999975</c:v>
                </c:pt>
                <c:pt idx="44">
                  <c:v>17.333333333333361</c:v>
                </c:pt>
                <c:pt idx="45">
                  <c:v>14</c:v>
                </c:pt>
                <c:pt idx="46">
                  <c:v>14</c:v>
                </c:pt>
                <c:pt idx="47">
                  <c:v>14.666666666666655</c:v>
                </c:pt>
                <c:pt idx="48">
                  <c:v>14</c:v>
                </c:pt>
                <c:pt idx="49">
                  <c:v>15.333333333333307</c:v>
                </c:pt>
                <c:pt idx="50">
                  <c:v>14</c:v>
                </c:pt>
                <c:pt idx="51">
                  <c:v>14.666666666666655</c:v>
                </c:pt>
                <c:pt idx="52">
                  <c:v>15.999999999999961</c:v>
                </c:pt>
                <c:pt idx="53">
                  <c:v>12.000000000000041</c:v>
                </c:pt>
                <c:pt idx="54">
                  <c:v>12.000000000000041</c:v>
                </c:pt>
                <c:pt idx="55">
                  <c:v>11.333333333333293</c:v>
                </c:pt>
                <c:pt idx="56">
                  <c:v>12.000000000000041</c:v>
                </c:pt>
                <c:pt idx="57">
                  <c:v>14</c:v>
                </c:pt>
                <c:pt idx="58">
                  <c:v>16.666666666666707</c:v>
                </c:pt>
                <c:pt idx="59">
                  <c:v>12.666666666666694</c:v>
                </c:pt>
                <c:pt idx="60">
                  <c:v>13.333333333333346</c:v>
                </c:pt>
                <c:pt idx="61">
                  <c:v>14</c:v>
                </c:pt>
                <c:pt idx="62">
                  <c:v>14</c:v>
                </c:pt>
                <c:pt idx="63">
                  <c:v>13.626666666666667</c:v>
                </c:pt>
                <c:pt idx="64">
                  <c:v>14.373333333333335</c:v>
                </c:pt>
                <c:pt idx="65">
                  <c:v>14.466666666666669</c:v>
                </c:pt>
                <c:pt idx="66">
                  <c:v>14.373333333333335</c:v>
                </c:pt>
                <c:pt idx="67">
                  <c:v>15.026666666666669</c:v>
                </c:pt>
                <c:pt idx="68">
                  <c:v>15.96</c:v>
                </c:pt>
                <c:pt idx="69">
                  <c:v>16.893333333333334</c:v>
                </c:pt>
                <c:pt idx="70">
                  <c:v>15.493333333333334</c:v>
                </c:pt>
                <c:pt idx="71">
                  <c:v>14.933333333333335</c:v>
                </c:pt>
                <c:pt idx="72">
                  <c:v>15.773333333333333</c:v>
                </c:pt>
                <c:pt idx="73">
                  <c:v>15.773333333333333</c:v>
                </c:pt>
                <c:pt idx="74">
                  <c:v>14.746666666666668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'Flour (Adjusted)'!$E$6</c:f>
              <c:strCache>
                <c:ptCount val="1"/>
                <c:pt idx="0">
                  <c:v>US,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(Adjusted)'!$E$7:$E$107</c:f>
              <c:numCache>
                <c:formatCode>0.0000</c:formatCode>
                <c:ptCount val="101"/>
                <c:pt idx="0">
                  <c:v>12.563772889256773</c:v>
                </c:pt>
                <c:pt idx="1">
                  <c:v>12.023648073456974</c:v>
                </c:pt>
                <c:pt idx="2">
                  <c:v>13.503120394995653</c:v>
                </c:pt>
                <c:pt idx="3">
                  <c:v>10.497208376631388</c:v>
                </c:pt>
                <c:pt idx="4">
                  <c:v>11.037333192431188</c:v>
                </c:pt>
                <c:pt idx="5">
                  <c:v>10.614626814848748</c:v>
                </c:pt>
                <c:pt idx="6">
                  <c:v>11.953197010526521</c:v>
                </c:pt>
                <c:pt idx="7">
                  <c:v>13.996277835508549</c:v>
                </c:pt>
                <c:pt idx="8">
                  <c:v>14.606853714238708</c:v>
                </c:pt>
                <c:pt idx="9">
                  <c:v>12.563772889256773</c:v>
                </c:pt>
                <c:pt idx="10">
                  <c:v>12.023648073456974</c:v>
                </c:pt>
                <c:pt idx="11">
                  <c:v>11.225202693579002</c:v>
                </c:pt>
                <c:pt idx="12">
                  <c:v>9.9570835608315882</c:v>
                </c:pt>
                <c:pt idx="13">
                  <c:v>11.882745947596161</c:v>
                </c:pt>
                <c:pt idx="14">
                  <c:v>16.180260786351294</c:v>
                </c:pt>
                <c:pt idx="15">
                  <c:v>21.243343842283547</c:v>
                </c:pt>
                <c:pt idx="16">
                  <c:v>19.585395494654549</c:v>
                </c:pt>
                <c:pt idx="17">
                  <c:v>16.375175393792041</c:v>
                </c:pt>
                <c:pt idx="18">
                  <c:v>10.577052914619149</c:v>
                </c:pt>
                <c:pt idx="19">
                  <c:v>13.937568616399867</c:v>
                </c:pt>
                <c:pt idx="20">
                  <c:v>13.890601241112867</c:v>
                </c:pt>
                <c:pt idx="21">
                  <c:v>13.388050325542574</c:v>
                </c:pt>
                <c:pt idx="22">
                  <c:v>11.690026329141627</c:v>
                </c:pt>
                <c:pt idx="23">
                  <c:v>10.449594067800534</c:v>
                </c:pt>
                <c:pt idx="24">
                  <c:v>8.30881284896628</c:v>
                </c:pt>
                <c:pt idx="25">
                  <c:v>15.544320136288441</c:v>
                </c:pt>
                <c:pt idx="26">
                  <c:v>14.045211907134613</c:v>
                </c:pt>
                <c:pt idx="27">
                  <c:v>15.036696957819974</c:v>
                </c:pt>
                <c:pt idx="28">
                  <c:v>16.926073792563042</c:v>
                </c:pt>
                <c:pt idx="29">
                  <c:v>13.628642731424561</c:v>
                </c:pt>
                <c:pt idx="30">
                  <c:v>12.491932017136042</c:v>
                </c:pt>
                <c:pt idx="31">
                  <c:v>13.863154549780294</c:v>
                </c:pt>
                <c:pt idx="32">
                  <c:v>14.852805645679121</c:v>
                </c:pt>
                <c:pt idx="33">
                  <c:v>15.487265005645627</c:v>
                </c:pt>
                <c:pt idx="34">
                  <c:v>15.023646933062041</c:v>
                </c:pt>
                <c:pt idx="35">
                  <c:v>11.645783480634988</c:v>
                </c:pt>
                <c:pt idx="36">
                  <c:v>13.091892591194014</c:v>
                </c:pt>
                <c:pt idx="37">
                  <c:v>14.538374564011201</c:v>
                </c:pt>
                <c:pt idx="38">
                  <c:v>14.812429170355788</c:v>
                </c:pt>
                <c:pt idx="39">
                  <c:v>12.333632750350802</c:v>
                </c:pt>
                <c:pt idx="40">
                  <c:v>13.80371159683208</c:v>
                </c:pt>
                <c:pt idx="41">
                  <c:v>13.310554156319187</c:v>
                </c:pt>
                <c:pt idx="42">
                  <c:v>14.440119531970067</c:v>
                </c:pt>
                <c:pt idx="43">
                  <c:v>13.984535991686773</c:v>
                </c:pt>
                <c:pt idx="44">
                  <c:v>13.122684655171373</c:v>
                </c:pt>
                <c:pt idx="45">
                  <c:v>11.4999618390076</c:v>
                </c:pt>
                <c:pt idx="46">
                  <c:v>11.034984823666814</c:v>
                </c:pt>
                <c:pt idx="47">
                  <c:v>10.591143127205294</c:v>
                </c:pt>
                <c:pt idx="48">
                  <c:v>10.753180571945187</c:v>
                </c:pt>
                <c:pt idx="49">
                  <c:v>11.347317869325014</c:v>
                </c:pt>
                <c:pt idx="50">
                  <c:v>10.943398441857282</c:v>
                </c:pt>
                <c:pt idx="51">
                  <c:v>11.319137444152814</c:v>
                </c:pt>
                <c:pt idx="52">
                  <c:v>11.64790907116144</c:v>
                </c:pt>
                <c:pt idx="53">
                  <c:v>10.661594190135654</c:v>
                </c:pt>
                <c:pt idx="54">
                  <c:v>9.6517956214664142</c:v>
                </c:pt>
                <c:pt idx="55">
                  <c:v>7.9374864234930786</c:v>
                </c:pt>
                <c:pt idx="56">
                  <c:v>8.3601928010755557</c:v>
                </c:pt>
                <c:pt idx="57">
                  <c:v>9.017736055092735</c:v>
                </c:pt>
                <c:pt idx="58">
                  <c:v>10.591143127205294</c:v>
                </c:pt>
                <c:pt idx="59">
                  <c:v>9.4874098079621483</c:v>
                </c:pt>
                <c:pt idx="60">
                  <c:v>8.5010949269363785</c:v>
                </c:pt>
                <c:pt idx="61">
                  <c:v>8.7359318033710807</c:v>
                </c:pt>
                <c:pt idx="62">
                  <c:v>8.6889644280841463</c:v>
                </c:pt>
                <c:pt idx="63">
                  <c:v>8.7828991786580239</c:v>
                </c:pt>
                <c:pt idx="64">
                  <c:v>9.5108934956056022</c:v>
                </c:pt>
                <c:pt idx="65">
                  <c:v>10.685077877779108</c:v>
                </c:pt>
                <c:pt idx="66">
                  <c:v>9.9805672484750403</c:v>
                </c:pt>
                <c:pt idx="67">
                  <c:v>9.3699913697447865</c:v>
                </c:pt>
                <c:pt idx="68">
                  <c:v>10.825980003640014</c:v>
                </c:pt>
                <c:pt idx="69">
                  <c:v>11.413072194726722</c:v>
                </c:pt>
                <c:pt idx="70">
                  <c:v>12.375903388109053</c:v>
                </c:pt>
                <c:pt idx="71">
                  <c:v>11.46003957001372</c:v>
                </c:pt>
                <c:pt idx="72">
                  <c:v>10.872947378926922</c:v>
                </c:pt>
                <c:pt idx="73">
                  <c:v>10.961663255181522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'Flour (Adjusted)'!$F$6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(Adjusted)'!$F$7:$F$107</c:f>
              <c:numCache>
                <c:formatCode>0.0000</c:formatCode>
                <c:ptCount val="101"/>
                <c:pt idx="57">
                  <c:v>11.981566820276502</c:v>
                </c:pt>
                <c:pt idx="62">
                  <c:v>9.6000000000000103</c:v>
                </c:pt>
                <c:pt idx="65">
                  <c:v>18.408941485864563</c:v>
                </c:pt>
                <c:pt idx="66">
                  <c:v>18.46153846153846</c:v>
                </c:pt>
                <c:pt idx="67">
                  <c:v>7.9999999999999964</c:v>
                </c:pt>
                <c:pt idx="68">
                  <c:v>14</c:v>
                </c:pt>
                <c:pt idx="69">
                  <c:v>15.999999999999993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'Flour (Adjusted)'!$H$6</c:f>
              <c:strCache>
                <c:ptCount val="1"/>
                <c:pt idx="0">
                  <c:v>Egypt,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(Adjusted)'!$H$7:$H$107</c:f>
              <c:numCache>
                <c:formatCode>0.0000</c:formatCode>
                <c:ptCount val="101"/>
                <c:pt idx="45">
                  <c:v>12.333075805202867</c:v>
                </c:pt>
                <c:pt idx="46">
                  <c:v>10.332462287057377</c:v>
                </c:pt>
                <c:pt idx="47">
                  <c:v>10.63051676560211</c:v>
                </c:pt>
                <c:pt idx="48">
                  <c:v>10.026041075123716</c:v>
                </c:pt>
                <c:pt idx="49">
                  <c:v>11.269857798387056</c:v>
                </c:pt>
                <c:pt idx="50">
                  <c:v>11.179588965474187</c:v>
                </c:pt>
                <c:pt idx="51">
                  <c:v>12.020850963297178</c:v>
                </c:pt>
                <c:pt idx="52">
                  <c:v>12.166657136079218</c:v>
                </c:pt>
                <c:pt idx="53">
                  <c:v>9.2588459361477522</c:v>
                </c:pt>
                <c:pt idx="54">
                  <c:v>6.7826977111871365</c:v>
                </c:pt>
                <c:pt idx="55">
                  <c:v>5.555666769477174</c:v>
                </c:pt>
                <c:pt idx="56">
                  <c:v>6.33732067769885</c:v>
                </c:pt>
                <c:pt idx="57">
                  <c:v>7.0931797921745225</c:v>
                </c:pt>
                <c:pt idx="58">
                  <c:v>9.2696740999568981</c:v>
                </c:pt>
                <c:pt idx="59">
                  <c:v>8.4916182397502684</c:v>
                </c:pt>
                <c:pt idx="60">
                  <c:v>8.0924366256441047</c:v>
                </c:pt>
                <c:pt idx="61">
                  <c:v>7.9781576023487473</c:v>
                </c:pt>
                <c:pt idx="62">
                  <c:v>7.9274179384710379</c:v>
                </c:pt>
                <c:pt idx="63">
                  <c:v>7.9902274581849158</c:v>
                </c:pt>
                <c:pt idx="64">
                  <c:v>8.0939469969975288</c:v>
                </c:pt>
                <c:pt idx="65">
                  <c:v>8.2758609465116599</c:v>
                </c:pt>
                <c:pt idx="66">
                  <c:v>8.3462282807661072</c:v>
                </c:pt>
                <c:pt idx="67">
                  <c:v>8.8618295272685508</c:v>
                </c:pt>
                <c:pt idx="68">
                  <c:v>10.435812798237089</c:v>
                </c:pt>
                <c:pt idx="69">
                  <c:v>10.686392414103759</c:v>
                </c:pt>
                <c:pt idx="70">
                  <c:v>10.410808476293937</c:v>
                </c:pt>
                <c:pt idx="71">
                  <c:v>10.469004823439835</c:v>
                </c:pt>
                <c:pt idx="72">
                  <c:v>11.008532626105549</c:v>
                </c:pt>
                <c:pt idx="73">
                  <c:v>10.961800789155768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'Flour (Adjusted)'!$I$6</c:f>
              <c:strCache>
                <c:ptCount val="1"/>
                <c:pt idx="0">
                  <c:v>Jaffa,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(Adjusted)'!$I$7:$I$107</c:f>
              <c:numCache>
                <c:formatCode>0.0000</c:formatCode>
                <c:ptCount val="101"/>
                <c:pt idx="39">
                  <c:v>15.235016835016832</c:v>
                </c:pt>
                <c:pt idx="46">
                  <c:v>10.805518080000001</c:v>
                </c:pt>
                <c:pt idx="47">
                  <c:v>10.181819200000001</c:v>
                </c:pt>
                <c:pt idx="48">
                  <c:v>12.727272319999999</c:v>
                </c:pt>
                <c:pt idx="49">
                  <c:v>12.74710752</c:v>
                </c:pt>
                <c:pt idx="50">
                  <c:v>12.012257600000002</c:v>
                </c:pt>
                <c:pt idx="51">
                  <c:v>12.969696320000001</c:v>
                </c:pt>
                <c:pt idx="52">
                  <c:v>15.272727680000003</c:v>
                </c:pt>
                <c:pt idx="53">
                  <c:v>14.157575040000001</c:v>
                </c:pt>
                <c:pt idx="54">
                  <c:v>12.231405759999999</c:v>
                </c:pt>
                <c:pt idx="55">
                  <c:v>9.4592377600000006</c:v>
                </c:pt>
                <c:pt idx="56">
                  <c:v>10.188839360000001</c:v>
                </c:pt>
                <c:pt idx="57">
                  <c:v>10.853819200000002</c:v>
                </c:pt>
                <c:pt idx="58">
                  <c:v>12.218180800000003</c:v>
                </c:pt>
                <c:pt idx="59">
                  <c:v>10.181819200000001</c:v>
                </c:pt>
                <c:pt idx="60">
                  <c:v>10.95390016</c:v>
                </c:pt>
                <c:pt idx="61">
                  <c:v>9.7359651200000012</c:v>
                </c:pt>
                <c:pt idx="62">
                  <c:v>9.2818499200000009</c:v>
                </c:pt>
                <c:pt idx="63">
                  <c:v>9.1014022400000005</c:v>
                </c:pt>
                <c:pt idx="64">
                  <c:v>9.766106559999999</c:v>
                </c:pt>
                <c:pt idx="65">
                  <c:v>9.6218192000000009</c:v>
                </c:pt>
                <c:pt idx="66">
                  <c:v>9.9751881600000001</c:v>
                </c:pt>
                <c:pt idx="67">
                  <c:v>10.592184960000001</c:v>
                </c:pt>
                <c:pt idx="68">
                  <c:v>11.93379264</c:v>
                </c:pt>
                <c:pt idx="69">
                  <c:v>13.713624960000001</c:v>
                </c:pt>
                <c:pt idx="70">
                  <c:v>11.252613120000001</c:v>
                </c:pt>
                <c:pt idx="71">
                  <c:v>11.200044800000002</c:v>
                </c:pt>
                <c:pt idx="72">
                  <c:v>13.032727680000002</c:v>
                </c:pt>
                <c:pt idx="73">
                  <c:v>13.169912000000002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'Flour (Adjusted)'!$J$6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(Adjusted)'!$J$7:$J$107</c:f>
              <c:numCache>
                <c:formatCode>0.0000</c:formatCode>
                <c:ptCount val="101"/>
                <c:pt idx="44" formatCode="_(* #,##0.0000_);_(* \(#,##0.0000\);_(* &quot;-&quot;??_);_(@_)">
                  <c:v>7.5720067214162281</c:v>
                </c:pt>
                <c:pt idx="45" formatCode="_(* #,##0.0000_);_(* \(#,##0.0000\);_(* &quot;-&quot;??_);_(@_)">
                  <c:v>10.914065788682468</c:v>
                </c:pt>
                <c:pt idx="46" formatCode="_(* #,##0.0000_);_(* \(#,##0.0000\);_(* &quot;-&quot;??_);_(@_)">
                  <c:v>8.7959088795908862</c:v>
                </c:pt>
                <c:pt idx="47" formatCode="_(* #,##0.0000_);_(* \(#,##0.0000\);_(* &quot;-&quot;??_);_(@_)">
                  <c:v>8.7999012989759766</c:v>
                </c:pt>
                <c:pt idx="48" formatCode="_(* #,##0.0000_);_(* \(#,##0.0000\);_(* &quot;-&quot;??_);_(@_)">
                  <c:v>8.182845071662241</c:v>
                </c:pt>
                <c:pt idx="49" formatCode="_(* #,##0.0000_);_(* \(#,##0.0000\);_(* &quot;-&quot;??_);_(@_)">
                  <c:v>6.4749016186185617</c:v>
                </c:pt>
                <c:pt idx="50" formatCode="_(* #,##0.0000_);_(* \(#,##0.0000\);_(* &quot;-&quot;??_);_(@_)">
                  <c:v>7.5958776820408911</c:v>
                </c:pt>
                <c:pt idx="51" formatCode="_(* #,##0.0000_);_(* \(#,##0.0000\);_(* &quot;-&quot;??_);_(@_)">
                  <c:v>8.6335999999999959</c:v>
                </c:pt>
                <c:pt idx="52" formatCode="_(* #,##0.0000_);_(* \(#,##0.0000\);_(* &quot;-&quot;??_);_(@_)">
                  <c:v>7.4666666666666677</c:v>
                </c:pt>
                <c:pt idx="53" formatCode="_(* #,##0.0000_);_(* \(#,##0.0000\);_(* &quot;-&quot;??_);_(@_)">
                  <c:v>5.7599999999999989</c:v>
                </c:pt>
                <c:pt idx="54" formatCode="_(* #,##0.0000_);_(* \(#,##0.0000\);_(* &quot;-&quot;??_);_(@_)">
                  <c:v>4.799999999999998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'Flour (Adjusted)'!$K$6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(Adjusted)'!$K$7:$K$107</c:f>
              <c:numCache>
                <c:formatCode>0.0000</c:formatCode>
                <c:ptCount val="101"/>
                <c:pt idx="55">
                  <c:v>12.444444444444445</c:v>
                </c:pt>
                <c:pt idx="56">
                  <c:v>12.444444444444445</c:v>
                </c:pt>
                <c:pt idx="57">
                  <c:v>13.481481481481481</c:v>
                </c:pt>
                <c:pt idx="58">
                  <c:v>6.9091399999999989</c:v>
                </c:pt>
                <c:pt idx="59">
                  <c:v>11.039921143420404</c:v>
                </c:pt>
                <c:pt idx="60">
                  <c:v>10.160499999999999</c:v>
                </c:pt>
                <c:pt idx="61">
                  <c:v>10.7532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'Flour (Adjusted)'!$L$6</c:f>
              <c:strCache>
                <c:ptCount val="1"/>
                <c:pt idx="0">
                  <c:v>Istanbul (Rumeli), 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(Adjusted)'!$L$7:$L$107</c:f>
              <c:numCache>
                <c:formatCode>0.0000</c:formatCode>
                <c:ptCount val="101"/>
                <c:pt idx="47" formatCode="_(* #,##0.0000_);_(* \(#,##0.0000\);_(* &quot;-&quot;??_);_(@_)">
                  <c:v>8.2758620689655178</c:v>
                </c:pt>
                <c:pt idx="49" formatCode="_(* #,##0.0000_);_(* \(#,##0.0000\);_(* &quot;-&quot;??_);_(@_)">
                  <c:v>7.8601398601398609</c:v>
                </c:pt>
                <c:pt idx="50" formatCode="_(* #,##0.0000_);_(* \(#,##0.0000\);_(* &quot;-&quot;??_);_(@_)">
                  <c:v>9.6223776223776234</c:v>
                </c:pt>
                <c:pt idx="52" formatCode="_(* #,##0.0000_);_(* \(#,##0.0000\);_(* &quot;-&quot;??_);_(@_)">
                  <c:v>9.6794521698945513</c:v>
                </c:pt>
                <c:pt idx="53" formatCode="_(* #,##0.0000_);_(* \(#,##0.0000\);_(* &quot;-&quot;??_);_(@_)">
                  <c:v>7.6439801162692733</c:v>
                </c:pt>
                <c:pt idx="54" formatCode="_(* #,##0.0000_);_(* \(#,##0.0000\);_(* &quot;-&quot;??_);_(@_)">
                  <c:v>5.4871794871794872</c:v>
                </c:pt>
                <c:pt idx="55" formatCode="_(* #,##0.0000_);_(* \(#,##0.0000\);_(* &quot;-&quot;??_);_(@_)">
                  <c:v>5.8668192565845514</c:v>
                </c:pt>
                <c:pt idx="56" formatCode="_(* #,##0.0000_);_(* \(#,##0.0000\);_(* &quot;-&quot;??_);_(@_)">
                  <c:v>6.1806227637509048</c:v>
                </c:pt>
                <c:pt idx="57" formatCode="_(* #,##0.0000_);_(* \(#,##0.0000\);_(* &quot;-&quot;??_);_(@_)">
                  <c:v>8.4163514776975159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'Flour (Adjusted)'!$M$6</c:f>
              <c:strCache>
                <c:ptCount val="1"/>
                <c:pt idx="0">
                  <c:v>Istanbul (Anatolia),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(Adjusted)'!$M$7:$M$107</c:f>
              <c:numCache>
                <c:formatCode>0.0000</c:formatCode>
                <c:ptCount val="101"/>
                <c:pt idx="47">
                  <c:v>9.7612732095490724</c:v>
                </c:pt>
                <c:pt idx="50">
                  <c:v>9.8461538461538467</c:v>
                </c:pt>
                <c:pt idx="52">
                  <c:v>7.4478006973910844</c:v>
                </c:pt>
                <c:pt idx="53">
                  <c:v>7.2794675204313766</c:v>
                </c:pt>
                <c:pt idx="54">
                  <c:v>4.9107692307692314</c:v>
                </c:pt>
                <c:pt idx="55">
                  <c:v>5.1385970277851776</c:v>
                </c:pt>
                <c:pt idx="56">
                  <c:v>5.4245121874224305</c:v>
                </c:pt>
                <c:pt idx="57">
                  <c:v>8.5792486030723083</c:v>
                </c:pt>
                <c:pt idx="58">
                  <c:v>8.3597175771088814</c:v>
                </c:pt>
                <c:pt idx="59">
                  <c:v>7.742666325725394</c:v>
                </c:pt>
                <c:pt idx="60">
                  <c:v>7.0387875688412676</c:v>
                </c:pt>
                <c:pt idx="61">
                  <c:v>6.5084552715309743</c:v>
                </c:pt>
                <c:pt idx="62">
                  <c:v>6.432215127867301</c:v>
                </c:pt>
                <c:pt idx="64">
                  <c:v>6.660344542745233</c:v>
                </c:pt>
                <c:pt idx="66">
                  <c:v>6.6025624906103699</c:v>
                </c:pt>
                <c:pt idx="67">
                  <c:v>7.0015315850342263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'Flour (Adjusted)'!$N$6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(Adjusted)'!$N$7:$N$107</c:f>
              <c:numCache>
                <c:formatCode>0.0000</c:formatCode>
                <c:ptCount val="101"/>
                <c:pt idx="49">
                  <c:v>11.072603163963485</c:v>
                </c:pt>
                <c:pt idx="50">
                  <c:v>13.714855640020089</c:v>
                </c:pt>
                <c:pt idx="52">
                  <c:v>10</c:v>
                </c:pt>
                <c:pt idx="56">
                  <c:v>16.345397943460849</c:v>
                </c:pt>
                <c:pt idx="58">
                  <c:v>13.754251700680289</c:v>
                </c:pt>
                <c:pt idx="70">
                  <c:v>9.5971948865916339</c:v>
                </c:pt>
                <c:pt idx="71">
                  <c:v>9.6973443931145429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'Flour (Adjusted)'!$O$6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(Adjusted)'!$O$7:$O$107</c:f>
              <c:numCache>
                <c:formatCode>0.0000</c:formatCode>
                <c:ptCount val="101"/>
                <c:pt idx="49">
                  <c:v>9.6475453698626517</c:v>
                </c:pt>
                <c:pt idx="50">
                  <c:v>10.903217981372604</c:v>
                </c:pt>
                <c:pt idx="67">
                  <c:v>4.1033434650455929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'Flour (Adjusted)'!$P$6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(Adjusted)'!$P$7:$P$107</c:f>
              <c:numCache>
                <c:formatCode>0.0000</c:formatCode>
                <c:ptCount val="101"/>
                <c:pt idx="43">
                  <c:v>12.5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8.0019709288001977</c:v>
                </c:pt>
                <c:pt idx="48">
                  <c:v>8.0047770700636942</c:v>
                </c:pt>
                <c:pt idx="49">
                  <c:v>7.9993895925530287</c:v>
                </c:pt>
                <c:pt idx="50">
                  <c:v>7.1013329050907341</c:v>
                </c:pt>
                <c:pt idx="51">
                  <c:v>7.7952917093142275</c:v>
                </c:pt>
                <c:pt idx="52">
                  <c:v>8.6918467649633069</c:v>
                </c:pt>
                <c:pt idx="53">
                  <c:v>6.7858588584536497</c:v>
                </c:pt>
                <c:pt idx="54">
                  <c:v>7.2722790583014918</c:v>
                </c:pt>
                <c:pt idx="55">
                  <c:v>5.7287438722260289</c:v>
                </c:pt>
                <c:pt idx="56">
                  <c:v>5.9992475545522952</c:v>
                </c:pt>
                <c:pt idx="57">
                  <c:v>6.7248556465690879</c:v>
                </c:pt>
                <c:pt idx="58">
                  <c:v>8.146836061568532</c:v>
                </c:pt>
                <c:pt idx="59">
                  <c:v>7.2265730488792865</c:v>
                </c:pt>
                <c:pt idx="60">
                  <c:v>6.2217394256229213</c:v>
                </c:pt>
                <c:pt idx="61">
                  <c:v>6.361890126776796</c:v>
                </c:pt>
                <c:pt idx="62">
                  <c:v>6.0001507954459772</c:v>
                </c:pt>
                <c:pt idx="63">
                  <c:v>6.045316514832983</c:v>
                </c:pt>
                <c:pt idx="64">
                  <c:v>7.4933362949800086</c:v>
                </c:pt>
                <c:pt idx="65">
                  <c:v>7.5924219150025607</c:v>
                </c:pt>
                <c:pt idx="66">
                  <c:v>7.5457070122656784</c:v>
                </c:pt>
                <c:pt idx="67">
                  <c:v>8.1914123124676657</c:v>
                </c:pt>
                <c:pt idx="68">
                  <c:v>10.549022788095046</c:v>
                </c:pt>
                <c:pt idx="69">
                  <c:v>10.706521739130434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'Flour (Adjusted)'!$Q$6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(Adjusted)'!$Q$7:$Q$107</c:f>
              <c:numCache>
                <c:formatCode>0.0000</c:formatCode>
                <c:ptCount val="101"/>
                <c:pt idx="37">
                  <c:v>22.238118569328801</c:v>
                </c:pt>
                <c:pt idx="38">
                  <c:v>21.042408998812199</c:v>
                </c:pt>
                <c:pt idx="39">
                  <c:v>24.729991333493402</c:v>
                </c:pt>
                <c:pt idx="40">
                  <c:v>13.86534222762654</c:v>
                </c:pt>
                <c:pt idx="41">
                  <c:v>13.90270219069814</c:v>
                </c:pt>
                <c:pt idx="42">
                  <c:v>14.76917547985134</c:v>
                </c:pt>
                <c:pt idx="43">
                  <c:v>14.77077398442318</c:v>
                </c:pt>
                <c:pt idx="44">
                  <c:v>17.231142927210939</c:v>
                </c:pt>
                <c:pt idx="49">
                  <c:v>14.767411282240822</c:v>
                </c:pt>
                <c:pt idx="50">
                  <c:v>14.769623421721041</c:v>
                </c:pt>
                <c:pt idx="51">
                  <c:v>14.7682677260142</c:v>
                </c:pt>
                <c:pt idx="52">
                  <c:v>14.769230769230759</c:v>
                </c:pt>
                <c:pt idx="53">
                  <c:v>14.7681432770896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'Flour (Adjusted)'!$R$6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(Adjusted)'!$R$7:$R$107</c:f>
              <c:numCache>
                <c:formatCode>0.0000</c:formatCode>
                <c:ptCount val="101"/>
                <c:pt idx="25">
                  <c:v>5.7517564402810306</c:v>
                </c:pt>
                <c:pt idx="26">
                  <c:v>6.0210889570552144</c:v>
                </c:pt>
                <c:pt idx="27">
                  <c:v>5.2576956904133683</c:v>
                </c:pt>
                <c:pt idx="49" formatCode="_(* #,##0.0000_);_(* \(#,##0.0000\);_(* &quot;-&quot;??_);_(@_)">
                  <c:v>12.307692307692307</c:v>
                </c:pt>
                <c:pt idx="69" formatCode="_(* #,##0.0000_);_(* \(#,##0.0000\);_(* &quot;-&quot;??_);_(@_)">
                  <c:v>4.3719575847480909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'Flour (Adjusted)'!$S$6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(Adjusted)'!$S$7:$S$107</c:f>
              <c:numCache>
                <c:formatCode>0.0000</c:formatCode>
                <c:ptCount val="101"/>
                <c:pt idx="38">
                  <c:v>26.56084656084656</c:v>
                </c:pt>
                <c:pt idx="39">
                  <c:v>21.448275862068968</c:v>
                </c:pt>
                <c:pt idx="40">
                  <c:v>21.431372549019606</c:v>
                </c:pt>
                <c:pt idx="41">
                  <c:v>21.56451612903226</c:v>
                </c:pt>
                <c:pt idx="42">
                  <c:v>21.932773109243698</c:v>
                </c:pt>
                <c:pt idx="43">
                  <c:v>21.833333333333336</c:v>
                </c:pt>
                <c:pt idx="47">
                  <c:v>19.570754716981131</c:v>
                </c:pt>
                <c:pt idx="48">
                  <c:v>20.2015503875969</c:v>
                </c:pt>
                <c:pt idx="49">
                  <c:v>22.246153846153849</c:v>
                </c:pt>
                <c:pt idx="50">
                  <c:v>14.454545454545441</c:v>
                </c:pt>
                <c:pt idx="51">
                  <c:v>22.280612244897934</c:v>
                </c:pt>
                <c:pt idx="52">
                  <c:v>22.883018867924505</c:v>
                </c:pt>
                <c:pt idx="53">
                  <c:v>20.802588996763735</c:v>
                </c:pt>
                <c:pt idx="54">
                  <c:v>21.868421052631557</c:v>
                </c:pt>
                <c:pt idx="55">
                  <c:v>20.322916666666647</c:v>
                </c:pt>
                <c:pt idx="56">
                  <c:v>41.872538860103582</c:v>
                </c:pt>
                <c:pt idx="57">
                  <c:v>24.150627615062739</c:v>
                </c:pt>
                <c:pt idx="58">
                  <c:v>21.221896383186689</c:v>
                </c:pt>
                <c:pt idx="59">
                  <c:v>17.263723150357979</c:v>
                </c:pt>
                <c:pt idx="60">
                  <c:v>19.309045226130635</c:v>
                </c:pt>
                <c:pt idx="61">
                  <c:v>17.159340659340639</c:v>
                </c:pt>
                <c:pt idx="62">
                  <c:v>17.082779991146509</c:v>
                </c:pt>
                <c:pt idx="63">
                  <c:v>18.706140350877174</c:v>
                </c:pt>
                <c:pt idx="64">
                  <c:v>38.261384335154794</c:v>
                </c:pt>
                <c:pt idx="65">
                  <c:v>39.03494347379236</c:v>
                </c:pt>
                <c:pt idx="66">
                  <c:v>40.158192090395445</c:v>
                </c:pt>
                <c:pt idx="67">
                  <c:v>41.713586291309625</c:v>
                </c:pt>
                <c:pt idx="68">
                  <c:v>41.028419182948447</c:v>
                </c:pt>
                <c:pt idx="69">
                  <c:v>56.554385964912235</c:v>
                </c:pt>
                <c:pt idx="70">
                  <c:v>35.046249999999972</c:v>
                </c:pt>
                <c:pt idx="71">
                  <c:v>32.30100755667506</c:v>
                </c:pt>
                <c:pt idx="72">
                  <c:v>30.1100826446281</c:v>
                </c:pt>
                <c:pt idx="73">
                  <c:v>28.538362068965519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24720"/>
        <c:axId val="780525280"/>
      </c:lineChart>
      <c:catAx>
        <c:axId val="78052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525280"/>
        <c:crosses val="autoZero"/>
        <c:auto val="1"/>
        <c:lblAlgn val="ctr"/>
        <c:lblOffset val="100"/>
        <c:noMultiLvlLbl val="0"/>
      </c:catAx>
      <c:valAx>
        <c:axId val="780525280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158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52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350382304416353"/>
          <c:y val="0.17280216771464721"/>
          <c:w val="0.22981615023572954"/>
          <c:h val="0.66826884948733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(All)'!$L$7:$L$107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(All)'!$L$7:$L$107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05312"/>
        <c:axId val="782304752"/>
      </c:scatterChart>
      <c:valAx>
        <c:axId val="782305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4752"/>
        <c:crosses val="autoZero"/>
        <c:crossBetween val="midCat"/>
        <c:majorUnit val="5"/>
      </c:valAx>
      <c:valAx>
        <c:axId val="78230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5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Flour, UK, US, Black Sea, Mediterranean Sea, Caspian Sea &amp; Persian Gulf, in pound/ton</a:t>
            </a:r>
          </a:p>
        </c:rich>
      </c:tx>
      <c:layout>
        <c:manualLayout>
          <c:xMode val="edge"/>
          <c:yMode val="edge"/>
          <c:x val="0.21330950297879436"/>
          <c:y val="1.75702811244979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'Flour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(Adjusted)'!$C$7:$C$107</c:f>
              <c:numCache>
                <c:formatCode>_(* #,##0.0000_);_(* \(#,##0.0000\);_(* "-"??_);_(@_)</c:formatCode>
                <c:ptCount val="101"/>
                <c:pt idx="14">
                  <c:v>21.777285373254696</c:v>
                </c:pt>
                <c:pt idx="15">
                  <c:v>24.199947065051148</c:v>
                </c:pt>
                <c:pt idx="16">
                  <c:v>20.542192891866708</c:v>
                </c:pt>
                <c:pt idx="17">
                  <c:v>18.03019813162372</c:v>
                </c:pt>
                <c:pt idx="18">
                  <c:v>16.543210324763642</c:v>
                </c:pt>
                <c:pt idx="19">
                  <c:v>14.375373311011815</c:v>
                </c:pt>
                <c:pt idx="20">
                  <c:v>16.98926904459503</c:v>
                </c:pt>
                <c:pt idx="21">
                  <c:v>16.075686119379043</c:v>
                </c:pt>
                <c:pt idx="22">
                  <c:v>14.949353506737067</c:v>
                </c:pt>
                <c:pt idx="23">
                  <c:v>13.500465704294148</c:v>
                </c:pt>
                <c:pt idx="24">
                  <c:v>12.552990199652468</c:v>
                </c:pt>
                <c:pt idx="25">
                  <c:v>13.44</c:v>
                </c:pt>
                <c:pt idx="26">
                  <c:v>15.270000000000014</c:v>
                </c:pt>
                <c:pt idx="27">
                  <c:v>19.589999999999989</c:v>
                </c:pt>
                <c:pt idx="28">
                  <c:v>18.30999999999996</c:v>
                </c:pt>
                <c:pt idx="29">
                  <c:v>14.039999999999962</c:v>
                </c:pt>
                <c:pt idx="30">
                  <c:v>14.090000000000027</c:v>
                </c:pt>
                <c:pt idx="31">
                  <c:v>17.590000000000028</c:v>
                </c:pt>
                <c:pt idx="32">
                  <c:v>18.630000000000013</c:v>
                </c:pt>
                <c:pt idx="33">
                  <c:v>18.830000000000002</c:v>
                </c:pt>
                <c:pt idx="34">
                  <c:v>18.23000000000004</c:v>
                </c:pt>
                <c:pt idx="35">
                  <c:v>15.869999999999974</c:v>
                </c:pt>
                <c:pt idx="36">
                  <c:v>15.910000000000029</c:v>
                </c:pt>
                <c:pt idx="37">
                  <c:v>18.459999999999976</c:v>
                </c:pt>
                <c:pt idx="38">
                  <c:v>17.329999999999963</c:v>
                </c:pt>
                <c:pt idx="39">
                  <c:v>15.850000000000041</c:v>
                </c:pt>
                <c:pt idx="40">
                  <c:v>16.489999999999959</c:v>
                </c:pt>
                <c:pt idx="41">
                  <c:v>16.209999999999962</c:v>
                </c:pt>
                <c:pt idx="42">
                  <c:v>16.330000000000027</c:v>
                </c:pt>
                <c:pt idx="43">
                  <c:v>15.120000000000003</c:v>
                </c:pt>
                <c:pt idx="44">
                  <c:v>13.470000000000041</c:v>
                </c:pt>
                <c:pt idx="45">
                  <c:v>12.190000000000015</c:v>
                </c:pt>
                <c:pt idx="46">
                  <c:v>11.200000000000001</c:v>
                </c:pt>
                <c:pt idx="47">
                  <c:v>11.099999999999961</c:v>
                </c:pt>
                <c:pt idx="48">
                  <c:v>11.270000000000001</c:v>
                </c:pt>
                <c:pt idx="49">
                  <c:v>11.650000000000039</c:v>
                </c:pt>
                <c:pt idx="50">
                  <c:v>11.510000000000041</c:v>
                </c:pt>
                <c:pt idx="51">
                  <c:v>12.18</c:v>
                </c:pt>
                <c:pt idx="52">
                  <c:v>11.099999999999961</c:v>
                </c:pt>
                <c:pt idx="53">
                  <c:v>9.5699999999999736</c:v>
                </c:pt>
                <c:pt idx="54">
                  <c:v>8.360000000000003</c:v>
                </c:pt>
                <c:pt idx="55">
                  <c:v>8.360000000000003</c:v>
                </c:pt>
                <c:pt idx="56">
                  <c:v>8.6600000000000019</c:v>
                </c:pt>
                <c:pt idx="57">
                  <c:v>10.279999999999989</c:v>
                </c:pt>
                <c:pt idx="58">
                  <c:v>10.99</c:v>
                </c:pt>
                <c:pt idx="59">
                  <c:v>9.33</c:v>
                </c:pt>
                <c:pt idx="60">
                  <c:v>9.379999999999999</c:v>
                </c:pt>
                <c:pt idx="61">
                  <c:v>9.1599999999999966</c:v>
                </c:pt>
                <c:pt idx="62">
                  <c:v>9.2099999999999991</c:v>
                </c:pt>
                <c:pt idx="63">
                  <c:v>9.4399999999999871</c:v>
                </c:pt>
                <c:pt idx="64">
                  <c:v>9.859999999999987</c:v>
                </c:pt>
                <c:pt idx="65">
                  <c:v>10.11000000000004</c:v>
                </c:pt>
                <c:pt idx="66">
                  <c:v>9.6100000000000279</c:v>
                </c:pt>
                <c:pt idx="67">
                  <c:v>10.069999999999986</c:v>
                </c:pt>
                <c:pt idx="68">
                  <c:v>10.909999999999988</c:v>
                </c:pt>
                <c:pt idx="69">
                  <c:v>11.529999999999973</c:v>
                </c:pt>
                <c:pt idx="70">
                  <c:v>11.070000000000014</c:v>
                </c:pt>
                <c:pt idx="71">
                  <c:v>10.489999999999988</c:v>
                </c:pt>
                <c:pt idx="72">
                  <c:v>10.829999999999973</c:v>
                </c:pt>
                <c:pt idx="73">
                  <c:v>10.600000000000041</c:v>
                </c:pt>
                <c:pt idx="74">
                  <c:v>11.02999999999996</c:v>
                </c:pt>
                <c:pt idx="75">
                  <c:v>15.859999999999962</c:v>
                </c:pt>
                <c:pt idx="76">
                  <c:v>17.209999999999987</c:v>
                </c:pt>
                <c:pt idx="77">
                  <c:v>25.759999999999998</c:v>
                </c:pt>
                <c:pt idx="78">
                  <c:v>27.069999999999975</c:v>
                </c:pt>
                <c:pt idx="79">
                  <c:v>29.05</c:v>
                </c:pt>
                <c:pt idx="80">
                  <c:v>35.500000000000014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'Flour (Adjusted)'!$D$6</c:f>
              <c:strCache>
                <c:ptCount val="1"/>
                <c:pt idx="0">
                  <c:v>UK, Retail,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(Adjusted)'!$D$7:$D$107</c:f>
              <c:numCache>
                <c:formatCode>_(* #,##0.0000_);_(* \(#,##0.0000\);_(* "-"??_);_(@_)</c:formatCode>
                <c:ptCount val="101"/>
                <c:pt idx="38">
                  <c:v>23.333333333333336</c:v>
                </c:pt>
                <c:pt idx="39">
                  <c:v>17.333333333333361</c:v>
                </c:pt>
                <c:pt idx="40">
                  <c:v>22.000000000000028</c:v>
                </c:pt>
                <c:pt idx="41">
                  <c:v>19.333333333333321</c:v>
                </c:pt>
                <c:pt idx="42">
                  <c:v>19.999999999999975</c:v>
                </c:pt>
                <c:pt idx="43">
                  <c:v>19.999999999999975</c:v>
                </c:pt>
                <c:pt idx="44">
                  <c:v>17.333333333333361</c:v>
                </c:pt>
                <c:pt idx="45">
                  <c:v>14</c:v>
                </c:pt>
                <c:pt idx="46">
                  <c:v>14</c:v>
                </c:pt>
                <c:pt idx="47">
                  <c:v>14.666666666666655</c:v>
                </c:pt>
                <c:pt idx="48">
                  <c:v>14</c:v>
                </c:pt>
                <c:pt idx="49">
                  <c:v>15.333333333333307</c:v>
                </c:pt>
                <c:pt idx="50">
                  <c:v>14</c:v>
                </c:pt>
                <c:pt idx="51">
                  <c:v>14.666666666666655</c:v>
                </c:pt>
                <c:pt idx="52">
                  <c:v>15.999999999999961</c:v>
                </c:pt>
                <c:pt idx="53">
                  <c:v>12.000000000000041</c:v>
                </c:pt>
                <c:pt idx="54">
                  <c:v>12.000000000000041</c:v>
                </c:pt>
                <c:pt idx="55">
                  <c:v>11.333333333333293</c:v>
                </c:pt>
                <c:pt idx="56">
                  <c:v>12.000000000000041</c:v>
                </c:pt>
                <c:pt idx="57">
                  <c:v>14</c:v>
                </c:pt>
                <c:pt idx="58">
                  <c:v>16.666666666666707</c:v>
                </c:pt>
                <c:pt idx="59">
                  <c:v>12.666666666666694</c:v>
                </c:pt>
                <c:pt idx="60">
                  <c:v>13.333333333333346</c:v>
                </c:pt>
                <c:pt idx="61">
                  <c:v>14</c:v>
                </c:pt>
                <c:pt idx="62">
                  <c:v>14</c:v>
                </c:pt>
                <c:pt idx="63">
                  <c:v>13.626666666666667</c:v>
                </c:pt>
                <c:pt idx="64">
                  <c:v>14.373333333333335</c:v>
                </c:pt>
                <c:pt idx="65">
                  <c:v>14.466666666666669</c:v>
                </c:pt>
                <c:pt idx="66">
                  <c:v>14.373333333333335</c:v>
                </c:pt>
                <c:pt idx="67">
                  <c:v>15.026666666666669</c:v>
                </c:pt>
                <c:pt idx="68">
                  <c:v>15.96</c:v>
                </c:pt>
                <c:pt idx="69">
                  <c:v>16.893333333333334</c:v>
                </c:pt>
                <c:pt idx="70">
                  <c:v>15.493333333333334</c:v>
                </c:pt>
                <c:pt idx="71">
                  <c:v>14.933333333333335</c:v>
                </c:pt>
                <c:pt idx="72">
                  <c:v>15.773333333333333</c:v>
                </c:pt>
                <c:pt idx="73">
                  <c:v>15.773333333333333</c:v>
                </c:pt>
                <c:pt idx="74">
                  <c:v>14.746666666666668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'Flour (Adjusted)'!$E$6</c:f>
              <c:strCache>
                <c:ptCount val="1"/>
                <c:pt idx="0">
                  <c:v>US,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(Adjusted)'!$E$7:$E$107</c:f>
              <c:numCache>
                <c:formatCode>0.0000</c:formatCode>
                <c:ptCount val="101"/>
                <c:pt idx="0">
                  <c:v>12.563772889256773</c:v>
                </c:pt>
                <c:pt idx="1">
                  <c:v>12.023648073456974</c:v>
                </c:pt>
                <c:pt idx="2">
                  <c:v>13.503120394995653</c:v>
                </c:pt>
                <c:pt idx="3">
                  <c:v>10.497208376631388</c:v>
                </c:pt>
                <c:pt idx="4">
                  <c:v>11.037333192431188</c:v>
                </c:pt>
                <c:pt idx="5">
                  <c:v>10.614626814848748</c:v>
                </c:pt>
                <c:pt idx="6">
                  <c:v>11.953197010526521</c:v>
                </c:pt>
                <c:pt idx="7">
                  <c:v>13.996277835508549</c:v>
                </c:pt>
                <c:pt idx="8">
                  <c:v>14.606853714238708</c:v>
                </c:pt>
                <c:pt idx="9">
                  <c:v>12.563772889256773</c:v>
                </c:pt>
                <c:pt idx="10">
                  <c:v>12.023648073456974</c:v>
                </c:pt>
                <c:pt idx="11">
                  <c:v>11.225202693579002</c:v>
                </c:pt>
                <c:pt idx="12">
                  <c:v>9.9570835608315882</c:v>
                </c:pt>
                <c:pt idx="13">
                  <c:v>11.882745947596161</c:v>
                </c:pt>
                <c:pt idx="14">
                  <c:v>16.180260786351294</c:v>
                </c:pt>
                <c:pt idx="15">
                  <c:v>21.243343842283547</c:v>
                </c:pt>
                <c:pt idx="16">
                  <c:v>19.585395494654549</c:v>
                </c:pt>
                <c:pt idx="17">
                  <c:v>16.375175393792041</c:v>
                </c:pt>
                <c:pt idx="18">
                  <c:v>10.577052914619149</c:v>
                </c:pt>
                <c:pt idx="19">
                  <c:v>13.937568616399867</c:v>
                </c:pt>
                <c:pt idx="20">
                  <c:v>13.890601241112867</c:v>
                </c:pt>
                <c:pt idx="21">
                  <c:v>13.388050325542574</c:v>
                </c:pt>
                <c:pt idx="22">
                  <c:v>11.690026329141627</c:v>
                </c:pt>
                <c:pt idx="23">
                  <c:v>10.449594067800534</c:v>
                </c:pt>
                <c:pt idx="24">
                  <c:v>8.30881284896628</c:v>
                </c:pt>
                <c:pt idx="25">
                  <c:v>15.544320136288441</c:v>
                </c:pt>
                <c:pt idx="26">
                  <c:v>14.045211907134613</c:v>
                </c:pt>
                <c:pt idx="27">
                  <c:v>15.036696957819974</c:v>
                </c:pt>
                <c:pt idx="28">
                  <c:v>16.926073792563042</c:v>
                </c:pt>
                <c:pt idx="29">
                  <c:v>13.628642731424561</c:v>
                </c:pt>
                <c:pt idx="30">
                  <c:v>12.491932017136042</c:v>
                </c:pt>
                <c:pt idx="31">
                  <c:v>13.863154549780294</c:v>
                </c:pt>
                <c:pt idx="32">
                  <c:v>14.852805645679121</c:v>
                </c:pt>
                <c:pt idx="33">
                  <c:v>15.487265005645627</c:v>
                </c:pt>
                <c:pt idx="34">
                  <c:v>15.023646933062041</c:v>
                </c:pt>
                <c:pt idx="35">
                  <c:v>11.645783480634988</c:v>
                </c:pt>
                <c:pt idx="36">
                  <c:v>13.091892591194014</c:v>
                </c:pt>
                <c:pt idx="37">
                  <c:v>14.538374564011201</c:v>
                </c:pt>
                <c:pt idx="38">
                  <c:v>14.812429170355788</c:v>
                </c:pt>
                <c:pt idx="39">
                  <c:v>12.333632750350802</c:v>
                </c:pt>
                <c:pt idx="40">
                  <c:v>13.80371159683208</c:v>
                </c:pt>
                <c:pt idx="41">
                  <c:v>13.310554156319187</c:v>
                </c:pt>
                <c:pt idx="42">
                  <c:v>14.440119531970067</c:v>
                </c:pt>
                <c:pt idx="43">
                  <c:v>13.984535991686773</c:v>
                </c:pt>
                <c:pt idx="44">
                  <c:v>13.122684655171373</c:v>
                </c:pt>
                <c:pt idx="45">
                  <c:v>11.4999618390076</c:v>
                </c:pt>
                <c:pt idx="46">
                  <c:v>11.034984823666814</c:v>
                </c:pt>
                <c:pt idx="47">
                  <c:v>10.591143127205294</c:v>
                </c:pt>
                <c:pt idx="48">
                  <c:v>10.753180571945187</c:v>
                </c:pt>
                <c:pt idx="49">
                  <c:v>11.347317869325014</c:v>
                </c:pt>
                <c:pt idx="50">
                  <c:v>10.943398441857282</c:v>
                </c:pt>
                <c:pt idx="51">
                  <c:v>11.319137444152814</c:v>
                </c:pt>
                <c:pt idx="52">
                  <c:v>11.64790907116144</c:v>
                </c:pt>
                <c:pt idx="53">
                  <c:v>10.661594190135654</c:v>
                </c:pt>
                <c:pt idx="54">
                  <c:v>9.6517956214664142</c:v>
                </c:pt>
                <c:pt idx="55">
                  <c:v>7.9374864234930786</c:v>
                </c:pt>
                <c:pt idx="56">
                  <c:v>8.3601928010755557</c:v>
                </c:pt>
                <c:pt idx="57">
                  <c:v>9.017736055092735</c:v>
                </c:pt>
                <c:pt idx="58">
                  <c:v>10.591143127205294</c:v>
                </c:pt>
                <c:pt idx="59">
                  <c:v>9.4874098079621483</c:v>
                </c:pt>
                <c:pt idx="60">
                  <c:v>8.5010949269363785</c:v>
                </c:pt>
                <c:pt idx="61">
                  <c:v>8.7359318033710807</c:v>
                </c:pt>
                <c:pt idx="62">
                  <c:v>8.6889644280841463</c:v>
                </c:pt>
                <c:pt idx="63">
                  <c:v>8.7828991786580239</c:v>
                </c:pt>
                <c:pt idx="64">
                  <c:v>9.5108934956056022</c:v>
                </c:pt>
                <c:pt idx="65">
                  <c:v>10.685077877779108</c:v>
                </c:pt>
                <c:pt idx="66">
                  <c:v>9.9805672484750403</c:v>
                </c:pt>
                <c:pt idx="67">
                  <c:v>9.3699913697447865</c:v>
                </c:pt>
                <c:pt idx="68">
                  <c:v>10.825980003640014</c:v>
                </c:pt>
                <c:pt idx="69">
                  <c:v>11.413072194726722</c:v>
                </c:pt>
                <c:pt idx="70">
                  <c:v>12.375903388109053</c:v>
                </c:pt>
                <c:pt idx="71">
                  <c:v>11.46003957001372</c:v>
                </c:pt>
                <c:pt idx="72">
                  <c:v>10.872947378926922</c:v>
                </c:pt>
                <c:pt idx="73">
                  <c:v>10.961663255181522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'Flour (Adjusted)'!$H$6</c:f>
              <c:strCache>
                <c:ptCount val="1"/>
                <c:pt idx="0">
                  <c:v>Egypt, Imports,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(Adjusted)'!$H$7:$H$107</c:f>
              <c:numCache>
                <c:formatCode>0.0000</c:formatCode>
                <c:ptCount val="101"/>
                <c:pt idx="45">
                  <c:v>12.333075805202867</c:v>
                </c:pt>
                <c:pt idx="46">
                  <c:v>10.332462287057377</c:v>
                </c:pt>
                <c:pt idx="47">
                  <c:v>10.63051676560211</c:v>
                </c:pt>
                <c:pt idx="48">
                  <c:v>10.026041075123716</c:v>
                </c:pt>
                <c:pt idx="49">
                  <c:v>11.269857798387056</c:v>
                </c:pt>
                <c:pt idx="50">
                  <c:v>11.179588965474187</c:v>
                </c:pt>
                <c:pt idx="51">
                  <c:v>12.020850963297178</c:v>
                </c:pt>
                <c:pt idx="52">
                  <c:v>12.166657136079218</c:v>
                </c:pt>
                <c:pt idx="53">
                  <c:v>9.2588459361477522</c:v>
                </c:pt>
                <c:pt idx="54">
                  <c:v>6.7826977111871365</c:v>
                </c:pt>
                <c:pt idx="55">
                  <c:v>5.555666769477174</c:v>
                </c:pt>
                <c:pt idx="56">
                  <c:v>6.33732067769885</c:v>
                </c:pt>
                <c:pt idx="57">
                  <c:v>7.0931797921745225</c:v>
                </c:pt>
                <c:pt idx="58">
                  <c:v>9.2696740999568981</c:v>
                </c:pt>
                <c:pt idx="59">
                  <c:v>8.4916182397502684</c:v>
                </c:pt>
                <c:pt idx="60">
                  <c:v>8.0924366256441047</c:v>
                </c:pt>
                <c:pt idx="61">
                  <c:v>7.9781576023487473</c:v>
                </c:pt>
                <c:pt idx="62">
                  <c:v>7.9274179384710379</c:v>
                </c:pt>
                <c:pt idx="63">
                  <c:v>7.9902274581849158</c:v>
                </c:pt>
                <c:pt idx="64">
                  <c:v>8.0939469969975288</c:v>
                </c:pt>
                <c:pt idx="65">
                  <c:v>8.2758609465116599</c:v>
                </c:pt>
                <c:pt idx="66">
                  <c:v>8.3462282807661072</c:v>
                </c:pt>
                <c:pt idx="67">
                  <c:v>8.8618295272685508</c:v>
                </c:pt>
                <c:pt idx="68">
                  <c:v>10.435812798237089</c:v>
                </c:pt>
                <c:pt idx="69">
                  <c:v>10.686392414103759</c:v>
                </c:pt>
                <c:pt idx="70">
                  <c:v>10.410808476293937</c:v>
                </c:pt>
                <c:pt idx="71">
                  <c:v>10.469004823439835</c:v>
                </c:pt>
                <c:pt idx="72">
                  <c:v>11.008532626105549</c:v>
                </c:pt>
                <c:pt idx="73">
                  <c:v>10.961800789155768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'Flour (Adjusted)'!$I$6</c:f>
              <c:strCache>
                <c:ptCount val="1"/>
                <c:pt idx="0">
                  <c:v>Jaffa,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(Adjusted)'!$I$7:$I$107</c:f>
              <c:numCache>
                <c:formatCode>0.0000</c:formatCode>
                <c:ptCount val="101"/>
                <c:pt idx="39">
                  <c:v>15.235016835016832</c:v>
                </c:pt>
                <c:pt idx="46">
                  <c:v>10.805518080000001</c:v>
                </c:pt>
                <c:pt idx="47">
                  <c:v>10.181819200000001</c:v>
                </c:pt>
                <c:pt idx="48">
                  <c:v>12.727272319999999</c:v>
                </c:pt>
                <c:pt idx="49">
                  <c:v>12.74710752</c:v>
                </c:pt>
                <c:pt idx="50">
                  <c:v>12.012257600000002</c:v>
                </c:pt>
                <c:pt idx="51">
                  <c:v>12.969696320000001</c:v>
                </c:pt>
                <c:pt idx="52">
                  <c:v>15.272727680000003</c:v>
                </c:pt>
                <c:pt idx="53">
                  <c:v>14.157575040000001</c:v>
                </c:pt>
                <c:pt idx="54">
                  <c:v>12.231405759999999</c:v>
                </c:pt>
                <c:pt idx="55">
                  <c:v>9.4592377600000006</c:v>
                </c:pt>
                <c:pt idx="56">
                  <c:v>10.188839360000001</c:v>
                </c:pt>
                <c:pt idx="57">
                  <c:v>10.853819200000002</c:v>
                </c:pt>
                <c:pt idx="58">
                  <c:v>12.218180800000003</c:v>
                </c:pt>
                <c:pt idx="59">
                  <c:v>10.181819200000001</c:v>
                </c:pt>
                <c:pt idx="60">
                  <c:v>10.95390016</c:v>
                </c:pt>
                <c:pt idx="61">
                  <c:v>9.7359651200000012</c:v>
                </c:pt>
                <c:pt idx="62">
                  <c:v>9.2818499200000009</c:v>
                </c:pt>
                <c:pt idx="63">
                  <c:v>9.1014022400000005</c:v>
                </c:pt>
                <c:pt idx="64">
                  <c:v>9.766106559999999</c:v>
                </c:pt>
                <c:pt idx="65">
                  <c:v>9.6218192000000009</c:v>
                </c:pt>
                <c:pt idx="66">
                  <c:v>9.9751881600000001</c:v>
                </c:pt>
                <c:pt idx="67">
                  <c:v>10.592184960000001</c:v>
                </c:pt>
                <c:pt idx="68">
                  <c:v>11.93379264</c:v>
                </c:pt>
                <c:pt idx="69">
                  <c:v>13.713624960000001</c:v>
                </c:pt>
                <c:pt idx="70">
                  <c:v>11.252613120000001</c:v>
                </c:pt>
                <c:pt idx="71">
                  <c:v>11.200044800000002</c:v>
                </c:pt>
                <c:pt idx="72">
                  <c:v>13.032727680000002</c:v>
                </c:pt>
                <c:pt idx="73">
                  <c:v>13.169912000000002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'Flour (Adjusted)'!$J$6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(Adjusted)'!$J$7:$J$107</c:f>
              <c:numCache>
                <c:formatCode>0.0000</c:formatCode>
                <c:ptCount val="101"/>
                <c:pt idx="44" formatCode="_(* #,##0.0000_);_(* \(#,##0.0000\);_(* &quot;-&quot;??_);_(@_)">
                  <c:v>7.5720067214162281</c:v>
                </c:pt>
                <c:pt idx="45" formatCode="_(* #,##0.0000_);_(* \(#,##0.0000\);_(* &quot;-&quot;??_);_(@_)">
                  <c:v>10.914065788682468</c:v>
                </c:pt>
                <c:pt idx="46" formatCode="_(* #,##0.0000_);_(* \(#,##0.0000\);_(* &quot;-&quot;??_);_(@_)">
                  <c:v>8.7959088795908862</c:v>
                </c:pt>
                <c:pt idx="47" formatCode="_(* #,##0.0000_);_(* \(#,##0.0000\);_(* &quot;-&quot;??_);_(@_)">
                  <c:v>8.7999012989759766</c:v>
                </c:pt>
                <c:pt idx="48" formatCode="_(* #,##0.0000_);_(* \(#,##0.0000\);_(* &quot;-&quot;??_);_(@_)">
                  <c:v>8.182845071662241</c:v>
                </c:pt>
                <c:pt idx="49" formatCode="_(* #,##0.0000_);_(* \(#,##0.0000\);_(* &quot;-&quot;??_);_(@_)">
                  <c:v>6.4749016186185617</c:v>
                </c:pt>
                <c:pt idx="50" formatCode="_(* #,##0.0000_);_(* \(#,##0.0000\);_(* &quot;-&quot;??_);_(@_)">
                  <c:v>7.5958776820408911</c:v>
                </c:pt>
                <c:pt idx="51" formatCode="_(* #,##0.0000_);_(* \(#,##0.0000\);_(* &quot;-&quot;??_);_(@_)">
                  <c:v>8.6335999999999959</c:v>
                </c:pt>
                <c:pt idx="52" formatCode="_(* #,##0.0000_);_(* \(#,##0.0000\);_(* &quot;-&quot;??_);_(@_)">
                  <c:v>7.4666666666666677</c:v>
                </c:pt>
                <c:pt idx="53" formatCode="_(* #,##0.0000_);_(* \(#,##0.0000\);_(* &quot;-&quot;??_);_(@_)">
                  <c:v>5.7599999999999989</c:v>
                </c:pt>
                <c:pt idx="54" formatCode="_(* #,##0.0000_);_(* \(#,##0.0000\);_(* &quot;-&quot;??_);_(@_)">
                  <c:v>4.799999999999998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'Flour (Adjusted)'!$K$6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(Adjusted)'!$K$7:$K$107</c:f>
              <c:numCache>
                <c:formatCode>0.0000</c:formatCode>
                <c:ptCount val="101"/>
                <c:pt idx="55">
                  <c:v>12.444444444444445</c:v>
                </c:pt>
                <c:pt idx="56">
                  <c:v>12.444444444444445</c:v>
                </c:pt>
                <c:pt idx="57">
                  <c:v>13.481481481481481</c:v>
                </c:pt>
                <c:pt idx="58">
                  <c:v>6.9091399999999989</c:v>
                </c:pt>
                <c:pt idx="59">
                  <c:v>11.039921143420404</c:v>
                </c:pt>
                <c:pt idx="60">
                  <c:v>10.160499999999999</c:v>
                </c:pt>
                <c:pt idx="61">
                  <c:v>10.7532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'Flour (Adjusted)'!$L$6</c:f>
              <c:strCache>
                <c:ptCount val="1"/>
                <c:pt idx="0">
                  <c:v>Istanbul (Rumeli), 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(Adjusted)'!$L$7:$L$107</c:f>
              <c:numCache>
                <c:formatCode>0.0000</c:formatCode>
                <c:ptCount val="101"/>
                <c:pt idx="47" formatCode="_(* #,##0.0000_);_(* \(#,##0.0000\);_(* &quot;-&quot;??_);_(@_)">
                  <c:v>8.2758620689655178</c:v>
                </c:pt>
                <c:pt idx="49" formatCode="_(* #,##0.0000_);_(* \(#,##0.0000\);_(* &quot;-&quot;??_);_(@_)">
                  <c:v>7.8601398601398609</c:v>
                </c:pt>
                <c:pt idx="50" formatCode="_(* #,##0.0000_);_(* \(#,##0.0000\);_(* &quot;-&quot;??_);_(@_)">
                  <c:v>9.6223776223776234</c:v>
                </c:pt>
                <c:pt idx="52" formatCode="_(* #,##0.0000_);_(* \(#,##0.0000\);_(* &quot;-&quot;??_);_(@_)">
                  <c:v>9.6794521698945513</c:v>
                </c:pt>
                <c:pt idx="53" formatCode="_(* #,##0.0000_);_(* \(#,##0.0000\);_(* &quot;-&quot;??_);_(@_)">
                  <c:v>7.6439801162692733</c:v>
                </c:pt>
                <c:pt idx="54" formatCode="_(* #,##0.0000_);_(* \(#,##0.0000\);_(* &quot;-&quot;??_);_(@_)">
                  <c:v>5.4871794871794872</c:v>
                </c:pt>
                <c:pt idx="55" formatCode="_(* #,##0.0000_);_(* \(#,##0.0000\);_(* &quot;-&quot;??_);_(@_)">
                  <c:v>5.8668192565845514</c:v>
                </c:pt>
                <c:pt idx="56" formatCode="_(* #,##0.0000_);_(* \(#,##0.0000\);_(* &quot;-&quot;??_);_(@_)">
                  <c:v>6.1806227637509048</c:v>
                </c:pt>
                <c:pt idx="57" formatCode="_(* #,##0.0000_);_(* \(#,##0.0000\);_(* &quot;-&quot;??_);_(@_)">
                  <c:v>8.4163514776975159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'Flour (Adjusted)'!$M$6</c:f>
              <c:strCache>
                <c:ptCount val="1"/>
                <c:pt idx="0">
                  <c:v>Istanbul (Anatolia),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(Adjusted)'!$M$7:$M$107</c:f>
              <c:numCache>
                <c:formatCode>0.0000</c:formatCode>
                <c:ptCount val="101"/>
                <c:pt idx="47">
                  <c:v>9.7612732095490724</c:v>
                </c:pt>
                <c:pt idx="50">
                  <c:v>9.8461538461538467</c:v>
                </c:pt>
                <c:pt idx="52">
                  <c:v>7.4478006973910844</c:v>
                </c:pt>
                <c:pt idx="53">
                  <c:v>7.2794675204313766</c:v>
                </c:pt>
                <c:pt idx="54">
                  <c:v>4.9107692307692314</c:v>
                </c:pt>
                <c:pt idx="55">
                  <c:v>5.1385970277851776</c:v>
                </c:pt>
                <c:pt idx="56">
                  <c:v>5.4245121874224305</c:v>
                </c:pt>
                <c:pt idx="57">
                  <c:v>8.5792486030723083</c:v>
                </c:pt>
                <c:pt idx="58">
                  <c:v>8.3597175771088814</c:v>
                </c:pt>
                <c:pt idx="59">
                  <c:v>7.742666325725394</c:v>
                </c:pt>
                <c:pt idx="60">
                  <c:v>7.0387875688412676</c:v>
                </c:pt>
                <c:pt idx="61">
                  <c:v>6.5084552715309743</c:v>
                </c:pt>
                <c:pt idx="62">
                  <c:v>6.432215127867301</c:v>
                </c:pt>
                <c:pt idx="64">
                  <c:v>6.660344542745233</c:v>
                </c:pt>
                <c:pt idx="66">
                  <c:v>6.6025624906103699</c:v>
                </c:pt>
                <c:pt idx="67">
                  <c:v>7.0015315850342263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'Flour (Adjusted)'!$N$6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(Adjusted)'!$N$7:$N$107</c:f>
              <c:numCache>
                <c:formatCode>0.0000</c:formatCode>
                <c:ptCount val="101"/>
                <c:pt idx="49">
                  <c:v>11.072603163963485</c:v>
                </c:pt>
                <c:pt idx="50">
                  <c:v>13.714855640020089</c:v>
                </c:pt>
                <c:pt idx="52">
                  <c:v>10</c:v>
                </c:pt>
                <c:pt idx="56">
                  <c:v>16.345397943460849</c:v>
                </c:pt>
                <c:pt idx="58">
                  <c:v>13.754251700680289</c:v>
                </c:pt>
                <c:pt idx="70">
                  <c:v>9.5971948865916339</c:v>
                </c:pt>
                <c:pt idx="71">
                  <c:v>9.6973443931145429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'Flour (Adjusted)'!$O$6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(Adjusted)'!$O$7:$O$107</c:f>
              <c:numCache>
                <c:formatCode>0.0000</c:formatCode>
                <c:ptCount val="101"/>
                <c:pt idx="49">
                  <c:v>9.6475453698626517</c:v>
                </c:pt>
                <c:pt idx="50">
                  <c:v>10.903217981372604</c:v>
                </c:pt>
                <c:pt idx="67">
                  <c:v>4.1033434650455929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'Flour (Adjusted)'!$P$6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(Adjusted)'!$P$7:$P$107</c:f>
              <c:numCache>
                <c:formatCode>0.0000</c:formatCode>
                <c:ptCount val="101"/>
                <c:pt idx="43">
                  <c:v>12.5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8.0019709288001977</c:v>
                </c:pt>
                <c:pt idx="48">
                  <c:v>8.0047770700636942</c:v>
                </c:pt>
                <c:pt idx="49">
                  <c:v>7.9993895925530287</c:v>
                </c:pt>
                <c:pt idx="50">
                  <c:v>7.1013329050907341</c:v>
                </c:pt>
                <c:pt idx="51">
                  <c:v>7.7952917093142275</c:v>
                </c:pt>
                <c:pt idx="52">
                  <c:v>8.6918467649633069</c:v>
                </c:pt>
                <c:pt idx="53">
                  <c:v>6.7858588584536497</c:v>
                </c:pt>
                <c:pt idx="54">
                  <c:v>7.2722790583014918</c:v>
                </c:pt>
                <c:pt idx="55">
                  <c:v>5.7287438722260289</c:v>
                </c:pt>
                <c:pt idx="56">
                  <c:v>5.9992475545522952</c:v>
                </c:pt>
                <c:pt idx="57">
                  <c:v>6.7248556465690879</c:v>
                </c:pt>
                <c:pt idx="58">
                  <c:v>8.146836061568532</c:v>
                </c:pt>
                <c:pt idx="59">
                  <c:v>7.2265730488792865</c:v>
                </c:pt>
                <c:pt idx="60">
                  <c:v>6.2217394256229213</c:v>
                </c:pt>
                <c:pt idx="61">
                  <c:v>6.361890126776796</c:v>
                </c:pt>
                <c:pt idx="62">
                  <c:v>6.0001507954459772</c:v>
                </c:pt>
                <c:pt idx="63">
                  <c:v>6.045316514832983</c:v>
                </c:pt>
                <c:pt idx="64">
                  <c:v>7.4933362949800086</c:v>
                </c:pt>
                <c:pt idx="65">
                  <c:v>7.5924219150025607</c:v>
                </c:pt>
                <c:pt idx="66">
                  <c:v>7.5457070122656784</c:v>
                </c:pt>
                <c:pt idx="67">
                  <c:v>8.1914123124676657</c:v>
                </c:pt>
                <c:pt idx="68">
                  <c:v>10.549022788095046</c:v>
                </c:pt>
                <c:pt idx="69">
                  <c:v>10.706521739130434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'Flour (Adjusted)'!$Q$6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(Adjusted)'!$Q$7:$Q$107</c:f>
              <c:numCache>
                <c:formatCode>0.0000</c:formatCode>
                <c:ptCount val="101"/>
                <c:pt idx="37">
                  <c:v>22.238118569328801</c:v>
                </c:pt>
                <c:pt idx="38">
                  <c:v>21.042408998812199</c:v>
                </c:pt>
                <c:pt idx="39">
                  <c:v>24.729991333493402</c:v>
                </c:pt>
                <c:pt idx="40">
                  <c:v>13.86534222762654</c:v>
                </c:pt>
                <c:pt idx="41">
                  <c:v>13.90270219069814</c:v>
                </c:pt>
                <c:pt idx="42">
                  <c:v>14.76917547985134</c:v>
                </c:pt>
                <c:pt idx="43">
                  <c:v>14.77077398442318</c:v>
                </c:pt>
                <c:pt idx="44">
                  <c:v>17.231142927210939</c:v>
                </c:pt>
                <c:pt idx="49">
                  <c:v>14.767411282240822</c:v>
                </c:pt>
                <c:pt idx="50">
                  <c:v>14.769623421721041</c:v>
                </c:pt>
                <c:pt idx="51">
                  <c:v>14.7682677260142</c:v>
                </c:pt>
                <c:pt idx="52">
                  <c:v>14.769230769230759</c:v>
                </c:pt>
                <c:pt idx="53">
                  <c:v>14.7681432770896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'Flour (Adjusted)'!$R$6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(Adjusted)'!$R$7:$R$107</c:f>
              <c:numCache>
                <c:formatCode>0.0000</c:formatCode>
                <c:ptCount val="101"/>
                <c:pt idx="25">
                  <c:v>5.7517564402810306</c:v>
                </c:pt>
                <c:pt idx="26">
                  <c:v>6.0210889570552144</c:v>
                </c:pt>
                <c:pt idx="27">
                  <c:v>5.2576956904133683</c:v>
                </c:pt>
                <c:pt idx="49" formatCode="_(* #,##0.0000_);_(* \(#,##0.0000\);_(* &quot;-&quot;??_);_(@_)">
                  <c:v>12.307692307692307</c:v>
                </c:pt>
                <c:pt idx="69" formatCode="_(* #,##0.0000_);_(* \(#,##0.0000\);_(* &quot;-&quot;??_);_(@_)">
                  <c:v>4.3719575847480909</c:v>
                </c:pt>
              </c:numCache>
            </c:numRef>
          </c:val>
          <c:smooth val="0"/>
        </c:ser>
        <c:ser>
          <c:idx val="16"/>
          <c:order val="14"/>
          <c:tx>
            <c:strRef>
              <c:f>'Flour (Adjusted)'!$S$6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(Adjusted)'!$S$7:$S$107</c:f>
              <c:numCache>
                <c:formatCode>0.0000</c:formatCode>
                <c:ptCount val="101"/>
                <c:pt idx="38">
                  <c:v>26.56084656084656</c:v>
                </c:pt>
                <c:pt idx="39">
                  <c:v>21.448275862068968</c:v>
                </c:pt>
                <c:pt idx="40">
                  <c:v>21.431372549019606</c:v>
                </c:pt>
                <c:pt idx="41">
                  <c:v>21.56451612903226</c:v>
                </c:pt>
                <c:pt idx="42">
                  <c:v>21.932773109243698</c:v>
                </c:pt>
                <c:pt idx="43">
                  <c:v>21.833333333333336</c:v>
                </c:pt>
                <c:pt idx="47">
                  <c:v>19.570754716981131</c:v>
                </c:pt>
                <c:pt idx="48">
                  <c:v>20.2015503875969</c:v>
                </c:pt>
                <c:pt idx="49">
                  <c:v>22.246153846153849</c:v>
                </c:pt>
                <c:pt idx="50">
                  <c:v>14.454545454545441</c:v>
                </c:pt>
                <c:pt idx="51">
                  <c:v>22.280612244897934</c:v>
                </c:pt>
                <c:pt idx="52">
                  <c:v>22.883018867924505</c:v>
                </c:pt>
                <c:pt idx="53">
                  <c:v>20.802588996763735</c:v>
                </c:pt>
                <c:pt idx="54">
                  <c:v>21.868421052631557</c:v>
                </c:pt>
                <c:pt idx="55">
                  <c:v>20.322916666666647</c:v>
                </c:pt>
                <c:pt idx="56">
                  <c:v>41.872538860103582</c:v>
                </c:pt>
                <c:pt idx="57">
                  <c:v>24.150627615062739</c:v>
                </c:pt>
                <c:pt idx="58">
                  <c:v>21.221896383186689</c:v>
                </c:pt>
                <c:pt idx="59">
                  <c:v>17.263723150357979</c:v>
                </c:pt>
                <c:pt idx="60">
                  <c:v>19.309045226130635</c:v>
                </c:pt>
                <c:pt idx="61">
                  <c:v>17.159340659340639</c:v>
                </c:pt>
                <c:pt idx="62">
                  <c:v>17.082779991146509</c:v>
                </c:pt>
                <c:pt idx="63">
                  <c:v>18.706140350877174</c:v>
                </c:pt>
                <c:pt idx="64">
                  <c:v>38.261384335154794</c:v>
                </c:pt>
                <c:pt idx="65">
                  <c:v>39.03494347379236</c:v>
                </c:pt>
                <c:pt idx="66">
                  <c:v>40.158192090395445</c:v>
                </c:pt>
                <c:pt idx="67">
                  <c:v>41.713586291309625</c:v>
                </c:pt>
                <c:pt idx="68">
                  <c:v>41.028419182948447</c:v>
                </c:pt>
                <c:pt idx="69">
                  <c:v>56.554385964912235</c:v>
                </c:pt>
                <c:pt idx="70">
                  <c:v>35.046249999999972</c:v>
                </c:pt>
                <c:pt idx="71">
                  <c:v>32.30100755667506</c:v>
                </c:pt>
                <c:pt idx="72">
                  <c:v>30.1100826446281</c:v>
                </c:pt>
                <c:pt idx="73">
                  <c:v>28.538362068965519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35920"/>
        <c:axId val="780536480"/>
      </c:lineChart>
      <c:catAx>
        <c:axId val="78053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536480"/>
        <c:crosses val="autoZero"/>
        <c:auto val="1"/>
        <c:lblAlgn val="ctr"/>
        <c:lblOffset val="100"/>
        <c:noMultiLvlLbl val="0"/>
      </c:catAx>
      <c:valAx>
        <c:axId val="78053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53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21601466483359"/>
          <c:y val="0.22344295848011986"/>
          <c:w val="0.21843477898596009"/>
          <c:h val="0.558895171413531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Flour, UK, US, Black Sea, Caspian Sea, Persia, Persian Gulf,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'Flour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(Adjusted)'!$C$7:$C$107</c:f>
              <c:numCache>
                <c:formatCode>_(* #,##0.0000_);_(* \(#,##0.0000\);_(* "-"??_);_(@_)</c:formatCode>
                <c:ptCount val="101"/>
                <c:pt idx="14">
                  <c:v>21.777285373254696</c:v>
                </c:pt>
                <c:pt idx="15">
                  <c:v>24.199947065051148</c:v>
                </c:pt>
                <c:pt idx="16">
                  <c:v>20.542192891866708</c:v>
                </c:pt>
                <c:pt idx="17">
                  <c:v>18.03019813162372</c:v>
                </c:pt>
                <c:pt idx="18">
                  <c:v>16.543210324763642</c:v>
                </c:pt>
                <c:pt idx="19">
                  <c:v>14.375373311011815</c:v>
                </c:pt>
                <c:pt idx="20">
                  <c:v>16.98926904459503</c:v>
                </c:pt>
                <c:pt idx="21">
                  <c:v>16.075686119379043</c:v>
                </c:pt>
                <c:pt idx="22">
                  <c:v>14.949353506737067</c:v>
                </c:pt>
                <c:pt idx="23">
                  <c:v>13.500465704294148</c:v>
                </c:pt>
                <c:pt idx="24">
                  <c:v>12.552990199652468</c:v>
                </c:pt>
                <c:pt idx="25">
                  <c:v>13.44</c:v>
                </c:pt>
                <c:pt idx="26">
                  <c:v>15.270000000000014</c:v>
                </c:pt>
                <c:pt idx="27">
                  <c:v>19.589999999999989</c:v>
                </c:pt>
                <c:pt idx="28">
                  <c:v>18.30999999999996</c:v>
                </c:pt>
                <c:pt idx="29">
                  <c:v>14.039999999999962</c:v>
                </c:pt>
                <c:pt idx="30">
                  <c:v>14.090000000000027</c:v>
                </c:pt>
                <c:pt idx="31">
                  <c:v>17.590000000000028</c:v>
                </c:pt>
                <c:pt idx="32">
                  <c:v>18.630000000000013</c:v>
                </c:pt>
                <c:pt idx="33">
                  <c:v>18.830000000000002</c:v>
                </c:pt>
                <c:pt idx="34">
                  <c:v>18.23000000000004</c:v>
                </c:pt>
                <c:pt idx="35">
                  <c:v>15.869999999999974</c:v>
                </c:pt>
                <c:pt idx="36">
                  <c:v>15.910000000000029</c:v>
                </c:pt>
                <c:pt idx="37">
                  <c:v>18.459999999999976</c:v>
                </c:pt>
                <c:pt idx="38">
                  <c:v>17.329999999999963</c:v>
                </c:pt>
                <c:pt idx="39">
                  <c:v>15.850000000000041</c:v>
                </c:pt>
                <c:pt idx="40">
                  <c:v>16.489999999999959</c:v>
                </c:pt>
                <c:pt idx="41">
                  <c:v>16.209999999999962</c:v>
                </c:pt>
                <c:pt idx="42">
                  <c:v>16.330000000000027</c:v>
                </c:pt>
                <c:pt idx="43">
                  <c:v>15.120000000000003</c:v>
                </c:pt>
                <c:pt idx="44">
                  <c:v>13.470000000000041</c:v>
                </c:pt>
                <c:pt idx="45">
                  <c:v>12.190000000000015</c:v>
                </c:pt>
                <c:pt idx="46">
                  <c:v>11.200000000000001</c:v>
                </c:pt>
                <c:pt idx="47">
                  <c:v>11.099999999999961</c:v>
                </c:pt>
                <c:pt idx="48">
                  <c:v>11.270000000000001</c:v>
                </c:pt>
                <c:pt idx="49">
                  <c:v>11.650000000000039</c:v>
                </c:pt>
                <c:pt idx="50">
                  <c:v>11.510000000000041</c:v>
                </c:pt>
                <c:pt idx="51">
                  <c:v>12.18</c:v>
                </c:pt>
                <c:pt idx="52">
                  <c:v>11.099999999999961</c:v>
                </c:pt>
                <c:pt idx="53">
                  <c:v>9.5699999999999736</c:v>
                </c:pt>
                <c:pt idx="54">
                  <c:v>8.360000000000003</c:v>
                </c:pt>
                <c:pt idx="55">
                  <c:v>8.360000000000003</c:v>
                </c:pt>
                <c:pt idx="56">
                  <c:v>8.6600000000000019</c:v>
                </c:pt>
                <c:pt idx="57">
                  <c:v>10.279999999999989</c:v>
                </c:pt>
                <c:pt idx="58">
                  <c:v>10.99</c:v>
                </c:pt>
                <c:pt idx="59">
                  <c:v>9.33</c:v>
                </c:pt>
                <c:pt idx="60">
                  <c:v>9.379999999999999</c:v>
                </c:pt>
                <c:pt idx="61">
                  <c:v>9.1599999999999966</c:v>
                </c:pt>
                <c:pt idx="62">
                  <c:v>9.2099999999999991</c:v>
                </c:pt>
                <c:pt idx="63">
                  <c:v>9.4399999999999871</c:v>
                </c:pt>
                <c:pt idx="64">
                  <c:v>9.859999999999987</c:v>
                </c:pt>
                <c:pt idx="65">
                  <c:v>10.11000000000004</c:v>
                </c:pt>
                <c:pt idx="66">
                  <c:v>9.6100000000000279</c:v>
                </c:pt>
                <c:pt idx="67">
                  <c:v>10.069999999999986</c:v>
                </c:pt>
                <c:pt idx="68">
                  <c:v>10.909999999999988</c:v>
                </c:pt>
                <c:pt idx="69">
                  <c:v>11.529999999999973</c:v>
                </c:pt>
                <c:pt idx="70">
                  <c:v>11.070000000000014</c:v>
                </c:pt>
                <c:pt idx="71">
                  <c:v>10.489999999999988</c:v>
                </c:pt>
                <c:pt idx="72">
                  <c:v>10.829999999999973</c:v>
                </c:pt>
                <c:pt idx="73">
                  <c:v>10.600000000000041</c:v>
                </c:pt>
                <c:pt idx="74">
                  <c:v>11.02999999999996</c:v>
                </c:pt>
                <c:pt idx="75">
                  <c:v>15.859999999999962</c:v>
                </c:pt>
                <c:pt idx="76">
                  <c:v>17.209999999999987</c:v>
                </c:pt>
                <c:pt idx="77">
                  <c:v>25.759999999999998</c:v>
                </c:pt>
                <c:pt idx="78">
                  <c:v>27.069999999999975</c:v>
                </c:pt>
                <c:pt idx="79">
                  <c:v>29.05</c:v>
                </c:pt>
                <c:pt idx="80">
                  <c:v>35.500000000000014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'Flour (Adjusted)'!$D$6</c:f>
              <c:strCache>
                <c:ptCount val="1"/>
                <c:pt idx="0">
                  <c:v>UK, Retail,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(Adjusted)'!$D$7:$D$107</c:f>
              <c:numCache>
                <c:formatCode>_(* #,##0.0000_);_(* \(#,##0.0000\);_(* "-"??_);_(@_)</c:formatCode>
                <c:ptCount val="101"/>
                <c:pt idx="38">
                  <c:v>23.333333333333336</c:v>
                </c:pt>
                <c:pt idx="39">
                  <c:v>17.333333333333361</c:v>
                </c:pt>
                <c:pt idx="40">
                  <c:v>22.000000000000028</c:v>
                </c:pt>
                <c:pt idx="41">
                  <c:v>19.333333333333321</c:v>
                </c:pt>
                <c:pt idx="42">
                  <c:v>19.999999999999975</c:v>
                </c:pt>
                <c:pt idx="43">
                  <c:v>19.999999999999975</c:v>
                </c:pt>
                <c:pt idx="44">
                  <c:v>17.333333333333361</c:v>
                </c:pt>
                <c:pt idx="45">
                  <c:v>14</c:v>
                </c:pt>
                <c:pt idx="46">
                  <c:v>14</c:v>
                </c:pt>
                <c:pt idx="47">
                  <c:v>14.666666666666655</c:v>
                </c:pt>
                <c:pt idx="48">
                  <c:v>14</c:v>
                </c:pt>
                <c:pt idx="49">
                  <c:v>15.333333333333307</c:v>
                </c:pt>
                <c:pt idx="50">
                  <c:v>14</c:v>
                </c:pt>
                <c:pt idx="51">
                  <c:v>14.666666666666655</c:v>
                </c:pt>
                <c:pt idx="52">
                  <c:v>15.999999999999961</c:v>
                </c:pt>
                <c:pt idx="53">
                  <c:v>12.000000000000041</c:v>
                </c:pt>
                <c:pt idx="54">
                  <c:v>12.000000000000041</c:v>
                </c:pt>
                <c:pt idx="55">
                  <c:v>11.333333333333293</c:v>
                </c:pt>
                <c:pt idx="56">
                  <c:v>12.000000000000041</c:v>
                </c:pt>
                <c:pt idx="57">
                  <c:v>14</c:v>
                </c:pt>
                <c:pt idx="58">
                  <c:v>16.666666666666707</c:v>
                </c:pt>
                <c:pt idx="59">
                  <c:v>12.666666666666694</c:v>
                </c:pt>
                <c:pt idx="60">
                  <c:v>13.333333333333346</c:v>
                </c:pt>
                <c:pt idx="61">
                  <c:v>14</c:v>
                </c:pt>
                <c:pt idx="62">
                  <c:v>14</c:v>
                </c:pt>
                <c:pt idx="63">
                  <c:v>13.626666666666667</c:v>
                </c:pt>
                <c:pt idx="64">
                  <c:v>14.373333333333335</c:v>
                </c:pt>
                <c:pt idx="65">
                  <c:v>14.466666666666669</c:v>
                </c:pt>
                <c:pt idx="66">
                  <c:v>14.373333333333335</c:v>
                </c:pt>
                <c:pt idx="67">
                  <c:v>15.026666666666669</c:v>
                </c:pt>
                <c:pt idx="68">
                  <c:v>15.96</c:v>
                </c:pt>
                <c:pt idx="69">
                  <c:v>16.893333333333334</c:v>
                </c:pt>
                <c:pt idx="70">
                  <c:v>15.493333333333334</c:v>
                </c:pt>
                <c:pt idx="71">
                  <c:v>14.933333333333335</c:v>
                </c:pt>
                <c:pt idx="72">
                  <c:v>15.773333333333333</c:v>
                </c:pt>
                <c:pt idx="73">
                  <c:v>15.773333333333333</c:v>
                </c:pt>
                <c:pt idx="74">
                  <c:v>14.746666666666668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'Flour (Adjusted)'!$E$6</c:f>
              <c:strCache>
                <c:ptCount val="1"/>
                <c:pt idx="0">
                  <c:v>US,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(Adjusted)'!$E$7:$E$107</c:f>
              <c:numCache>
                <c:formatCode>0.0000</c:formatCode>
                <c:ptCount val="101"/>
                <c:pt idx="0">
                  <c:v>12.563772889256773</c:v>
                </c:pt>
                <c:pt idx="1">
                  <c:v>12.023648073456974</c:v>
                </c:pt>
                <c:pt idx="2">
                  <c:v>13.503120394995653</c:v>
                </c:pt>
                <c:pt idx="3">
                  <c:v>10.497208376631388</c:v>
                </c:pt>
                <c:pt idx="4">
                  <c:v>11.037333192431188</c:v>
                </c:pt>
                <c:pt idx="5">
                  <c:v>10.614626814848748</c:v>
                </c:pt>
                <c:pt idx="6">
                  <c:v>11.953197010526521</c:v>
                </c:pt>
                <c:pt idx="7">
                  <c:v>13.996277835508549</c:v>
                </c:pt>
                <c:pt idx="8">
                  <c:v>14.606853714238708</c:v>
                </c:pt>
                <c:pt idx="9">
                  <c:v>12.563772889256773</c:v>
                </c:pt>
                <c:pt idx="10">
                  <c:v>12.023648073456974</c:v>
                </c:pt>
                <c:pt idx="11">
                  <c:v>11.225202693579002</c:v>
                </c:pt>
                <c:pt idx="12">
                  <c:v>9.9570835608315882</c:v>
                </c:pt>
                <c:pt idx="13">
                  <c:v>11.882745947596161</c:v>
                </c:pt>
                <c:pt idx="14">
                  <c:v>16.180260786351294</c:v>
                </c:pt>
                <c:pt idx="15">
                  <c:v>21.243343842283547</c:v>
                </c:pt>
                <c:pt idx="16">
                  <c:v>19.585395494654549</c:v>
                </c:pt>
                <c:pt idx="17">
                  <c:v>16.375175393792041</c:v>
                </c:pt>
                <c:pt idx="18">
                  <c:v>10.577052914619149</c:v>
                </c:pt>
                <c:pt idx="19">
                  <c:v>13.937568616399867</c:v>
                </c:pt>
                <c:pt idx="20">
                  <c:v>13.890601241112867</c:v>
                </c:pt>
                <c:pt idx="21">
                  <c:v>13.388050325542574</c:v>
                </c:pt>
                <c:pt idx="22">
                  <c:v>11.690026329141627</c:v>
                </c:pt>
                <c:pt idx="23">
                  <c:v>10.449594067800534</c:v>
                </c:pt>
                <c:pt idx="24">
                  <c:v>8.30881284896628</c:v>
                </c:pt>
                <c:pt idx="25">
                  <c:v>15.544320136288441</c:v>
                </c:pt>
                <c:pt idx="26">
                  <c:v>14.045211907134613</c:v>
                </c:pt>
                <c:pt idx="27">
                  <c:v>15.036696957819974</c:v>
                </c:pt>
                <c:pt idx="28">
                  <c:v>16.926073792563042</c:v>
                </c:pt>
                <c:pt idx="29">
                  <c:v>13.628642731424561</c:v>
                </c:pt>
                <c:pt idx="30">
                  <c:v>12.491932017136042</c:v>
                </c:pt>
                <c:pt idx="31">
                  <c:v>13.863154549780294</c:v>
                </c:pt>
                <c:pt idx="32">
                  <c:v>14.852805645679121</c:v>
                </c:pt>
                <c:pt idx="33">
                  <c:v>15.487265005645627</c:v>
                </c:pt>
                <c:pt idx="34">
                  <c:v>15.023646933062041</c:v>
                </c:pt>
                <c:pt idx="35">
                  <c:v>11.645783480634988</c:v>
                </c:pt>
                <c:pt idx="36">
                  <c:v>13.091892591194014</c:v>
                </c:pt>
                <c:pt idx="37">
                  <c:v>14.538374564011201</c:v>
                </c:pt>
                <c:pt idx="38">
                  <c:v>14.812429170355788</c:v>
                </c:pt>
                <c:pt idx="39">
                  <c:v>12.333632750350802</c:v>
                </c:pt>
                <c:pt idx="40">
                  <c:v>13.80371159683208</c:v>
                </c:pt>
                <c:pt idx="41">
                  <c:v>13.310554156319187</c:v>
                </c:pt>
                <c:pt idx="42">
                  <c:v>14.440119531970067</c:v>
                </c:pt>
                <c:pt idx="43">
                  <c:v>13.984535991686773</c:v>
                </c:pt>
                <c:pt idx="44">
                  <c:v>13.122684655171373</c:v>
                </c:pt>
                <c:pt idx="45">
                  <c:v>11.4999618390076</c:v>
                </c:pt>
                <c:pt idx="46">
                  <c:v>11.034984823666814</c:v>
                </c:pt>
                <c:pt idx="47">
                  <c:v>10.591143127205294</c:v>
                </c:pt>
                <c:pt idx="48">
                  <c:v>10.753180571945187</c:v>
                </c:pt>
                <c:pt idx="49">
                  <c:v>11.347317869325014</c:v>
                </c:pt>
                <c:pt idx="50">
                  <c:v>10.943398441857282</c:v>
                </c:pt>
                <c:pt idx="51">
                  <c:v>11.319137444152814</c:v>
                </c:pt>
                <c:pt idx="52">
                  <c:v>11.64790907116144</c:v>
                </c:pt>
                <c:pt idx="53">
                  <c:v>10.661594190135654</c:v>
                </c:pt>
                <c:pt idx="54">
                  <c:v>9.6517956214664142</c:v>
                </c:pt>
                <c:pt idx="55">
                  <c:v>7.9374864234930786</c:v>
                </c:pt>
                <c:pt idx="56">
                  <c:v>8.3601928010755557</c:v>
                </c:pt>
                <c:pt idx="57">
                  <c:v>9.017736055092735</c:v>
                </c:pt>
                <c:pt idx="58">
                  <c:v>10.591143127205294</c:v>
                </c:pt>
                <c:pt idx="59">
                  <c:v>9.4874098079621483</c:v>
                </c:pt>
                <c:pt idx="60">
                  <c:v>8.5010949269363785</c:v>
                </c:pt>
                <c:pt idx="61">
                  <c:v>8.7359318033710807</c:v>
                </c:pt>
                <c:pt idx="62">
                  <c:v>8.6889644280841463</c:v>
                </c:pt>
                <c:pt idx="63">
                  <c:v>8.7828991786580239</c:v>
                </c:pt>
                <c:pt idx="64">
                  <c:v>9.5108934956056022</c:v>
                </c:pt>
                <c:pt idx="65">
                  <c:v>10.685077877779108</c:v>
                </c:pt>
                <c:pt idx="66">
                  <c:v>9.9805672484750403</c:v>
                </c:pt>
                <c:pt idx="67">
                  <c:v>9.3699913697447865</c:v>
                </c:pt>
                <c:pt idx="68">
                  <c:v>10.825980003640014</c:v>
                </c:pt>
                <c:pt idx="69">
                  <c:v>11.413072194726722</c:v>
                </c:pt>
                <c:pt idx="70">
                  <c:v>12.375903388109053</c:v>
                </c:pt>
                <c:pt idx="71">
                  <c:v>11.46003957001372</c:v>
                </c:pt>
                <c:pt idx="72">
                  <c:v>10.872947378926922</c:v>
                </c:pt>
                <c:pt idx="73">
                  <c:v>10.961663255181522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'Flour (Adjusted)'!$L$6</c:f>
              <c:strCache>
                <c:ptCount val="1"/>
                <c:pt idx="0">
                  <c:v>Istanbul (Rumeli), 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(Adjusted)'!$L$7:$L$107</c:f>
              <c:numCache>
                <c:formatCode>0.0000</c:formatCode>
                <c:ptCount val="101"/>
                <c:pt idx="47" formatCode="_(* #,##0.0000_);_(* \(#,##0.0000\);_(* &quot;-&quot;??_);_(@_)">
                  <c:v>8.2758620689655178</c:v>
                </c:pt>
                <c:pt idx="49" formatCode="_(* #,##0.0000_);_(* \(#,##0.0000\);_(* &quot;-&quot;??_);_(@_)">
                  <c:v>7.8601398601398609</c:v>
                </c:pt>
                <c:pt idx="50" formatCode="_(* #,##0.0000_);_(* \(#,##0.0000\);_(* &quot;-&quot;??_);_(@_)">
                  <c:v>9.6223776223776234</c:v>
                </c:pt>
                <c:pt idx="52" formatCode="_(* #,##0.0000_);_(* \(#,##0.0000\);_(* &quot;-&quot;??_);_(@_)">
                  <c:v>9.6794521698945513</c:v>
                </c:pt>
                <c:pt idx="53" formatCode="_(* #,##0.0000_);_(* \(#,##0.0000\);_(* &quot;-&quot;??_);_(@_)">
                  <c:v>7.6439801162692733</c:v>
                </c:pt>
                <c:pt idx="54" formatCode="_(* #,##0.0000_);_(* \(#,##0.0000\);_(* &quot;-&quot;??_);_(@_)">
                  <c:v>5.4871794871794872</c:v>
                </c:pt>
                <c:pt idx="55" formatCode="_(* #,##0.0000_);_(* \(#,##0.0000\);_(* &quot;-&quot;??_);_(@_)">
                  <c:v>5.8668192565845514</c:v>
                </c:pt>
                <c:pt idx="56" formatCode="_(* #,##0.0000_);_(* \(#,##0.0000\);_(* &quot;-&quot;??_);_(@_)">
                  <c:v>6.1806227637509048</c:v>
                </c:pt>
                <c:pt idx="57" formatCode="_(* #,##0.0000_);_(* \(#,##0.0000\);_(* &quot;-&quot;??_);_(@_)">
                  <c:v>8.4163514776975159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'Flour (Adjusted)'!$M$6</c:f>
              <c:strCache>
                <c:ptCount val="1"/>
                <c:pt idx="0">
                  <c:v>Istanbul (Anatolia),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(Adjusted)'!$M$7:$M$107</c:f>
              <c:numCache>
                <c:formatCode>0.0000</c:formatCode>
                <c:ptCount val="101"/>
                <c:pt idx="47">
                  <c:v>9.7612732095490724</c:v>
                </c:pt>
                <c:pt idx="50">
                  <c:v>9.8461538461538467</c:v>
                </c:pt>
                <c:pt idx="52">
                  <c:v>7.4478006973910844</c:v>
                </c:pt>
                <c:pt idx="53">
                  <c:v>7.2794675204313766</c:v>
                </c:pt>
                <c:pt idx="54">
                  <c:v>4.9107692307692314</c:v>
                </c:pt>
                <c:pt idx="55">
                  <c:v>5.1385970277851776</c:v>
                </c:pt>
                <c:pt idx="56">
                  <c:v>5.4245121874224305</c:v>
                </c:pt>
                <c:pt idx="57">
                  <c:v>8.5792486030723083</c:v>
                </c:pt>
                <c:pt idx="58">
                  <c:v>8.3597175771088814</c:v>
                </c:pt>
                <c:pt idx="59">
                  <c:v>7.742666325725394</c:v>
                </c:pt>
                <c:pt idx="60">
                  <c:v>7.0387875688412676</c:v>
                </c:pt>
                <c:pt idx="61">
                  <c:v>6.5084552715309743</c:v>
                </c:pt>
                <c:pt idx="62">
                  <c:v>6.432215127867301</c:v>
                </c:pt>
                <c:pt idx="64">
                  <c:v>6.660344542745233</c:v>
                </c:pt>
                <c:pt idx="66">
                  <c:v>6.6025624906103699</c:v>
                </c:pt>
                <c:pt idx="67">
                  <c:v>7.0015315850342263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'Flour (Adjusted)'!$N$6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(Adjusted)'!$N$7:$N$107</c:f>
              <c:numCache>
                <c:formatCode>0.0000</c:formatCode>
                <c:ptCount val="101"/>
                <c:pt idx="49">
                  <c:v>11.072603163963485</c:v>
                </c:pt>
                <c:pt idx="50">
                  <c:v>13.714855640020089</c:v>
                </c:pt>
                <c:pt idx="52">
                  <c:v>10</c:v>
                </c:pt>
                <c:pt idx="56">
                  <c:v>16.345397943460849</c:v>
                </c:pt>
                <c:pt idx="58">
                  <c:v>13.754251700680289</c:v>
                </c:pt>
                <c:pt idx="70">
                  <c:v>9.5971948865916339</c:v>
                </c:pt>
                <c:pt idx="71">
                  <c:v>9.6973443931145429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'Flour (Adjusted)'!$O$6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(Adjusted)'!$O$7:$O$107</c:f>
              <c:numCache>
                <c:formatCode>0.0000</c:formatCode>
                <c:ptCount val="101"/>
                <c:pt idx="49">
                  <c:v>9.6475453698626517</c:v>
                </c:pt>
                <c:pt idx="50">
                  <c:v>10.903217981372604</c:v>
                </c:pt>
                <c:pt idx="67">
                  <c:v>4.1033434650455929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'Flour (Adjusted)'!$P$6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(Adjusted)'!$P$7:$P$107</c:f>
              <c:numCache>
                <c:formatCode>0.0000</c:formatCode>
                <c:ptCount val="101"/>
                <c:pt idx="43">
                  <c:v>12.5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8.0019709288001977</c:v>
                </c:pt>
                <c:pt idx="48">
                  <c:v>8.0047770700636942</c:v>
                </c:pt>
                <c:pt idx="49">
                  <c:v>7.9993895925530287</c:v>
                </c:pt>
                <c:pt idx="50">
                  <c:v>7.1013329050907341</c:v>
                </c:pt>
                <c:pt idx="51">
                  <c:v>7.7952917093142275</c:v>
                </c:pt>
                <c:pt idx="52">
                  <c:v>8.6918467649633069</c:v>
                </c:pt>
                <c:pt idx="53">
                  <c:v>6.7858588584536497</c:v>
                </c:pt>
                <c:pt idx="54">
                  <c:v>7.2722790583014918</c:v>
                </c:pt>
                <c:pt idx="55">
                  <c:v>5.7287438722260289</c:v>
                </c:pt>
                <c:pt idx="56">
                  <c:v>5.9992475545522952</c:v>
                </c:pt>
                <c:pt idx="57">
                  <c:v>6.7248556465690879</c:v>
                </c:pt>
                <c:pt idx="58">
                  <c:v>8.146836061568532</c:v>
                </c:pt>
                <c:pt idx="59">
                  <c:v>7.2265730488792865</c:v>
                </c:pt>
                <c:pt idx="60">
                  <c:v>6.2217394256229213</c:v>
                </c:pt>
                <c:pt idx="61">
                  <c:v>6.361890126776796</c:v>
                </c:pt>
                <c:pt idx="62">
                  <c:v>6.0001507954459772</c:v>
                </c:pt>
                <c:pt idx="63">
                  <c:v>6.045316514832983</c:v>
                </c:pt>
                <c:pt idx="64">
                  <c:v>7.4933362949800086</c:v>
                </c:pt>
                <c:pt idx="65">
                  <c:v>7.5924219150025607</c:v>
                </c:pt>
                <c:pt idx="66">
                  <c:v>7.5457070122656784</c:v>
                </c:pt>
                <c:pt idx="67">
                  <c:v>8.1914123124676657</c:v>
                </c:pt>
                <c:pt idx="68">
                  <c:v>10.549022788095046</c:v>
                </c:pt>
                <c:pt idx="69">
                  <c:v>10.706521739130434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'Flour (Adjusted)'!$Q$6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(Adjusted)'!$Q$7:$Q$107</c:f>
              <c:numCache>
                <c:formatCode>0.0000</c:formatCode>
                <c:ptCount val="101"/>
                <c:pt idx="37">
                  <c:v>22.238118569328801</c:v>
                </c:pt>
                <c:pt idx="38">
                  <c:v>21.042408998812199</c:v>
                </c:pt>
                <c:pt idx="39">
                  <c:v>24.729991333493402</c:v>
                </c:pt>
                <c:pt idx="40">
                  <c:v>13.86534222762654</c:v>
                </c:pt>
                <c:pt idx="41">
                  <c:v>13.90270219069814</c:v>
                </c:pt>
                <c:pt idx="42">
                  <c:v>14.76917547985134</c:v>
                </c:pt>
                <c:pt idx="43">
                  <c:v>14.77077398442318</c:v>
                </c:pt>
                <c:pt idx="44">
                  <c:v>17.231142927210939</c:v>
                </c:pt>
                <c:pt idx="49">
                  <c:v>14.767411282240822</c:v>
                </c:pt>
                <c:pt idx="50">
                  <c:v>14.769623421721041</c:v>
                </c:pt>
                <c:pt idx="51">
                  <c:v>14.7682677260142</c:v>
                </c:pt>
                <c:pt idx="52">
                  <c:v>14.769230769230759</c:v>
                </c:pt>
                <c:pt idx="53">
                  <c:v>14.7681432770896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'Flour (Adjusted)'!$R$6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(Adjusted)'!$R$7:$R$107</c:f>
              <c:numCache>
                <c:formatCode>0.0000</c:formatCode>
                <c:ptCount val="101"/>
                <c:pt idx="25">
                  <c:v>5.7517564402810306</c:v>
                </c:pt>
                <c:pt idx="26">
                  <c:v>6.0210889570552144</c:v>
                </c:pt>
                <c:pt idx="27">
                  <c:v>5.2576956904133683</c:v>
                </c:pt>
                <c:pt idx="49" formatCode="_(* #,##0.0000_);_(* \(#,##0.0000\);_(* &quot;-&quot;??_);_(@_)">
                  <c:v>12.307692307692307</c:v>
                </c:pt>
                <c:pt idx="69" formatCode="_(* #,##0.0000_);_(* \(#,##0.0000\);_(* &quot;-&quot;??_);_(@_)">
                  <c:v>4.3719575847480909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'Flour (Adjusted)'!$S$6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(Adjusted)'!$S$7:$S$107</c:f>
              <c:numCache>
                <c:formatCode>0.0000</c:formatCode>
                <c:ptCount val="101"/>
                <c:pt idx="38">
                  <c:v>26.56084656084656</c:v>
                </c:pt>
                <c:pt idx="39">
                  <c:v>21.448275862068968</c:v>
                </c:pt>
                <c:pt idx="40">
                  <c:v>21.431372549019606</c:v>
                </c:pt>
                <c:pt idx="41">
                  <c:v>21.56451612903226</c:v>
                </c:pt>
                <c:pt idx="42">
                  <c:v>21.932773109243698</c:v>
                </c:pt>
                <c:pt idx="43">
                  <c:v>21.833333333333336</c:v>
                </c:pt>
                <c:pt idx="47">
                  <c:v>19.570754716981131</c:v>
                </c:pt>
                <c:pt idx="48">
                  <c:v>20.2015503875969</c:v>
                </c:pt>
                <c:pt idx="49">
                  <c:v>22.246153846153849</c:v>
                </c:pt>
                <c:pt idx="50">
                  <c:v>14.454545454545441</c:v>
                </c:pt>
                <c:pt idx="51">
                  <c:v>22.280612244897934</c:v>
                </c:pt>
                <c:pt idx="52">
                  <c:v>22.883018867924505</c:v>
                </c:pt>
                <c:pt idx="53">
                  <c:v>20.802588996763735</c:v>
                </c:pt>
                <c:pt idx="54">
                  <c:v>21.868421052631557</c:v>
                </c:pt>
                <c:pt idx="55">
                  <c:v>20.322916666666647</c:v>
                </c:pt>
                <c:pt idx="56">
                  <c:v>41.872538860103582</c:v>
                </c:pt>
                <c:pt idx="57">
                  <c:v>24.150627615062739</c:v>
                </c:pt>
                <c:pt idx="58">
                  <c:v>21.221896383186689</c:v>
                </c:pt>
                <c:pt idx="59">
                  <c:v>17.263723150357979</c:v>
                </c:pt>
                <c:pt idx="60">
                  <c:v>19.309045226130635</c:v>
                </c:pt>
                <c:pt idx="61">
                  <c:v>17.159340659340639</c:v>
                </c:pt>
                <c:pt idx="62">
                  <c:v>17.082779991146509</c:v>
                </c:pt>
                <c:pt idx="63">
                  <c:v>18.706140350877174</c:v>
                </c:pt>
                <c:pt idx="64">
                  <c:v>38.261384335154794</c:v>
                </c:pt>
                <c:pt idx="65">
                  <c:v>39.03494347379236</c:v>
                </c:pt>
                <c:pt idx="66">
                  <c:v>40.158192090395445</c:v>
                </c:pt>
                <c:pt idx="67">
                  <c:v>41.713586291309625</c:v>
                </c:pt>
                <c:pt idx="68">
                  <c:v>41.028419182948447</c:v>
                </c:pt>
                <c:pt idx="69">
                  <c:v>56.554385964912235</c:v>
                </c:pt>
                <c:pt idx="70">
                  <c:v>35.046249999999972</c:v>
                </c:pt>
                <c:pt idx="71">
                  <c:v>32.30100755667506</c:v>
                </c:pt>
                <c:pt idx="72">
                  <c:v>30.1100826446281</c:v>
                </c:pt>
                <c:pt idx="73">
                  <c:v>28.538362068965519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'Flour (Adjusted)'!$T$6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(Adjusted)'!$T$7:$T$107</c:f>
              <c:numCache>
                <c:formatCode>0.0000</c:formatCode>
                <c:ptCount val="101"/>
                <c:pt idx="62">
                  <c:v>16.148659146701469</c:v>
                </c:pt>
                <c:pt idx="63">
                  <c:v>13.15377063149511</c:v>
                </c:pt>
                <c:pt idx="64">
                  <c:v>9.5357962537943379</c:v>
                </c:pt>
                <c:pt idx="65">
                  <c:v>4.5517280744313506</c:v>
                </c:pt>
                <c:pt idx="66">
                  <c:v>15.873615277064093</c:v>
                </c:pt>
                <c:pt idx="67">
                  <c:v>1.6699828676662991</c:v>
                </c:pt>
                <c:pt idx="68">
                  <c:v>23.237188114711646</c:v>
                </c:pt>
                <c:pt idx="69">
                  <c:v>23.613902157799295</c:v>
                </c:pt>
                <c:pt idx="70">
                  <c:v>18.740331491712702</c:v>
                </c:pt>
                <c:pt idx="71">
                  <c:v>24.417935006170275</c:v>
                </c:pt>
                <c:pt idx="72">
                  <c:v>20.270588060190203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'Flour (Adjusted)'!$U$6</c:f>
              <c:strCache>
                <c:ptCount val="1"/>
                <c:pt idx="0">
                  <c:v>Resht &amp; Mazandaran,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(Adjusted)'!$U$7:$U$107</c:f>
              <c:numCache>
                <c:formatCode>0.0000</c:formatCode>
                <c:ptCount val="101"/>
                <c:pt idx="51">
                  <c:v>7.1036553795174466</c:v>
                </c:pt>
                <c:pt idx="53">
                  <c:v>5.5699939038085216</c:v>
                </c:pt>
                <c:pt idx="55">
                  <c:v>5.5342908287106942</c:v>
                </c:pt>
                <c:pt idx="62">
                  <c:v>8.926314260115749</c:v>
                </c:pt>
                <c:pt idx="66">
                  <c:v>7.6130976653220825</c:v>
                </c:pt>
                <c:pt idx="67">
                  <c:v>6.8857224214197883</c:v>
                </c:pt>
                <c:pt idx="68">
                  <c:v>13.247862101829041</c:v>
                </c:pt>
                <c:pt idx="69">
                  <c:v>13.083971883069159</c:v>
                </c:pt>
                <c:pt idx="70">
                  <c:v>12.386184911428899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'Flour (Adjusted)'!$V$6</c:f>
              <c:strCache>
                <c:ptCount val="1"/>
                <c:pt idx="0">
                  <c:v>Resht,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(Adjusted)'!$V$7:$V$107</c:f>
              <c:numCache>
                <c:formatCode>0.0000</c:formatCode>
                <c:ptCount val="101"/>
                <c:pt idx="33">
                  <c:v>5.8584615384615493</c:v>
                </c:pt>
                <c:pt idx="34">
                  <c:v>5.8609975470155424</c:v>
                </c:pt>
                <c:pt idx="35">
                  <c:v>6.7639215686274392</c:v>
                </c:pt>
                <c:pt idx="53">
                  <c:v>3.8986354775828547</c:v>
                </c:pt>
              </c:numCache>
            </c:numRef>
          </c:val>
          <c:smooth val="0"/>
        </c:ser>
        <c:ser>
          <c:idx val="16"/>
          <c:order val="14"/>
          <c:tx>
            <c:strRef>
              <c:f>'Flour (Adjusted)'!$W$6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(Adjusted)'!$W$7:$W$107</c:f>
              <c:numCache>
                <c:formatCode>0.0000</c:formatCode>
                <c:ptCount val="101"/>
                <c:pt idx="66">
                  <c:v>11.937507335936964</c:v>
                </c:pt>
                <c:pt idx="67">
                  <c:v>12.701492924866324</c:v>
                </c:pt>
                <c:pt idx="68">
                  <c:v>12.759556141928826</c:v>
                </c:pt>
                <c:pt idx="69">
                  <c:v>12.965640200352739</c:v>
                </c:pt>
                <c:pt idx="70">
                  <c:v>11.717630772687169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'Flour (Adjusted)'!$X$6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(Adjusted)'!$X$7:$X$107</c:f>
              <c:numCache>
                <c:formatCode>0.0000</c:formatCode>
                <c:ptCount val="101"/>
                <c:pt idx="66">
                  <c:v>12.538907566940027</c:v>
                </c:pt>
                <c:pt idx="67">
                  <c:v>12.641985460229776</c:v>
                </c:pt>
                <c:pt idx="68">
                  <c:v>12.663927347117378</c:v>
                </c:pt>
                <c:pt idx="69">
                  <c:v>12.318205042935837</c:v>
                </c:pt>
                <c:pt idx="70">
                  <c:v>12.221812219259732</c:v>
                </c:pt>
              </c:numCache>
            </c:numRef>
          </c:val>
          <c:smooth val="0"/>
        </c:ser>
        <c:ser>
          <c:idx val="19"/>
          <c:order val="16"/>
          <c:tx>
            <c:strRef>
              <c:f>'Flour (Adjusted)'!$Z$6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(Adjusted)'!$Z$7:$Z$107</c:f>
              <c:numCache>
                <c:formatCode>0.0000</c:formatCode>
                <c:ptCount val="101"/>
                <c:pt idx="68">
                  <c:v>9.8181432660706083</c:v>
                </c:pt>
                <c:pt idx="69">
                  <c:v>9.987871097037031</c:v>
                </c:pt>
                <c:pt idx="70">
                  <c:v>6.768548842315008</c:v>
                </c:pt>
              </c:numCache>
            </c:numRef>
          </c:val>
          <c:smooth val="0"/>
        </c:ser>
        <c:ser>
          <c:idx val="20"/>
          <c:order val="17"/>
          <c:tx>
            <c:strRef>
              <c:f>'Flour (Adjusted)'!$AA$6</c:f>
              <c:strCache>
                <c:ptCount val="1"/>
                <c:pt idx="0">
                  <c:v>Muscat &amp; Bahrain,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(Adjusted)'!$AA$7:$AA$107</c:f>
              <c:numCache>
                <c:formatCode>0.0000</c:formatCode>
                <c:ptCount val="101"/>
                <c:pt idx="40">
                  <c:v>11.58154502512766</c:v>
                </c:pt>
                <c:pt idx="41">
                  <c:v>12.006792759686659</c:v>
                </c:pt>
                <c:pt idx="42">
                  <c:v>13.431347179977401</c:v>
                </c:pt>
                <c:pt idx="43">
                  <c:v>8.319700767027939</c:v>
                </c:pt>
                <c:pt idx="44">
                  <c:v>17.818149088245541</c:v>
                </c:pt>
                <c:pt idx="45">
                  <c:v>19.976537379421217</c:v>
                </c:pt>
                <c:pt idx="46">
                  <c:v>17.567375138114681</c:v>
                </c:pt>
                <c:pt idx="47">
                  <c:v>15.57108250878346</c:v>
                </c:pt>
                <c:pt idx="48">
                  <c:v>13.83289640122438</c:v>
                </c:pt>
                <c:pt idx="49">
                  <c:v>13.262250659364877</c:v>
                </c:pt>
                <c:pt idx="50">
                  <c:v>8.1294868081041809</c:v>
                </c:pt>
                <c:pt idx="51">
                  <c:v>6.8890864275108594</c:v>
                </c:pt>
                <c:pt idx="52">
                  <c:v>6.4452176638671794</c:v>
                </c:pt>
                <c:pt idx="53">
                  <c:v>7.4840964139999402</c:v>
                </c:pt>
                <c:pt idx="65">
                  <c:v>10.668181818181814</c:v>
                </c:pt>
                <c:pt idx="66">
                  <c:v>11.333187613843387</c:v>
                </c:pt>
                <c:pt idx="67">
                  <c:v>10.667138309161693</c:v>
                </c:pt>
                <c:pt idx="68">
                  <c:v>10.666666666666639</c:v>
                </c:pt>
                <c:pt idx="70">
                  <c:v>10.100129198966401</c:v>
                </c:pt>
                <c:pt idx="71">
                  <c:v>9.36170212765958</c:v>
                </c:pt>
                <c:pt idx="72">
                  <c:v>9.1047297297297334</c:v>
                </c:pt>
                <c:pt idx="73">
                  <c:v>11.554666666666668</c:v>
                </c:pt>
                <c:pt idx="74">
                  <c:v>10.755120213713308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'Flour (Adjusted)'!$AB$6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(Adjusted)'!$AB$7:$AB$107</c:f>
              <c:numCache>
                <c:formatCode>0.0000</c:formatCode>
                <c:ptCount val="101"/>
                <c:pt idx="56">
                  <c:v>11.76</c:v>
                </c:pt>
                <c:pt idx="57">
                  <c:v>12.48888888888888</c:v>
                </c:pt>
                <c:pt idx="58">
                  <c:v>6.25</c:v>
                </c:pt>
                <c:pt idx="59">
                  <c:v>6.6679999999999993</c:v>
                </c:pt>
                <c:pt idx="66">
                  <c:v>6.5257452574525798</c:v>
                </c:pt>
                <c:pt idx="67">
                  <c:v>8.1721249047981797</c:v>
                </c:pt>
                <c:pt idx="68">
                  <c:v>9.6456692913385798</c:v>
                </c:pt>
                <c:pt idx="69">
                  <c:v>9.6578387782718007</c:v>
                </c:pt>
                <c:pt idx="70">
                  <c:v>9.8698481561822202</c:v>
                </c:pt>
                <c:pt idx="71">
                  <c:v>13.978102189781021</c:v>
                </c:pt>
                <c:pt idx="72">
                  <c:v>10.807291666666661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'Flour (Adjusted)'!$AC$6</c:f>
              <c:strCache>
                <c:ptCount val="1"/>
                <c:pt idx="0">
                  <c:v>Mohammerah &amp; Lingah,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(Adjusted)'!$AC$7:$AC$107</c:f>
              <c:numCache>
                <c:formatCode>0.0000</c:formatCode>
                <c:ptCount val="101"/>
                <c:pt idx="56">
                  <c:v>6.7136150234741798</c:v>
                </c:pt>
                <c:pt idx="57">
                  <c:v>10</c:v>
                </c:pt>
                <c:pt idx="58">
                  <c:v>4.31924882629108</c:v>
                </c:pt>
                <c:pt idx="59">
                  <c:v>6.002886002886</c:v>
                </c:pt>
                <c:pt idx="66">
                  <c:v>12.67857142857142</c:v>
                </c:pt>
                <c:pt idx="67">
                  <c:v>11.9753086419753</c:v>
                </c:pt>
                <c:pt idx="68">
                  <c:v>11.9108280254777</c:v>
                </c:pt>
                <c:pt idx="69">
                  <c:v>14.60292374555512</c:v>
                </c:pt>
                <c:pt idx="70">
                  <c:v>16.565164433617539</c:v>
                </c:pt>
                <c:pt idx="71">
                  <c:v>12.658772874058119</c:v>
                </c:pt>
                <c:pt idx="72">
                  <c:v>11.358361774744019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506704"/>
        <c:axId val="756507264"/>
      </c:lineChart>
      <c:catAx>
        <c:axId val="75650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07264"/>
        <c:crosses val="autoZero"/>
        <c:auto val="1"/>
        <c:lblAlgn val="ctr"/>
        <c:lblOffset val="100"/>
        <c:noMultiLvlLbl val="0"/>
      </c:catAx>
      <c:valAx>
        <c:axId val="75650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0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81357158817663"/>
          <c:y val="0.16758215519251912"/>
          <c:w val="0.24912755505307707"/>
          <c:h val="0.717790759229849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Flour, UK, US, Black Sea, Mediterranean Sea, Persian Gulf &amp; India,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'Flour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(Adjusted)'!$C$7:$C$107</c:f>
              <c:numCache>
                <c:formatCode>_(* #,##0.0000_);_(* \(#,##0.0000\);_(* "-"??_);_(@_)</c:formatCode>
                <c:ptCount val="101"/>
                <c:pt idx="14">
                  <c:v>21.777285373254696</c:v>
                </c:pt>
                <c:pt idx="15">
                  <c:v>24.199947065051148</c:v>
                </c:pt>
                <c:pt idx="16">
                  <c:v>20.542192891866708</c:v>
                </c:pt>
                <c:pt idx="17">
                  <c:v>18.03019813162372</c:v>
                </c:pt>
                <c:pt idx="18">
                  <c:v>16.543210324763642</c:v>
                </c:pt>
                <c:pt idx="19">
                  <c:v>14.375373311011815</c:v>
                </c:pt>
                <c:pt idx="20">
                  <c:v>16.98926904459503</c:v>
                </c:pt>
                <c:pt idx="21">
                  <c:v>16.075686119379043</c:v>
                </c:pt>
                <c:pt idx="22">
                  <c:v>14.949353506737067</c:v>
                </c:pt>
                <c:pt idx="23">
                  <c:v>13.500465704294148</c:v>
                </c:pt>
                <c:pt idx="24">
                  <c:v>12.552990199652468</c:v>
                </c:pt>
                <c:pt idx="25">
                  <c:v>13.44</c:v>
                </c:pt>
                <c:pt idx="26">
                  <c:v>15.270000000000014</c:v>
                </c:pt>
                <c:pt idx="27">
                  <c:v>19.589999999999989</c:v>
                </c:pt>
                <c:pt idx="28">
                  <c:v>18.30999999999996</c:v>
                </c:pt>
                <c:pt idx="29">
                  <c:v>14.039999999999962</c:v>
                </c:pt>
                <c:pt idx="30">
                  <c:v>14.090000000000027</c:v>
                </c:pt>
                <c:pt idx="31">
                  <c:v>17.590000000000028</c:v>
                </c:pt>
                <c:pt idx="32">
                  <c:v>18.630000000000013</c:v>
                </c:pt>
                <c:pt idx="33">
                  <c:v>18.830000000000002</c:v>
                </c:pt>
                <c:pt idx="34">
                  <c:v>18.23000000000004</c:v>
                </c:pt>
                <c:pt idx="35">
                  <c:v>15.869999999999974</c:v>
                </c:pt>
                <c:pt idx="36">
                  <c:v>15.910000000000029</c:v>
                </c:pt>
                <c:pt idx="37">
                  <c:v>18.459999999999976</c:v>
                </c:pt>
                <c:pt idx="38">
                  <c:v>17.329999999999963</c:v>
                </c:pt>
                <c:pt idx="39">
                  <c:v>15.850000000000041</c:v>
                </c:pt>
                <c:pt idx="40">
                  <c:v>16.489999999999959</c:v>
                </c:pt>
                <c:pt idx="41">
                  <c:v>16.209999999999962</c:v>
                </c:pt>
                <c:pt idx="42">
                  <c:v>16.330000000000027</c:v>
                </c:pt>
                <c:pt idx="43">
                  <c:v>15.120000000000003</c:v>
                </c:pt>
                <c:pt idx="44">
                  <c:v>13.470000000000041</c:v>
                </c:pt>
                <c:pt idx="45">
                  <c:v>12.190000000000015</c:v>
                </c:pt>
                <c:pt idx="46">
                  <c:v>11.200000000000001</c:v>
                </c:pt>
                <c:pt idx="47">
                  <c:v>11.099999999999961</c:v>
                </c:pt>
                <c:pt idx="48">
                  <c:v>11.270000000000001</c:v>
                </c:pt>
                <c:pt idx="49">
                  <c:v>11.650000000000039</c:v>
                </c:pt>
                <c:pt idx="50">
                  <c:v>11.510000000000041</c:v>
                </c:pt>
                <c:pt idx="51">
                  <c:v>12.18</c:v>
                </c:pt>
                <c:pt idx="52">
                  <c:v>11.099999999999961</c:v>
                </c:pt>
                <c:pt idx="53">
                  <c:v>9.5699999999999736</c:v>
                </c:pt>
                <c:pt idx="54">
                  <c:v>8.360000000000003</c:v>
                </c:pt>
                <c:pt idx="55">
                  <c:v>8.360000000000003</c:v>
                </c:pt>
                <c:pt idx="56">
                  <c:v>8.6600000000000019</c:v>
                </c:pt>
                <c:pt idx="57">
                  <c:v>10.279999999999989</c:v>
                </c:pt>
                <c:pt idx="58">
                  <c:v>10.99</c:v>
                </c:pt>
                <c:pt idx="59">
                  <c:v>9.33</c:v>
                </c:pt>
                <c:pt idx="60">
                  <c:v>9.379999999999999</c:v>
                </c:pt>
                <c:pt idx="61">
                  <c:v>9.1599999999999966</c:v>
                </c:pt>
                <c:pt idx="62">
                  <c:v>9.2099999999999991</c:v>
                </c:pt>
                <c:pt idx="63">
                  <c:v>9.4399999999999871</c:v>
                </c:pt>
                <c:pt idx="64">
                  <c:v>9.859999999999987</c:v>
                </c:pt>
                <c:pt idx="65">
                  <c:v>10.11000000000004</c:v>
                </c:pt>
                <c:pt idx="66">
                  <c:v>9.6100000000000279</c:v>
                </c:pt>
                <c:pt idx="67">
                  <c:v>10.069999999999986</c:v>
                </c:pt>
                <c:pt idx="68">
                  <c:v>10.909999999999988</c:v>
                </c:pt>
                <c:pt idx="69">
                  <c:v>11.529999999999973</c:v>
                </c:pt>
                <c:pt idx="70">
                  <c:v>11.070000000000014</c:v>
                </c:pt>
                <c:pt idx="71">
                  <c:v>10.489999999999988</c:v>
                </c:pt>
                <c:pt idx="72">
                  <c:v>10.829999999999973</c:v>
                </c:pt>
                <c:pt idx="73">
                  <c:v>10.600000000000041</c:v>
                </c:pt>
                <c:pt idx="74">
                  <c:v>11.02999999999996</c:v>
                </c:pt>
                <c:pt idx="75">
                  <c:v>15.859999999999962</c:v>
                </c:pt>
                <c:pt idx="76">
                  <c:v>17.209999999999987</c:v>
                </c:pt>
                <c:pt idx="77">
                  <c:v>25.759999999999998</c:v>
                </c:pt>
                <c:pt idx="78">
                  <c:v>27.069999999999975</c:v>
                </c:pt>
                <c:pt idx="79">
                  <c:v>29.05</c:v>
                </c:pt>
                <c:pt idx="80">
                  <c:v>35.500000000000014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'Flour (Adjusted)'!$D$6</c:f>
              <c:strCache>
                <c:ptCount val="1"/>
                <c:pt idx="0">
                  <c:v>UK, Retail,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(Adjusted)'!$D$7:$D$107</c:f>
              <c:numCache>
                <c:formatCode>_(* #,##0.0000_);_(* \(#,##0.0000\);_(* "-"??_);_(@_)</c:formatCode>
                <c:ptCount val="101"/>
                <c:pt idx="38">
                  <c:v>23.333333333333336</c:v>
                </c:pt>
                <c:pt idx="39">
                  <c:v>17.333333333333361</c:v>
                </c:pt>
                <c:pt idx="40">
                  <c:v>22.000000000000028</c:v>
                </c:pt>
                <c:pt idx="41">
                  <c:v>19.333333333333321</c:v>
                </c:pt>
                <c:pt idx="42">
                  <c:v>19.999999999999975</c:v>
                </c:pt>
                <c:pt idx="43">
                  <c:v>19.999999999999975</c:v>
                </c:pt>
                <c:pt idx="44">
                  <c:v>17.333333333333361</c:v>
                </c:pt>
                <c:pt idx="45">
                  <c:v>14</c:v>
                </c:pt>
                <c:pt idx="46">
                  <c:v>14</c:v>
                </c:pt>
                <c:pt idx="47">
                  <c:v>14.666666666666655</c:v>
                </c:pt>
                <c:pt idx="48">
                  <c:v>14</c:v>
                </c:pt>
                <c:pt idx="49">
                  <c:v>15.333333333333307</c:v>
                </c:pt>
                <c:pt idx="50">
                  <c:v>14</c:v>
                </c:pt>
                <c:pt idx="51">
                  <c:v>14.666666666666655</c:v>
                </c:pt>
                <c:pt idx="52">
                  <c:v>15.999999999999961</c:v>
                </c:pt>
                <c:pt idx="53">
                  <c:v>12.000000000000041</c:v>
                </c:pt>
                <c:pt idx="54">
                  <c:v>12.000000000000041</c:v>
                </c:pt>
                <c:pt idx="55">
                  <c:v>11.333333333333293</c:v>
                </c:pt>
                <c:pt idx="56">
                  <c:v>12.000000000000041</c:v>
                </c:pt>
                <c:pt idx="57">
                  <c:v>14</c:v>
                </c:pt>
                <c:pt idx="58">
                  <c:v>16.666666666666707</c:v>
                </c:pt>
                <c:pt idx="59">
                  <c:v>12.666666666666694</c:v>
                </c:pt>
                <c:pt idx="60">
                  <c:v>13.333333333333346</c:v>
                </c:pt>
                <c:pt idx="61">
                  <c:v>14</c:v>
                </c:pt>
                <c:pt idx="62">
                  <c:v>14</c:v>
                </c:pt>
                <c:pt idx="63">
                  <c:v>13.626666666666667</c:v>
                </c:pt>
                <c:pt idx="64">
                  <c:v>14.373333333333335</c:v>
                </c:pt>
                <c:pt idx="65">
                  <c:v>14.466666666666669</c:v>
                </c:pt>
                <c:pt idx="66">
                  <c:v>14.373333333333335</c:v>
                </c:pt>
                <c:pt idx="67">
                  <c:v>15.026666666666669</c:v>
                </c:pt>
                <c:pt idx="68">
                  <c:v>15.96</c:v>
                </c:pt>
                <c:pt idx="69">
                  <c:v>16.893333333333334</c:v>
                </c:pt>
                <c:pt idx="70">
                  <c:v>15.493333333333334</c:v>
                </c:pt>
                <c:pt idx="71">
                  <c:v>14.933333333333335</c:v>
                </c:pt>
                <c:pt idx="72">
                  <c:v>15.773333333333333</c:v>
                </c:pt>
                <c:pt idx="73">
                  <c:v>15.773333333333333</c:v>
                </c:pt>
                <c:pt idx="74">
                  <c:v>14.746666666666668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'Flour (Adjusted)'!$E$6</c:f>
              <c:strCache>
                <c:ptCount val="1"/>
                <c:pt idx="0">
                  <c:v>US,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(Adjusted)'!$E$7:$E$107</c:f>
              <c:numCache>
                <c:formatCode>0.0000</c:formatCode>
                <c:ptCount val="101"/>
                <c:pt idx="0">
                  <c:v>12.563772889256773</c:v>
                </c:pt>
                <c:pt idx="1">
                  <c:v>12.023648073456974</c:v>
                </c:pt>
                <c:pt idx="2">
                  <c:v>13.503120394995653</c:v>
                </c:pt>
                <c:pt idx="3">
                  <c:v>10.497208376631388</c:v>
                </c:pt>
                <c:pt idx="4">
                  <c:v>11.037333192431188</c:v>
                </c:pt>
                <c:pt idx="5">
                  <c:v>10.614626814848748</c:v>
                </c:pt>
                <c:pt idx="6">
                  <c:v>11.953197010526521</c:v>
                </c:pt>
                <c:pt idx="7">
                  <c:v>13.996277835508549</c:v>
                </c:pt>
                <c:pt idx="8">
                  <c:v>14.606853714238708</c:v>
                </c:pt>
                <c:pt idx="9">
                  <c:v>12.563772889256773</c:v>
                </c:pt>
                <c:pt idx="10">
                  <c:v>12.023648073456974</c:v>
                </c:pt>
                <c:pt idx="11">
                  <c:v>11.225202693579002</c:v>
                </c:pt>
                <c:pt idx="12">
                  <c:v>9.9570835608315882</c:v>
                </c:pt>
                <c:pt idx="13">
                  <c:v>11.882745947596161</c:v>
                </c:pt>
                <c:pt idx="14">
                  <c:v>16.180260786351294</c:v>
                </c:pt>
                <c:pt idx="15">
                  <c:v>21.243343842283547</c:v>
                </c:pt>
                <c:pt idx="16">
                  <c:v>19.585395494654549</c:v>
                </c:pt>
                <c:pt idx="17">
                  <c:v>16.375175393792041</c:v>
                </c:pt>
                <c:pt idx="18">
                  <c:v>10.577052914619149</c:v>
                </c:pt>
                <c:pt idx="19">
                  <c:v>13.937568616399867</c:v>
                </c:pt>
                <c:pt idx="20">
                  <c:v>13.890601241112867</c:v>
                </c:pt>
                <c:pt idx="21">
                  <c:v>13.388050325542574</c:v>
                </c:pt>
                <c:pt idx="22">
                  <c:v>11.690026329141627</c:v>
                </c:pt>
                <c:pt idx="23">
                  <c:v>10.449594067800534</c:v>
                </c:pt>
                <c:pt idx="24">
                  <c:v>8.30881284896628</c:v>
                </c:pt>
                <c:pt idx="25">
                  <c:v>15.544320136288441</c:v>
                </c:pt>
                <c:pt idx="26">
                  <c:v>14.045211907134613</c:v>
                </c:pt>
                <c:pt idx="27">
                  <c:v>15.036696957819974</c:v>
                </c:pt>
                <c:pt idx="28">
                  <c:v>16.926073792563042</c:v>
                </c:pt>
                <c:pt idx="29">
                  <c:v>13.628642731424561</c:v>
                </c:pt>
                <c:pt idx="30">
                  <c:v>12.491932017136042</c:v>
                </c:pt>
                <c:pt idx="31">
                  <c:v>13.863154549780294</c:v>
                </c:pt>
                <c:pt idx="32">
                  <c:v>14.852805645679121</c:v>
                </c:pt>
                <c:pt idx="33">
                  <c:v>15.487265005645627</c:v>
                </c:pt>
                <c:pt idx="34">
                  <c:v>15.023646933062041</c:v>
                </c:pt>
                <c:pt idx="35">
                  <c:v>11.645783480634988</c:v>
                </c:pt>
                <c:pt idx="36">
                  <c:v>13.091892591194014</c:v>
                </c:pt>
                <c:pt idx="37">
                  <c:v>14.538374564011201</c:v>
                </c:pt>
                <c:pt idx="38">
                  <c:v>14.812429170355788</c:v>
                </c:pt>
                <c:pt idx="39">
                  <c:v>12.333632750350802</c:v>
                </c:pt>
                <c:pt idx="40">
                  <c:v>13.80371159683208</c:v>
                </c:pt>
                <c:pt idx="41">
                  <c:v>13.310554156319187</c:v>
                </c:pt>
                <c:pt idx="42">
                  <c:v>14.440119531970067</c:v>
                </c:pt>
                <c:pt idx="43">
                  <c:v>13.984535991686773</c:v>
                </c:pt>
                <c:pt idx="44">
                  <c:v>13.122684655171373</c:v>
                </c:pt>
                <c:pt idx="45">
                  <c:v>11.4999618390076</c:v>
                </c:pt>
                <c:pt idx="46">
                  <c:v>11.034984823666814</c:v>
                </c:pt>
                <c:pt idx="47">
                  <c:v>10.591143127205294</c:v>
                </c:pt>
                <c:pt idx="48">
                  <c:v>10.753180571945187</c:v>
                </c:pt>
                <c:pt idx="49">
                  <c:v>11.347317869325014</c:v>
                </c:pt>
                <c:pt idx="50">
                  <c:v>10.943398441857282</c:v>
                </c:pt>
                <c:pt idx="51">
                  <c:v>11.319137444152814</c:v>
                </c:pt>
                <c:pt idx="52">
                  <c:v>11.64790907116144</c:v>
                </c:pt>
                <c:pt idx="53">
                  <c:v>10.661594190135654</c:v>
                </c:pt>
                <c:pt idx="54">
                  <c:v>9.6517956214664142</c:v>
                </c:pt>
                <c:pt idx="55">
                  <c:v>7.9374864234930786</c:v>
                </c:pt>
                <c:pt idx="56">
                  <c:v>8.3601928010755557</c:v>
                </c:pt>
                <c:pt idx="57">
                  <c:v>9.017736055092735</c:v>
                </c:pt>
                <c:pt idx="58">
                  <c:v>10.591143127205294</c:v>
                </c:pt>
                <c:pt idx="59">
                  <c:v>9.4874098079621483</c:v>
                </c:pt>
                <c:pt idx="60">
                  <c:v>8.5010949269363785</c:v>
                </c:pt>
                <c:pt idx="61">
                  <c:v>8.7359318033710807</c:v>
                </c:pt>
                <c:pt idx="62">
                  <c:v>8.6889644280841463</c:v>
                </c:pt>
                <c:pt idx="63">
                  <c:v>8.7828991786580239</c:v>
                </c:pt>
                <c:pt idx="64">
                  <c:v>9.5108934956056022</c:v>
                </c:pt>
                <c:pt idx="65">
                  <c:v>10.685077877779108</c:v>
                </c:pt>
                <c:pt idx="66">
                  <c:v>9.9805672484750403</c:v>
                </c:pt>
                <c:pt idx="67">
                  <c:v>9.3699913697447865</c:v>
                </c:pt>
                <c:pt idx="68">
                  <c:v>10.825980003640014</c:v>
                </c:pt>
                <c:pt idx="69">
                  <c:v>11.413072194726722</c:v>
                </c:pt>
                <c:pt idx="70">
                  <c:v>12.375903388109053</c:v>
                </c:pt>
                <c:pt idx="71">
                  <c:v>11.46003957001372</c:v>
                </c:pt>
                <c:pt idx="72">
                  <c:v>10.872947378926922</c:v>
                </c:pt>
                <c:pt idx="73">
                  <c:v>10.961663255181522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'Flour (Adjusted)'!$H$6</c:f>
              <c:strCache>
                <c:ptCount val="1"/>
                <c:pt idx="0">
                  <c:v>Egypt, Imports,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(Adjusted)'!$H$7:$H$107</c:f>
              <c:numCache>
                <c:formatCode>0.0000</c:formatCode>
                <c:ptCount val="101"/>
                <c:pt idx="45">
                  <c:v>12.333075805202867</c:v>
                </c:pt>
                <c:pt idx="46">
                  <c:v>10.332462287057377</c:v>
                </c:pt>
                <c:pt idx="47">
                  <c:v>10.63051676560211</c:v>
                </c:pt>
                <c:pt idx="48">
                  <c:v>10.026041075123716</c:v>
                </c:pt>
                <c:pt idx="49">
                  <c:v>11.269857798387056</c:v>
                </c:pt>
                <c:pt idx="50">
                  <c:v>11.179588965474187</c:v>
                </c:pt>
                <c:pt idx="51">
                  <c:v>12.020850963297178</c:v>
                </c:pt>
                <c:pt idx="52">
                  <c:v>12.166657136079218</c:v>
                </c:pt>
                <c:pt idx="53">
                  <c:v>9.2588459361477522</c:v>
                </c:pt>
                <c:pt idx="54">
                  <c:v>6.7826977111871365</c:v>
                </c:pt>
                <c:pt idx="55">
                  <c:v>5.555666769477174</c:v>
                </c:pt>
                <c:pt idx="56">
                  <c:v>6.33732067769885</c:v>
                </c:pt>
                <c:pt idx="57">
                  <c:v>7.0931797921745225</c:v>
                </c:pt>
                <c:pt idx="58">
                  <c:v>9.2696740999568981</c:v>
                </c:pt>
                <c:pt idx="59">
                  <c:v>8.4916182397502684</c:v>
                </c:pt>
                <c:pt idx="60">
                  <c:v>8.0924366256441047</c:v>
                </c:pt>
                <c:pt idx="61">
                  <c:v>7.9781576023487473</c:v>
                </c:pt>
                <c:pt idx="62">
                  <c:v>7.9274179384710379</c:v>
                </c:pt>
                <c:pt idx="63">
                  <c:v>7.9902274581849158</c:v>
                </c:pt>
                <c:pt idx="64">
                  <c:v>8.0939469969975288</c:v>
                </c:pt>
                <c:pt idx="65">
                  <c:v>8.2758609465116599</c:v>
                </c:pt>
                <c:pt idx="66">
                  <c:v>8.3462282807661072</c:v>
                </c:pt>
                <c:pt idx="67">
                  <c:v>8.8618295272685508</c:v>
                </c:pt>
                <c:pt idx="68">
                  <c:v>10.435812798237089</c:v>
                </c:pt>
                <c:pt idx="69">
                  <c:v>10.686392414103759</c:v>
                </c:pt>
                <c:pt idx="70">
                  <c:v>10.410808476293937</c:v>
                </c:pt>
                <c:pt idx="71">
                  <c:v>10.469004823439835</c:v>
                </c:pt>
                <c:pt idx="72">
                  <c:v>11.008532626105549</c:v>
                </c:pt>
                <c:pt idx="73">
                  <c:v>10.961800789155768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'Flour (Adjusted)'!$I$6</c:f>
              <c:strCache>
                <c:ptCount val="1"/>
                <c:pt idx="0">
                  <c:v>Jaffa,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(Adjusted)'!$I$7:$I$107</c:f>
              <c:numCache>
                <c:formatCode>0.0000</c:formatCode>
                <c:ptCount val="101"/>
                <c:pt idx="39">
                  <c:v>15.235016835016832</c:v>
                </c:pt>
                <c:pt idx="46">
                  <c:v>10.805518080000001</c:v>
                </c:pt>
                <c:pt idx="47">
                  <c:v>10.181819200000001</c:v>
                </c:pt>
                <c:pt idx="48">
                  <c:v>12.727272319999999</c:v>
                </c:pt>
                <c:pt idx="49">
                  <c:v>12.74710752</c:v>
                </c:pt>
                <c:pt idx="50">
                  <c:v>12.012257600000002</c:v>
                </c:pt>
                <c:pt idx="51">
                  <c:v>12.969696320000001</c:v>
                </c:pt>
                <c:pt idx="52">
                  <c:v>15.272727680000003</c:v>
                </c:pt>
                <c:pt idx="53">
                  <c:v>14.157575040000001</c:v>
                </c:pt>
                <c:pt idx="54">
                  <c:v>12.231405759999999</c:v>
                </c:pt>
                <c:pt idx="55">
                  <c:v>9.4592377600000006</c:v>
                </c:pt>
                <c:pt idx="56">
                  <c:v>10.188839360000001</c:v>
                </c:pt>
                <c:pt idx="57">
                  <c:v>10.853819200000002</c:v>
                </c:pt>
                <c:pt idx="58">
                  <c:v>12.218180800000003</c:v>
                </c:pt>
                <c:pt idx="59">
                  <c:v>10.181819200000001</c:v>
                </c:pt>
                <c:pt idx="60">
                  <c:v>10.95390016</c:v>
                </c:pt>
                <c:pt idx="61">
                  <c:v>9.7359651200000012</c:v>
                </c:pt>
                <c:pt idx="62">
                  <c:v>9.2818499200000009</c:v>
                </c:pt>
                <c:pt idx="63">
                  <c:v>9.1014022400000005</c:v>
                </c:pt>
                <c:pt idx="64">
                  <c:v>9.766106559999999</c:v>
                </c:pt>
                <c:pt idx="65">
                  <c:v>9.6218192000000009</c:v>
                </c:pt>
                <c:pt idx="66">
                  <c:v>9.9751881600000001</c:v>
                </c:pt>
                <c:pt idx="67">
                  <c:v>10.592184960000001</c:v>
                </c:pt>
                <c:pt idx="68">
                  <c:v>11.93379264</c:v>
                </c:pt>
                <c:pt idx="69">
                  <c:v>13.713624960000001</c:v>
                </c:pt>
                <c:pt idx="70">
                  <c:v>11.252613120000001</c:v>
                </c:pt>
                <c:pt idx="71">
                  <c:v>11.200044800000002</c:v>
                </c:pt>
                <c:pt idx="72">
                  <c:v>13.032727680000002</c:v>
                </c:pt>
                <c:pt idx="73">
                  <c:v>13.169912000000002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'Flour (Adjusted)'!$J$6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(Adjusted)'!$J$7:$J$107</c:f>
              <c:numCache>
                <c:formatCode>0.0000</c:formatCode>
                <c:ptCount val="101"/>
                <c:pt idx="44" formatCode="_(* #,##0.0000_);_(* \(#,##0.0000\);_(* &quot;-&quot;??_);_(@_)">
                  <c:v>7.5720067214162281</c:v>
                </c:pt>
                <c:pt idx="45" formatCode="_(* #,##0.0000_);_(* \(#,##0.0000\);_(* &quot;-&quot;??_);_(@_)">
                  <c:v>10.914065788682468</c:v>
                </c:pt>
                <c:pt idx="46" formatCode="_(* #,##0.0000_);_(* \(#,##0.0000\);_(* &quot;-&quot;??_);_(@_)">
                  <c:v>8.7959088795908862</c:v>
                </c:pt>
                <c:pt idx="47" formatCode="_(* #,##0.0000_);_(* \(#,##0.0000\);_(* &quot;-&quot;??_);_(@_)">
                  <c:v>8.7999012989759766</c:v>
                </c:pt>
                <c:pt idx="48" formatCode="_(* #,##0.0000_);_(* \(#,##0.0000\);_(* &quot;-&quot;??_);_(@_)">
                  <c:v>8.182845071662241</c:v>
                </c:pt>
                <c:pt idx="49" formatCode="_(* #,##0.0000_);_(* \(#,##0.0000\);_(* &quot;-&quot;??_);_(@_)">
                  <c:v>6.4749016186185617</c:v>
                </c:pt>
                <c:pt idx="50" formatCode="_(* #,##0.0000_);_(* \(#,##0.0000\);_(* &quot;-&quot;??_);_(@_)">
                  <c:v>7.5958776820408911</c:v>
                </c:pt>
                <c:pt idx="51" formatCode="_(* #,##0.0000_);_(* \(#,##0.0000\);_(* &quot;-&quot;??_);_(@_)">
                  <c:v>8.6335999999999959</c:v>
                </c:pt>
                <c:pt idx="52" formatCode="_(* #,##0.0000_);_(* \(#,##0.0000\);_(* &quot;-&quot;??_);_(@_)">
                  <c:v>7.4666666666666677</c:v>
                </c:pt>
                <c:pt idx="53" formatCode="_(* #,##0.0000_);_(* \(#,##0.0000\);_(* &quot;-&quot;??_);_(@_)">
                  <c:v>5.7599999999999989</c:v>
                </c:pt>
                <c:pt idx="54" formatCode="_(* #,##0.0000_);_(* \(#,##0.0000\);_(* &quot;-&quot;??_);_(@_)">
                  <c:v>4.799999999999998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'Flour (Adjusted)'!$K$6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(Adjusted)'!$K$7:$K$107</c:f>
              <c:numCache>
                <c:formatCode>0.0000</c:formatCode>
                <c:ptCount val="101"/>
                <c:pt idx="55">
                  <c:v>12.444444444444445</c:v>
                </c:pt>
                <c:pt idx="56">
                  <c:v>12.444444444444445</c:v>
                </c:pt>
                <c:pt idx="57">
                  <c:v>13.481481481481481</c:v>
                </c:pt>
                <c:pt idx="58">
                  <c:v>6.9091399999999989</c:v>
                </c:pt>
                <c:pt idx="59">
                  <c:v>11.039921143420404</c:v>
                </c:pt>
                <c:pt idx="60">
                  <c:v>10.160499999999999</c:v>
                </c:pt>
                <c:pt idx="61">
                  <c:v>10.7532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'Flour (Adjusted)'!$L$6</c:f>
              <c:strCache>
                <c:ptCount val="1"/>
                <c:pt idx="0">
                  <c:v>Istanbul (Rumeli), 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(Adjusted)'!$L$7:$L$107</c:f>
              <c:numCache>
                <c:formatCode>0.0000</c:formatCode>
                <c:ptCount val="101"/>
                <c:pt idx="47" formatCode="_(* #,##0.0000_);_(* \(#,##0.0000\);_(* &quot;-&quot;??_);_(@_)">
                  <c:v>8.2758620689655178</c:v>
                </c:pt>
                <c:pt idx="49" formatCode="_(* #,##0.0000_);_(* \(#,##0.0000\);_(* &quot;-&quot;??_);_(@_)">
                  <c:v>7.8601398601398609</c:v>
                </c:pt>
                <c:pt idx="50" formatCode="_(* #,##0.0000_);_(* \(#,##0.0000\);_(* &quot;-&quot;??_);_(@_)">
                  <c:v>9.6223776223776234</c:v>
                </c:pt>
                <c:pt idx="52" formatCode="_(* #,##0.0000_);_(* \(#,##0.0000\);_(* &quot;-&quot;??_);_(@_)">
                  <c:v>9.6794521698945513</c:v>
                </c:pt>
                <c:pt idx="53" formatCode="_(* #,##0.0000_);_(* \(#,##0.0000\);_(* &quot;-&quot;??_);_(@_)">
                  <c:v>7.6439801162692733</c:v>
                </c:pt>
                <c:pt idx="54" formatCode="_(* #,##0.0000_);_(* \(#,##0.0000\);_(* &quot;-&quot;??_);_(@_)">
                  <c:v>5.4871794871794872</c:v>
                </c:pt>
                <c:pt idx="55" formatCode="_(* #,##0.0000_);_(* \(#,##0.0000\);_(* &quot;-&quot;??_);_(@_)">
                  <c:v>5.8668192565845514</c:v>
                </c:pt>
                <c:pt idx="56" formatCode="_(* #,##0.0000_);_(* \(#,##0.0000\);_(* &quot;-&quot;??_);_(@_)">
                  <c:v>6.1806227637509048</c:v>
                </c:pt>
                <c:pt idx="57" formatCode="_(* #,##0.0000_);_(* \(#,##0.0000\);_(* &quot;-&quot;??_);_(@_)">
                  <c:v>8.4163514776975159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'Flour (Adjusted)'!$M$6</c:f>
              <c:strCache>
                <c:ptCount val="1"/>
                <c:pt idx="0">
                  <c:v>Istanbul (Anatolia),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(Adjusted)'!$M$7:$M$107</c:f>
              <c:numCache>
                <c:formatCode>0.0000</c:formatCode>
                <c:ptCount val="101"/>
                <c:pt idx="47">
                  <c:v>9.7612732095490724</c:v>
                </c:pt>
                <c:pt idx="50">
                  <c:v>9.8461538461538467</c:v>
                </c:pt>
                <c:pt idx="52">
                  <c:v>7.4478006973910844</c:v>
                </c:pt>
                <c:pt idx="53">
                  <c:v>7.2794675204313766</c:v>
                </c:pt>
                <c:pt idx="54">
                  <c:v>4.9107692307692314</c:v>
                </c:pt>
                <c:pt idx="55">
                  <c:v>5.1385970277851776</c:v>
                </c:pt>
                <c:pt idx="56">
                  <c:v>5.4245121874224305</c:v>
                </c:pt>
                <c:pt idx="57">
                  <c:v>8.5792486030723083</c:v>
                </c:pt>
                <c:pt idx="58">
                  <c:v>8.3597175771088814</c:v>
                </c:pt>
                <c:pt idx="59">
                  <c:v>7.742666325725394</c:v>
                </c:pt>
                <c:pt idx="60">
                  <c:v>7.0387875688412676</c:v>
                </c:pt>
                <c:pt idx="61">
                  <c:v>6.5084552715309743</c:v>
                </c:pt>
                <c:pt idx="62">
                  <c:v>6.432215127867301</c:v>
                </c:pt>
                <c:pt idx="64">
                  <c:v>6.660344542745233</c:v>
                </c:pt>
                <c:pt idx="66">
                  <c:v>6.6025624906103699</c:v>
                </c:pt>
                <c:pt idx="67">
                  <c:v>7.0015315850342263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'Flour (Adjusted)'!$N$6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(Adjusted)'!$N$7:$N$107</c:f>
              <c:numCache>
                <c:formatCode>0.0000</c:formatCode>
                <c:ptCount val="101"/>
                <c:pt idx="49">
                  <c:v>11.072603163963485</c:v>
                </c:pt>
                <c:pt idx="50">
                  <c:v>13.714855640020089</c:v>
                </c:pt>
                <c:pt idx="52">
                  <c:v>10</c:v>
                </c:pt>
                <c:pt idx="56">
                  <c:v>16.345397943460849</c:v>
                </c:pt>
                <c:pt idx="58">
                  <c:v>13.754251700680289</c:v>
                </c:pt>
                <c:pt idx="70">
                  <c:v>9.5971948865916339</c:v>
                </c:pt>
                <c:pt idx="71">
                  <c:v>9.6973443931145429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'Flour (Adjusted)'!$O$6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(Adjusted)'!$O$7:$O$107</c:f>
              <c:numCache>
                <c:formatCode>0.0000</c:formatCode>
                <c:ptCount val="101"/>
                <c:pt idx="49">
                  <c:v>9.6475453698626517</c:v>
                </c:pt>
                <c:pt idx="50">
                  <c:v>10.903217981372604</c:v>
                </c:pt>
                <c:pt idx="67">
                  <c:v>4.1033434650455929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'Flour (Adjusted)'!$P$6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(Adjusted)'!$P$7:$P$107</c:f>
              <c:numCache>
                <c:formatCode>0.0000</c:formatCode>
                <c:ptCount val="101"/>
                <c:pt idx="43">
                  <c:v>12.5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8.0019709288001977</c:v>
                </c:pt>
                <c:pt idx="48">
                  <c:v>8.0047770700636942</c:v>
                </c:pt>
                <c:pt idx="49">
                  <c:v>7.9993895925530287</c:v>
                </c:pt>
                <c:pt idx="50">
                  <c:v>7.1013329050907341</c:v>
                </c:pt>
                <c:pt idx="51">
                  <c:v>7.7952917093142275</c:v>
                </c:pt>
                <c:pt idx="52">
                  <c:v>8.6918467649633069</c:v>
                </c:pt>
                <c:pt idx="53">
                  <c:v>6.7858588584536497</c:v>
                </c:pt>
                <c:pt idx="54">
                  <c:v>7.2722790583014918</c:v>
                </c:pt>
                <c:pt idx="55">
                  <c:v>5.7287438722260289</c:v>
                </c:pt>
                <c:pt idx="56">
                  <c:v>5.9992475545522952</c:v>
                </c:pt>
                <c:pt idx="57">
                  <c:v>6.7248556465690879</c:v>
                </c:pt>
                <c:pt idx="58">
                  <c:v>8.146836061568532</c:v>
                </c:pt>
                <c:pt idx="59">
                  <c:v>7.2265730488792865</c:v>
                </c:pt>
                <c:pt idx="60">
                  <c:v>6.2217394256229213</c:v>
                </c:pt>
                <c:pt idx="61">
                  <c:v>6.361890126776796</c:v>
                </c:pt>
                <c:pt idx="62">
                  <c:v>6.0001507954459772</c:v>
                </c:pt>
                <c:pt idx="63">
                  <c:v>6.045316514832983</c:v>
                </c:pt>
                <c:pt idx="64">
                  <c:v>7.4933362949800086</c:v>
                </c:pt>
                <c:pt idx="65">
                  <c:v>7.5924219150025607</c:v>
                </c:pt>
                <c:pt idx="66">
                  <c:v>7.5457070122656784</c:v>
                </c:pt>
                <c:pt idx="67">
                  <c:v>8.1914123124676657</c:v>
                </c:pt>
                <c:pt idx="68">
                  <c:v>10.549022788095046</c:v>
                </c:pt>
                <c:pt idx="69">
                  <c:v>10.706521739130434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'Flour (Adjusted)'!$Q$6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(Adjusted)'!$Q$7:$Q$107</c:f>
              <c:numCache>
                <c:formatCode>0.0000</c:formatCode>
                <c:ptCount val="101"/>
                <c:pt idx="37">
                  <c:v>22.238118569328801</c:v>
                </c:pt>
                <c:pt idx="38">
                  <c:v>21.042408998812199</c:v>
                </c:pt>
                <c:pt idx="39">
                  <c:v>24.729991333493402</c:v>
                </c:pt>
                <c:pt idx="40">
                  <c:v>13.86534222762654</c:v>
                </c:pt>
                <c:pt idx="41">
                  <c:v>13.90270219069814</c:v>
                </c:pt>
                <c:pt idx="42">
                  <c:v>14.76917547985134</c:v>
                </c:pt>
                <c:pt idx="43">
                  <c:v>14.77077398442318</c:v>
                </c:pt>
                <c:pt idx="44">
                  <c:v>17.231142927210939</c:v>
                </c:pt>
                <c:pt idx="49">
                  <c:v>14.767411282240822</c:v>
                </c:pt>
                <c:pt idx="50">
                  <c:v>14.769623421721041</c:v>
                </c:pt>
                <c:pt idx="51">
                  <c:v>14.7682677260142</c:v>
                </c:pt>
                <c:pt idx="52">
                  <c:v>14.769230769230759</c:v>
                </c:pt>
                <c:pt idx="53">
                  <c:v>14.7681432770896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'Flour (Adjusted)'!$R$6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(Adjusted)'!$R$7:$R$107</c:f>
              <c:numCache>
                <c:formatCode>0.0000</c:formatCode>
                <c:ptCount val="101"/>
                <c:pt idx="25">
                  <c:v>5.7517564402810306</c:v>
                </c:pt>
                <c:pt idx="26">
                  <c:v>6.0210889570552144</c:v>
                </c:pt>
                <c:pt idx="27">
                  <c:v>5.2576956904133683</c:v>
                </c:pt>
                <c:pt idx="49" formatCode="_(* #,##0.0000_);_(* \(#,##0.0000\);_(* &quot;-&quot;??_);_(@_)">
                  <c:v>12.307692307692307</c:v>
                </c:pt>
                <c:pt idx="69" formatCode="_(* #,##0.0000_);_(* \(#,##0.0000\);_(* &quot;-&quot;??_);_(@_)">
                  <c:v>4.3719575847480909</c:v>
                </c:pt>
              </c:numCache>
            </c:numRef>
          </c:val>
          <c:smooth val="0"/>
        </c:ser>
        <c:ser>
          <c:idx val="16"/>
          <c:order val="14"/>
          <c:tx>
            <c:strRef>
              <c:f>'Flour (Adjusted)'!$S$6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(Adjusted)'!$S$7:$S$107</c:f>
              <c:numCache>
                <c:formatCode>0.0000</c:formatCode>
                <c:ptCount val="101"/>
                <c:pt idx="38">
                  <c:v>26.56084656084656</c:v>
                </c:pt>
                <c:pt idx="39">
                  <c:v>21.448275862068968</c:v>
                </c:pt>
                <c:pt idx="40">
                  <c:v>21.431372549019606</c:v>
                </c:pt>
                <c:pt idx="41">
                  <c:v>21.56451612903226</c:v>
                </c:pt>
                <c:pt idx="42">
                  <c:v>21.932773109243698</c:v>
                </c:pt>
                <c:pt idx="43">
                  <c:v>21.833333333333336</c:v>
                </c:pt>
                <c:pt idx="47">
                  <c:v>19.570754716981131</c:v>
                </c:pt>
                <c:pt idx="48">
                  <c:v>20.2015503875969</c:v>
                </c:pt>
                <c:pt idx="49">
                  <c:v>22.246153846153849</c:v>
                </c:pt>
                <c:pt idx="50">
                  <c:v>14.454545454545441</c:v>
                </c:pt>
                <c:pt idx="51">
                  <c:v>22.280612244897934</c:v>
                </c:pt>
                <c:pt idx="52">
                  <c:v>22.883018867924505</c:v>
                </c:pt>
                <c:pt idx="53">
                  <c:v>20.802588996763735</c:v>
                </c:pt>
                <c:pt idx="54">
                  <c:v>21.868421052631557</c:v>
                </c:pt>
                <c:pt idx="55">
                  <c:v>20.322916666666647</c:v>
                </c:pt>
                <c:pt idx="56">
                  <c:v>41.872538860103582</c:v>
                </c:pt>
                <c:pt idx="57">
                  <c:v>24.150627615062739</c:v>
                </c:pt>
                <c:pt idx="58">
                  <c:v>21.221896383186689</c:v>
                </c:pt>
                <c:pt idx="59">
                  <c:v>17.263723150357979</c:v>
                </c:pt>
                <c:pt idx="60">
                  <c:v>19.309045226130635</c:v>
                </c:pt>
                <c:pt idx="61">
                  <c:v>17.159340659340639</c:v>
                </c:pt>
                <c:pt idx="62">
                  <c:v>17.082779991146509</c:v>
                </c:pt>
                <c:pt idx="63">
                  <c:v>18.706140350877174</c:v>
                </c:pt>
                <c:pt idx="64">
                  <c:v>38.261384335154794</c:v>
                </c:pt>
                <c:pt idx="65">
                  <c:v>39.03494347379236</c:v>
                </c:pt>
                <c:pt idx="66">
                  <c:v>40.158192090395445</c:v>
                </c:pt>
                <c:pt idx="67">
                  <c:v>41.713586291309625</c:v>
                </c:pt>
                <c:pt idx="68">
                  <c:v>41.028419182948447</c:v>
                </c:pt>
                <c:pt idx="69">
                  <c:v>56.554385964912235</c:v>
                </c:pt>
                <c:pt idx="70">
                  <c:v>35.046249999999972</c:v>
                </c:pt>
                <c:pt idx="71">
                  <c:v>32.30100755667506</c:v>
                </c:pt>
                <c:pt idx="72">
                  <c:v>30.1100826446281</c:v>
                </c:pt>
                <c:pt idx="73">
                  <c:v>28.538362068965519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'Flour (Adjusted)'!$AA$6</c:f>
              <c:strCache>
                <c:ptCount val="1"/>
                <c:pt idx="0">
                  <c:v>Muscat &amp; Bahrain,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(Adjusted)'!$AA$7:$AA$107</c:f>
              <c:numCache>
                <c:formatCode>0.0000</c:formatCode>
                <c:ptCount val="101"/>
                <c:pt idx="40">
                  <c:v>11.58154502512766</c:v>
                </c:pt>
                <c:pt idx="41">
                  <c:v>12.006792759686659</c:v>
                </c:pt>
                <c:pt idx="42">
                  <c:v>13.431347179977401</c:v>
                </c:pt>
                <c:pt idx="43">
                  <c:v>8.319700767027939</c:v>
                </c:pt>
                <c:pt idx="44">
                  <c:v>17.818149088245541</c:v>
                </c:pt>
                <c:pt idx="45">
                  <c:v>19.976537379421217</c:v>
                </c:pt>
                <c:pt idx="46">
                  <c:v>17.567375138114681</c:v>
                </c:pt>
                <c:pt idx="47">
                  <c:v>15.57108250878346</c:v>
                </c:pt>
                <c:pt idx="48">
                  <c:v>13.83289640122438</c:v>
                </c:pt>
                <c:pt idx="49">
                  <c:v>13.262250659364877</c:v>
                </c:pt>
                <c:pt idx="50">
                  <c:v>8.1294868081041809</c:v>
                </c:pt>
                <c:pt idx="51">
                  <c:v>6.8890864275108594</c:v>
                </c:pt>
                <c:pt idx="52">
                  <c:v>6.4452176638671794</c:v>
                </c:pt>
                <c:pt idx="53">
                  <c:v>7.4840964139999402</c:v>
                </c:pt>
                <c:pt idx="65">
                  <c:v>10.668181818181814</c:v>
                </c:pt>
                <c:pt idx="66">
                  <c:v>11.333187613843387</c:v>
                </c:pt>
                <c:pt idx="67">
                  <c:v>10.667138309161693</c:v>
                </c:pt>
                <c:pt idx="68">
                  <c:v>10.666666666666639</c:v>
                </c:pt>
                <c:pt idx="70">
                  <c:v>10.100129198966401</c:v>
                </c:pt>
                <c:pt idx="71">
                  <c:v>9.36170212765958</c:v>
                </c:pt>
                <c:pt idx="72">
                  <c:v>9.1047297297297334</c:v>
                </c:pt>
                <c:pt idx="73">
                  <c:v>11.554666666666668</c:v>
                </c:pt>
                <c:pt idx="74">
                  <c:v>10.755120213713308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'Flour (Adjusted)'!$AB$6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(Adjusted)'!$AB$7:$AB$107</c:f>
              <c:numCache>
                <c:formatCode>0.0000</c:formatCode>
                <c:ptCount val="101"/>
                <c:pt idx="56">
                  <c:v>11.76</c:v>
                </c:pt>
                <c:pt idx="57">
                  <c:v>12.48888888888888</c:v>
                </c:pt>
                <c:pt idx="58">
                  <c:v>6.25</c:v>
                </c:pt>
                <c:pt idx="59">
                  <c:v>6.6679999999999993</c:v>
                </c:pt>
                <c:pt idx="66">
                  <c:v>6.5257452574525798</c:v>
                </c:pt>
                <c:pt idx="67">
                  <c:v>8.1721249047981797</c:v>
                </c:pt>
                <c:pt idx="68">
                  <c:v>9.6456692913385798</c:v>
                </c:pt>
                <c:pt idx="69">
                  <c:v>9.6578387782718007</c:v>
                </c:pt>
                <c:pt idx="70">
                  <c:v>9.8698481561822202</c:v>
                </c:pt>
                <c:pt idx="71">
                  <c:v>13.978102189781021</c:v>
                </c:pt>
                <c:pt idx="72">
                  <c:v>10.807291666666661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'Flour (Adjusted)'!$AC$6</c:f>
              <c:strCache>
                <c:ptCount val="1"/>
                <c:pt idx="0">
                  <c:v>Mohammerah &amp; Lingah,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'Flour (Adjusted)'!$A$7:$A$107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'Flour (Adjusted)'!$AC$7:$AC$107</c:f>
              <c:numCache>
                <c:formatCode>0.0000</c:formatCode>
                <c:ptCount val="101"/>
                <c:pt idx="56">
                  <c:v>6.7136150234741798</c:v>
                </c:pt>
                <c:pt idx="57">
                  <c:v>10</c:v>
                </c:pt>
                <c:pt idx="58">
                  <c:v>4.31924882629108</c:v>
                </c:pt>
                <c:pt idx="59">
                  <c:v>6.002886002886</c:v>
                </c:pt>
                <c:pt idx="66">
                  <c:v>12.67857142857142</c:v>
                </c:pt>
                <c:pt idx="67">
                  <c:v>11.9753086419753</c:v>
                </c:pt>
                <c:pt idx="68">
                  <c:v>11.9108280254777</c:v>
                </c:pt>
                <c:pt idx="69">
                  <c:v>14.60292374555512</c:v>
                </c:pt>
                <c:pt idx="70">
                  <c:v>16.565164433617539</c:v>
                </c:pt>
                <c:pt idx="71">
                  <c:v>12.658772874058119</c:v>
                </c:pt>
                <c:pt idx="72">
                  <c:v>11.358361774744019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'Flour (Adjusted)'!$AD$6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'Flour (Adjusted)'!$AD$7:$AD$107</c:f>
              <c:numCache>
                <c:formatCode>General</c:formatCode>
                <c:ptCount val="101"/>
                <c:pt idx="55" formatCode="0.0000">
                  <c:v>4.1919776947698528</c:v>
                </c:pt>
                <c:pt idx="56" formatCode="0.0000">
                  <c:v>4.7230508999952123</c:v>
                </c:pt>
                <c:pt idx="57" formatCode="0.0000">
                  <c:v>6.3161004233642988</c:v>
                </c:pt>
                <c:pt idx="58" formatCode="0.0000">
                  <c:v>6.9109026175786701</c:v>
                </c:pt>
                <c:pt idx="59" formatCode="0.0000">
                  <c:v>7.0450051545520607</c:v>
                </c:pt>
                <c:pt idx="60" formatCode="0.0000">
                  <c:v>6.4211715217859329</c:v>
                </c:pt>
                <c:pt idx="61" formatCode="0.0000">
                  <c:v>6.5403778333022178</c:v>
                </c:pt>
                <c:pt idx="62" formatCode="0.0000">
                  <c:v>6.8288650053147517</c:v>
                </c:pt>
                <c:pt idx="63" formatCode="0.0000">
                  <c:v>6.8787404971154364</c:v>
                </c:pt>
                <c:pt idx="64" formatCode="0.0000">
                  <c:v>6.6798812122079498</c:v>
                </c:pt>
                <c:pt idx="65" formatCode="0.0000">
                  <c:v>6.7380679559432224</c:v>
                </c:pt>
                <c:pt idx="66" formatCode="0.0000">
                  <c:v>6.5921502200136928</c:v>
                </c:pt>
                <c:pt idx="67" formatCode="0.0000">
                  <c:v>7.1776721918233779</c:v>
                </c:pt>
                <c:pt idx="68" formatCode="0.0000">
                  <c:v>8.3761163387510695</c:v>
                </c:pt>
                <c:pt idx="69" formatCode="0.0000">
                  <c:v>8.6208024285013494</c:v>
                </c:pt>
                <c:pt idx="70" formatCode="0.0000">
                  <c:v>8.0629282420254906</c:v>
                </c:pt>
                <c:pt idx="71" formatCode="0.0000">
                  <c:v>8.7266719203352796</c:v>
                </c:pt>
                <c:pt idx="72" formatCode="0.0000">
                  <c:v>8.9123355340783341</c:v>
                </c:pt>
                <c:pt idx="73" formatCode="0.0000">
                  <c:v>9.4442518900418087</c:v>
                </c:pt>
                <c:pt idx="74" formatCode="0.0000">
                  <c:v>10.072020126764061</c:v>
                </c:pt>
                <c:pt idx="75" formatCode="0.0000">
                  <c:v>8.0447582504297461</c:v>
                </c:pt>
                <c:pt idx="76" formatCode="0.0000">
                  <c:v>9.4970528113799286</c:v>
                </c:pt>
                <c:pt idx="77" formatCode="0.0000">
                  <c:v>9.5813583296886886</c:v>
                </c:pt>
                <c:pt idx="78" formatCode="0.0000">
                  <c:v>11.727041048511877</c:v>
                </c:pt>
                <c:pt idx="79" formatCode="0.0000">
                  <c:v>12.592623103091459</c:v>
                </c:pt>
                <c:pt idx="80" formatCode="0.0000">
                  <c:v>18.448259799266868</c:v>
                </c:pt>
              </c:numCache>
            </c:numRef>
          </c:val>
          <c:smooth val="0"/>
        </c:ser>
        <c:ser>
          <c:idx val="1"/>
          <c:order val="19"/>
          <c:tx>
            <c:strRef>
              <c:f>'Flour (Adjusted)'!$AE$6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'Flour (Adjusted)'!$AE$7:$AE$107</c:f>
              <c:numCache>
                <c:formatCode>General</c:formatCode>
                <c:ptCount val="101"/>
                <c:pt idx="55" formatCode="0.0000">
                  <c:v>6.2620241338199847</c:v>
                </c:pt>
                <c:pt idx="56" formatCode="0.0000">
                  <c:v>7.2153046811323982</c:v>
                </c:pt>
                <c:pt idx="57" formatCode="0.0000">
                  <c:v>8.822356347547192</c:v>
                </c:pt>
                <c:pt idx="58" formatCode="0.0000">
                  <c:v>10.025843123984412</c:v>
                </c:pt>
                <c:pt idx="59" formatCode="0.0000">
                  <c:v>9.6959842498923337</c:v>
                </c:pt>
                <c:pt idx="60" formatCode="0.0000">
                  <c:v>9.1997763015913421</c:v>
                </c:pt>
                <c:pt idx="61" formatCode="0.0000">
                  <c:v>9.6061092277810616</c:v>
                </c:pt>
                <c:pt idx="62" formatCode="0.0000">
                  <c:v>9.3524242057854483</c:v>
                </c:pt>
                <c:pt idx="63" formatCode="0.0000">
                  <c:v>8.6427778636552901</c:v>
                </c:pt>
                <c:pt idx="64" formatCode="0.0000">
                  <c:v>8.7178284893549289</c:v>
                </c:pt>
                <c:pt idx="65" formatCode="0.0000">
                  <c:v>8.9470331896906927</c:v>
                </c:pt>
                <c:pt idx="66" formatCode="0.0000">
                  <c:v>9.466618319659732</c:v>
                </c:pt>
                <c:pt idx="67" formatCode="0.0000">
                  <c:v>9.5416525141057242</c:v>
                </c:pt>
                <c:pt idx="68" formatCode="0.0000">
                  <c:v>10.040140788307049</c:v>
                </c:pt>
                <c:pt idx="69" formatCode="0.0000">
                  <c:v>11.540624527684537</c:v>
                </c:pt>
                <c:pt idx="70" formatCode="0.0000">
                  <c:v>11.293315189949249</c:v>
                </c:pt>
                <c:pt idx="71" formatCode="0.0000">
                  <c:v>10.458600039501288</c:v>
                </c:pt>
                <c:pt idx="72" formatCode="0.0000">
                  <c:v>10.298618217796811</c:v>
                </c:pt>
                <c:pt idx="73" formatCode="0.0000">
                  <c:v>10.475692881134792</c:v>
                </c:pt>
                <c:pt idx="74" formatCode="0.0000">
                  <c:v>10.503014333430924</c:v>
                </c:pt>
                <c:pt idx="75" formatCode="0.0000">
                  <c:v>11.334953524471432</c:v>
                </c:pt>
                <c:pt idx="76" formatCode="0.0000">
                  <c:v>12.742394654695698</c:v>
                </c:pt>
                <c:pt idx="77" formatCode="0.0000">
                  <c:v>12.33375620046753</c:v>
                </c:pt>
                <c:pt idx="78" formatCode="0.0000">
                  <c:v>14.059883636444932</c:v>
                </c:pt>
                <c:pt idx="79" formatCode="0.0000">
                  <c:v>17.549669623278429</c:v>
                </c:pt>
                <c:pt idx="80" formatCode="0.0000">
                  <c:v>30.703441494999865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519584"/>
        <c:axId val="756520144"/>
      </c:lineChart>
      <c:catAx>
        <c:axId val="75651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20144"/>
        <c:crosses val="autoZero"/>
        <c:auto val="1"/>
        <c:lblAlgn val="ctr"/>
        <c:lblOffset val="100"/>
        <c:noMultiLvlLbl val="0"/>
      </c:catAx>
      <c:valAx>
        <c:axId val="75652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1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92415268014869"/>
          <c:y val="0.16407855832779936"/>
          <c:w val="0.21969015127898284"/>
          <c:h val="0.646738725169902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Flour, Black Sea, Caspian Sea, Persia, Persian Gulf &amp; India,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'Flour (Adjusted)'!$L$6</c:f>
              <c:strCache>
                <c:ptCount val="1"/>
                <c:pt idx="0">
                  <c:v>Istanbul (Rumeli), 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(Adjusted)'!$L$37:$L$82</c:f>
              <c:numCache>
                <c:formatCode>0.0000</c:formatCode>
                <c:ptCount val="46"/>
                <c:pt idx="17" formatCode="_(* #,##0.0000_);_(* \(#,##0.0000\);_(* &quot;-&quot;??_);_(@_)">
                  <c:v>8.2758620689655178</c:v>
                </c:pt>
                <c:pt idx="19" formatCode="_(* #,##0.0000_);_(* \(#,##0.0000\);_(* &quot;-&quot;??_);_(@_)">
                  <c:v>7.8601398601398609</c:v>
                </c:pt>
                <c:pt idx="20" formatCode="_(* #,##0.0000_);_(* \(#,##0.0000\);_(* &quot;-&quot;??_);_(@_)">
                  <c:v>9.6223776223776234</c:v>
                </c:pt>
                <c:pt idx="22" formatCode="_(* #,##0.0000_);_(* \(#,##0.0000\);_(* &quot;-&quot;??_);_(@_)">
                  <c:v>9.6794521698945513</c:v>
                </c:pt>
                <c:pt idx="23" formatCode="_(* #,##0.0000_);_(* \(#,##0.0000\);_(* &quot;-&quot;??_);_(@_)">
                  <c:v>7.6439801162692733</c:v>
                </c:pt>
                <c:pt idx="24" formatCode="_(* #,##0.0000_);_(* \(#,##0.0000\);_(* &quot;-&quot;??_);_(@_)">
                  <c:v>5.4871794871794872</c:v>
                </c:pt>
                <c:pt idx="25" formatCode="_(* #,##0.0000_);_(* \(#,##0.0000\);_(* &quot;-&quot;??_);_(@_)">
                  <c:v>5.8668192565845514</c:v>
                </c:pt>
                <c:pt idx="26" formatCode="_(* #,##0.0000_);_(* \(#,##0.0000\);_(* &quot;-&quot;??_);_(@_)">
                  <c:v>6.1806227637509048</c:v>
                </c:pt>
                <c:pt idx="27" formatCode="_(* #,##0.0000_);_(* \(#,##0.0000\);_(* &quot;-&quot;??_);_(@_)">
                  <c:v>8.4163514776975159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'Flour (Adjusted)'!$M$6</c:f>
              <c:strCache>
                <c:ptCount val="1"/>
                <c:pt idx="0">
                  <c:v>Istanbul (Anatolia),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(Adjusted)'!$M$37:$M$82</c:f>
              <c:numCache>
                <c:formatCode>0.0000</c:formatCode>
                <c:ptCount val="46"/>
                <c:pt idx="17">
                  <c:v>9.7612732095490724</c:v>
                </c:pt>
                <c:pt idx="20">
                  <c:v>9.8461538461538467</c:v>
                </c:pt>
                <c:pt idx="22">
                  <c:v>7.4478006973910844</c:v>
                </c:pt>
                <c:pt idx="23">
                  <c:v>7.2794675204313766</c:v>
                </c:pt>
                <c:pt idx="24">
                  <c:v>4.9107692307692314</c:v>
                </c:pt>
                <c:pt idx="25">
                  <c:v>5.1385970277851776</c:v>
                </c:pt>
                <c:pt idx="26">
                  <c:v>5.4245121874224305</c:v>
                </c:pt>
                <c:pt idx="27">
                  <c:v>8.5792486030723083</c:v>
                </c:pt>
                <c:pt idx="28">
                  <c:v>8.3597175771088814</c:v>
                </c:pt>
                <c:pt idx="29">
                  <c:v>7.742666325725394</c:v>
                </c:pt>
                <c:pt idx="30">
                  <c:v>7.0387875688412676</c:v>
                </c:pt>
                <c:pt idx="31">
                  <c:v>6.5084552715309743</c:v>
                </c:pt>
                <c:pt idx="32">
                  <c:v>6.432215127867301</c:v>
                </c:pt>
                <c:pt idx="34">
                  <c:v>6.660344542745233</c:v>
                </c:pt>
                <c:pt idx="36">
                  <c:v>6.6025624906103699</c:v>
                </c:pt>
                <c:pt idx="37">
                  <c:v>7.0015315850342263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'Flour (Adjusted)'!$N$6</c:f>
              <c:strCache>
                <c:ptCount val="1"/>
                <c:pt idx="0">
                  <c:v>Turkey &amp; Constantinople,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(Adjusted)'!$N$37:$N$82</c:f>
              <c:numCache>
                <c:formatCode>0.0000</c:formatCode>
                <c:ptCount val="46"/>
                <c:pt idx="19">
                  <c:v>11.072603163963485</c:v>
                </c:pt>
                <c:pt idx="20">
                  <c:v>13.714855640020089</c:v>
                </c:pt>
                <c:pt idx="22">
                  <c:v>10</c:v>
                </c:pt>
                <c:pt idx="26">
                  <c:v>16.345397943460849</c:v>
                </c:pt>
                <c:pt idx="28">
                  <c:v>13.754251700680289</c:v>
                </c:pt>
                <c:pt idx="40">
                  <c:v>9.5971948865916339</c:v>
                </c:pt>
                <c:pt idx="41">
                  <c:v>9.6973443931145429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'Flour (Adjusted)'!$O$6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(Adjusted)'!$O$37:$O$82</c:f>
              <c:numCache>
                <c:formatCode>0.0000</c:formatCode>
                <c:ptCount val="46"/>
                <c:pt idx="19">
                  <c:v>9.6475453698626517</c:v>
                </c:pt>
                <c:pt idx="20">
                  <c:v>10.903217981372604</c:v>
                </c:pt>
                <c:pt idx="37">
                  <c:v>4.1033434650455929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'Flour (Adjusted)'!$P$6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(Adjusted)'!$P$37:$P$82</c:f>
              <c:numCache>
                <c:formatCode>0.0000</c:formatCode>
                <c:ptCount val="46"/>
                <c:pt idx="13">
                  <c:v>12.5</c:v>
                </c:pt>
                <c:pt idx="14">
                  <c:v>11</c:v>
                </c:pt>
                <c:pt idx="15">
                  <c:v>10</c:v>
                </c:pt>
                <c:pt idx="16">
                  <c:v>10</c:v>
                </c:pt>
                <c:pt idx="17">
                  <c:v>8.0019709288001977</c:v>
                </c:pt>
                <c:pt idx="18">
                  <c:v>8.0047770700636942</c:v>
                </c:pt>
                <c:pt idx="19">
                  <c:v>7.9993895925530287</c:v>
                </c:pt>
                <c:pt idx="20">
                  <c:v>7.1013329050907341</c:v>
                </c:pt>
                <c:pt idx="21">
                  <c:v>7.7952917093142275</c:v>
                </c:pt>
                <c:pt idx="22">
                  <c:v>8.6918467649633069</c:v>
                </c:pt>
                <c:pt idx="23">
                  <c:v>6.7858588584536497</c:v>
                </c:pt>
                <c:pt idx="24">
                  <c:v>7.2722790583014918</c:v>
                </c:pt>
                <c:pt idx="25">
                  <c:v>5.7287438722260289</c:v>
                </c:pt>
                <c:pt idx="26">
                  <c:v>5.9992475545522952</c:v>
                </c:pt>
                <c:pt idx="27">
                  <c:v>6.7248556465690879</c:v>
                </c:pt>
                <c:pt idx="28">
                  <c:v>8.146836061568532</c:v>
                </c:pt>
                <c:pt idx="29">
                  <c:v>7.2265730488792865</c:v>
                </c:pt>
                <c:pt idx="30">
                  <c:v>6.2217394256229213</c:v>
                </c:pt>
                <c:pt idx="31">
                  <c:v>6.361890126776796</c:v>
                </c:pt>
                <c:pt idx="32">
                  <c:v>6.0001507954459772</c:v>
                </c:pt>
                <c:pt idx="33">
                  <c:v>6.045316514832983</c:v>
                </c:pt>
                <c:pt idx="34">
                  <c:v>7.4933362949800086</c:v>
                </c:pt>
                <c:pt idx="35">
                  <c:v>7.5924219150025607</c:v>
                </c:pt>
                <c:pt idx="36">
                  <c:v>7.5457070122656784</c:v>
                </c:pt>
                <c:pt idx="37">
                  <c:v>8.1914123124676657</c:v>
                </c:pt>
                <c:pt idx="38">
                  <c:v>10.549022788095046</c:v>
                </c:pt>
                <c:pt idx="39">
                  <c:v>10.706521739130434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'Flour (Adjusted)'!$T$6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(Adjusted)'!$T$37:$T$82</c:f>
              <c:numCache>
                <c:formatCode>0.0000</c:formatCode>
                <c:ptCount val="46"/>
                <c:pt idx="32">
                  <c:v>16.148659146701469</c:v>
                </c:pt>
                <c:pt idx="33">
                  <c:v>13.15377063149511</c:v>
                </c:pt>
                <c:pt idx="34">
                  <c:v>9.5357962537943379</c:v>
                </c:pt>
                <c:pt idx="35">
                  <c:v>4.5517280744313506</c:v>
                </c:pt>
                <c:pt idx="36">
                  <c:v>15.873615277064093</c:v>
                </c:pt>
                <c:pt idx="37">
                  <c:v>1.6699828676662991</c:v>
                </c:pt>
                <c:pt idx="38">
                  <c:v>23.237188114711646</c:v>
                </c:pt>
                <c:pt idx="39">
                  <c:v>23.613902157799295</c:v>
                </c:pt>
                <c:pt idx="40">
                  <c:v>18.740331491712702</c:v>
                </c:pt>
                <c:pt idx="41">
                  <c:v>24.417935006170275</c:v>
                </c:pt>
                <c:pt idx="42">
                  <c:v>20.270588060190203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'Flour (Adjusted)'!$U$6</c:f>
              <c:strCache>
                <c:ptCount val="1"/>
                <c:pt idx="0">
                  <c:v>Resht &amp; Mazandaran,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(Adjusted)'!$U$37:$U$82</c:f>
              <c:numCache>
                <c:formatCode>0.0000</c:formatCode>
                <c:ptCount val="46"/>
                <c:pt idx="21">
                  <c:v>7.1036553795174466</c:v>
                </c:pt>
                <c:pt idx="23">
                  <c:v>5.5699939038085216</c:v>
                </c:pt>
                <c:pt idx="25">
                  <c:v>5.5342908287106942</c:v>
                </c:pt>
                <c:pt idx="32">
                  <c:v>8.926314260115749</c:v>
                </c:pt>
                <c:pt idx="36">
                  <c:v>7.6130976653220825</c:v>
                </c:pt>
                <c:pt idx="37">
                  <c:v>6.8857224214197883</c:v>
                </c:pt>
                <c:pt idx="38">
                  <c:v>13.247862101829041</c:v>
                </c:pt>
                <c:pt idx="39">
                  <c:v>13.083971883069159</c:v>
                </c:pt>
                <c:pt idx="40">
                  <c:v>12.386184911428899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'Flour (Adjusted)'!$V$6</c:f>
              <c:strCache>
                <c:ptCount val="1"/>
                <c:pt idx="0">
                  <c:v>Resht,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(Adjusted)'!$V$37:$V$82</c:f>
              <c:numCache>
                <c:formatCode>0.0000</c:formatCode>
                <c:ptCount val="46"/>
                <c:pt idx="3">
                  <c:v>5.8584615384615493</c:v>
                </c:pt>
                <c:pt idx="4">
                  <c:v>5.8609975470155424</c:v>
                </c:pt>
                <c:pt idx="5">
                  <c:v>6.7639215686274392</c:v>
                </c:pt>
                <c:pt idx="23">
                  <c:v>3.8986354775828547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'Flour (Adjusted)'!$W$6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(Adjusted)'!$W$37:$W$82</c:f>
              <c:numCache>
                <c:formatCode>0.0000</c:formatCode>
                <c:ptCount val="46"/>
                <c:pt idx="36">
                  <c:v>11.937507335936964</c:v>
                </c:pt>
                <c:pt idx="37">
                  <c:v>12.701492924866324</c:v>
                </c:pt>
                <c:pt idx="38">
                  <c:v>12.759556141928826</c:v>
                </c:pt>
                <c:pt idx="39">
                  <c:v>12.965640200352739</c:v>
                </c:pt>
                <c:pt idx="40">
                  <c:v>11.717630772687169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'Flour (Adjusted)'!$X$6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(Adjusted)'!$X$37:$X$82</c:f>
              <c:numCache>
                <c:formatCode>0.0000</c:formatCode>
                <c:ptCount val="46"/>
                <c:pt idx="36">
                  <c:v>12.538907566940027</c:v>
                </c:pt>
                <c:pt idx="37">
                  <c:v>12.641985460229776</c:v>
                </c:pt>
                <c:pt idx="38">
                  <c:v>12.663927347117378</c:v>
                </c:pt>
                <c:pt idx="39">
                  <c:v>12.318205042935837</c:v>
                </c:pt>
                <c:pt idx="40">
                  <c:v>12.221812219259732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'Flour (Adjusted)'!$Z$6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(Adjusted)'!$Z$37:$Z$82</c:f>
              <c:numCache>
                <c:formatCode>0.0000</c:formatCode>
                <c:ptCount val="46"/>
                <c:pt idx="38">
                  <c:v>9.8181432660706083</c:v>
                </c:pt>
                <c:pt idx="39">
                  <c:v>9.987871097037031</c:v>
                </c:pt>
                <c:pt idx="40">
                  <c:v>6.768548842315008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'Flour (Adjusted)'!$AA$6</c:f>
              <c:strCache>
                <c:ptCount val="1"/>
                <c:pt idx="0">
                  <c:v>Muscat &amp; Bahrain,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(Adjusted)'!$AA$37:$AA$82</c:f>
              <c:numCache>
                <c:formatCode>0.0000</c:formatCode>
                <c:ptCount val="46"/>
                <c:pt idx="10">
                  <c:v>11.58154502512766</c:v>
                </c:pt>
                <c:pt idx="11">
                  <c:v>12.006792759686659</c:v>
                </c:pt>
                <c:pt idx="12">
                  <c:v>13.431347179977401</c:v>
                </c:pt>
                <c:pt idx="13">
                  <c:v>8.319700767027939</c:v>
                </c:pt>
                <c:pt idx="14">
                  <c:v>17.818149088245541</c:v>
                </c:pt>
                <c:pt idx="15">
                  <c:v>19.976537379421217</c:v>
                </c:pt>
                <c:pt idx="16">
                  <c:v>17.567375138114681</c:v>
                </c:pt>
                <c:pt idx="17">
                  <c:v>15.57108250878346</c:v>
                </c:pt>
                <c:pt idx="18">
                  <c:v>13.83289640122438</c:v>
                </c:pt>
                <c:pt idx="19">
                  <c:v>13.262250659364877</c:v>
                </c:pt>
                <c:pt idx="20">
                  <c:v>8.1294868081041809</c:v>
                </c:pt>
                <c:pt idx="21">
                  <c:v>6.8890864275108594</c:v>
                </c:pt>
                <c:pt idx="22">
                  <c:v>6.4452176638671794</c:v>
                </c:pt>
                <c:pt idx="23">
                  <c:v>7.4840964139999402</c:v>
                </c:pt>
                <c:pt idx="35">
                  <c:v>10.668181818181814</c:v>
                </c:pt>
                <c:pt idx="36">
                  <c:v>11.333187613843387</c:v>
                </c:pt>
                <c:pt idx="37">
                  <c:v>10.667138309161693</c:v>
                </c:pt>
                <c:pt idx="38">
                  <c:v>10.666666666666639</c:v>
                </c:pt>
                <c:pt idx="40">
                  <c:v>10.100129198966401</c:v>
                </c:pt>
                <c:pt idx="41">
                  <c:v>9.36170212765958</c:v>
                </c:pt>
                <c:pt idx="42">
                  <c:v>9.1047297297297334</c:v>
                </c:pt>
                <c:pt idx="43">
                  <c:v>11.554666666666668</c:v>
                </c:pt>
                <c:pt idx="44">
                  <c:v>10.755120213713308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'Flour (Adjusted)'!$AB$6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(Adjusted)'!$AB$37:$AB$82</c:f>
              <c:numCache>
                <c:formatCode>0.0000</c:formatCode>
                <c:ptCount val="46"/>
                <c:pt idx="26">
                  <c:v>11.76</c:v>
                </c:pt>
                <c:pt idx="27">
                  <c:v>12.48888888888888</c:v>
                </c:pt>
                <c:pt idx="28">
                  <c:v>6.25</c:v>
                </c:pt>
                <c:pt idx="29">
                  <c:v>6.6679999999999993</c:v>
                </c:pt>
                <c:pt idx="36">
                  <c:v>6.5257452574525798</c:v>
                </c:pt>
                <c:pt idx="37">
                  <c:v>8.1721249047981797</c:v>
                </c:pt>
                <c:pt idx="38">
                  <c:v>9.6456692913385798</c:v>
                </c:pt>
                <c:pt idx="39">
                  <c:v>9.6578387782718007</c:v>
                </c:pt>
                <c:pt idx="40">
                  <c:v>9.8698481561822202</c:v>
                </c:pt>
                <c:pt idx="41">
                  <c:v>13.978102189781021</c:v>
                </c:pt>
                <c:pt idx="42">
                  <c:v>10.807291666666661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'Flour (Adjusted)'!$AC$6</c:f>
              <c:strCache>
                <c:ptCount val="1"/>
                <c:pt idx="0">
                  <c:v>Mohammerah &amp; Lingah,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(Adjusted)'!$AC$37:$AC$82</c:f>
              <c:numCache>
                <c:formatCode>0.0000</c:formatCode>
                <c:ptCount val="46"/>
                <c:pt idx="26">
                  <c:v>6.7136150234741798</c:v>
                </c:pt>
                <c:pt idx="27">
                  <c:v>10</c:v>
                </c:pt>
                <c:pt idx="28">
                  <c:v>4.31924882629108</c:v>
                </c:pt>
                <c:pt idx="29">
                  <c:v>6.002886002886</c:v>
                </c:pt>
                <c:pt idx="36">
                  <c:v>12.67857142857142</c:v>
                </c:pt>
                <c:pt idx="37">
                  <c:v>11.9753086419753</c:v>
                </c:pt>
                <c:pt idx="38">
                  <c:v>11.9108280254777</c:v>
                </c:pt>
                <c:pt idx="39">
                  <c:v>14.60292374555512</c:v>
                </c:pt>
                <c:pt idx="40">
                  <c:v>16.565164433617539</c:v>
                </c:pt>
                <c:pt idx="41">
                  <c:v>12.658772874058119</c:v>
                </c:pt>
                <c:pt idx="42">
                  <c:v>11.358361774744019</c:v>
                </c:pt>
              </c:numCache>
            </c:numRef>
          </c:val>
          <c:smooth val="0"/>
        </c:ser>
        <c:ser>
          <c:idx val="0"/>
          <c:order val="14"/>
          <c:tx>
            <c:strRef>
              <c:f>'Flour (Adjusted)'!$AE$6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(Adjusted)'!$AE$37:$AE$87</c:f>
              <c:numCache>
                <c:formatCode>General</c:formatCode>
                <c:ptCount val="51"/>
                <c:pt idx="25" formatCode="0.0000">
                  <c:v>6.2620241338199847</c:v>
                </c:pt>
                <c:pt idx="26" formatCode="0.0000">
                  <c:v>7.2153046811323982</c:v>
                </c:pt>
                <c:pt idx="27" formatCode="0.0000">
                  <c:v>8.822356347547192</c:v>
                </c:pt>
                <c:pt idx="28" formatCode="0.0000">
                  <c:v>10.025843123984412</c:v>
                </c:pt>
                <c:pt idx="29" formatCode="0.0000">
                  <c:v>9.6959842498923337</c:v>
                </c:pt>
                <c:pt idx="30" formatCode="0.0000">
                  <c:v>9.1997763015913421</c:v>
                </c:pt>
                <c:pt idx="31" formatCode="0.0000">
                  <c:v>9.6061092277810616</c:v>
                </c:pt>
                <c:pt idx="32" formatCode="0.0000">
                  <c:v>9.3524242057854483</c:v>
                </c:pt>
                <c:pt idx="33" formatCode="0.0000">
                  <c:v>8.6427778636552901</c:v>
                </c:pt>
                <c:pt idx="34" formatCode="0.0000">
                  <c:v>8.7178284893549289</c:v>
                </c:pt>
                <c:pt idx="35" formatCode="0.0000">
                  <c:v>8.9470331896906927</c:v>
                </c:pt>
                <c:pt idx="36" formatCode="0.0000">
                  <c:v>9.466618319659732</c:v>
                </c:pt>
                <c:pt idx="37" formatCode="0.0000">
                  <c:v>9.5416525141057242</c:v>
                </c:pt>
                <c:pt idx="38" formatCode="0.0000">
                  <c:v>10.040140788307049</c:v>
                </c:pt>
                <c:pt idx="39" formatCode="0.0000">
                  <c:v>11.540624527684537</c:v>
                </c:pt>
                <c:pt idx="40" formatCode="0.0000">
                  <c:v>11.293315189949249</c:v>
                </c:pt>
                <c:pt idx="41" formatCode="0.0000">
                  <c:v>10.458600039501288</c:v>
                </c:pt>
                <c:pt idx="42" formatCode="0.0000">
                  <c:v>10.298618217796811</c:v>
                </c:pt>
                <c:pt idx="43" formatCode="0.0000">
                  <c:v>10.475692881134792</c:v>
                </c:pt>
                <c:pt idx="44" formatCode="0.0000">
                  <c:v>10.503014333430924</c:v>
                </c:pt>
                <c:pt idx="45" formatCode="0.0000">
                  <c:v>11.334953524471432</c:v>
                </c:pt>
                <c:pt idx="46" formatCode="0.0000">
                  <c:v>12.742394654695698</c:v>
                </c:pt>
                <c:pt idx="47" formatCode="0.0000">
                  <c:v>12.33375620046753</c:v>
                </c:pt>
                <c:pt idx="48" formatCode="0.0000">
                  <c:v>14.059883636444932</c:v>
                </c:pt>
                <c:pt idx="49" formatCode="0.0000">
                  <c:v>17.549669623278429</c:v>
                </c:pt>
                <c:pt idx="50" formatCode="0.0000">
                  <c:v>30.703441494999865</c:v>
                </c:pt>
              </c:numCache>
            </c:numRef>
          </c:val>
          <c:smooth val="0"/>
        </c:ser>
        <c:ser>
          <c:idx val="1"/>
          <c:order val="15"/>
          <c:tx>
            <c:strRef>
              <c:f>'Flour (Adjusted)'!$AD$6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'Flour (Adjusted)'!$A$37:$A$87</c:f>
              <c:numCache>
                <c:formatCode>General</c:formatCode>
                <c:ptCount val="51"/>
                <c:pt idx="0">
                  <c:v>1870</c:v>
                </c:pt>
                <c:pt idx="1">
                  <c:v>1871</c:v>
                </c:pt>
                <c:pt idx="2">
                  <c:v>1872</c:v>
                </c:pt>
                <c:pt idx="3">
                  <c:v>1873</c:v>
                </c:pt>
                <c:pt idx="4">
                  <c:v>1874</c:v>
                </c:pt>
                <c:pt idx="5">
                  <c:v>1875</c:v>
                </c:pt>
                <c:pt idx="6">
                  <c:v>1876</c:v>
                </c:pt>
                <c:pt idx="7">
                  <c:v>1877</c:v>
                </c:pt>
                <c:pt idx="8">
                  <c:v>1878</c:v>
                </c:pt>
                <c:pt idx="9">
                  <c:v>1879</c:v>
                </c:pt>
                <c:pt idx="10">
                  <c:v>1880</c:v>
                </c:pt>
                <c:pt idx="11">
                  <c:v>1881</c:v>
                </c:pt>
                <c:pt idx="12">
                  <c:v>1882</c:v>
                </c:pt>
                <c:pt idx="13">
                  <c:v>1883</c:v>
                </c:pt>
                <c:pt idx="14">
                  <c:v>1884</c:v>
                </c:pt>
                <c:pt idx="15">
                  <c:v>1885</c:v>
                </c:pt>
                <c:pt idx="16">
                  <c:v>1886</c:v>
                </c:pt>
                <c:pt idx="17">
                  <c:v>1887</c:v>
                </c:pt>
                <c:pt idx="18">
                  <c:v>1888</c:v>
                </c:pt>
                <c:pt idx="19">
                  <c:v>1889</c:v>
                </c:pt>
                <c:pt idx="20">
                  <c:v>1890</c:v>
                </c:pt>
                <c:pt idx="21">
                  <c:v>1891</c:v>
                </c:pt>
                <c:pt idx="22">
                  <c:v>1892</c:v>
                </c:pt>
                <c:pt idx="23">
                  <c:v>1893</c:v>
                </c:pt>
                <c:pt idx="24">
                  <c:v>1894</c:v>
                </c:pt>
                <c:pt idx="25">
                  <c:v>1895</c:v>
                </c:pt>
                <c:pt idx="26">
                  <c:v>1896</c:v>
                </c:pt>
                <c:pt idx="27">
                  <c:v>1897</c:v>
                </c:pt>
                <c:pt idx="28">
                  <c:v>1898</c:v>
                </c:pt>
                <c:pt idx="29">
                  <c:v>1899</c:v>
                </c:pt>
                <c:pt idx="30">
                  <c:v>1900</c:v>
                </c:pt>
                <c:pt idx="31">
                  <c:v>1901</c:v>
                </c:pt>
                <c:pt idx="32">
                  <c:v>1902</c:v>
                </c:pt>
                <c:pt idx="33">
                  <c:v>1903</c:v>
                </c:pt>
                <c:pt idx="34">
                  <c:v>1904</c:v>
                </c:pt>
                <c:pt idx="35">
                  <c:v>1905</c:v>
                </c:pt>
                <c:pt idx="36">
                  <c:v>1906</c:v>
                </c:pt>
                <c:pt idx="37">
                  <c:v>1907</c:v>
                </c:pt>
                <c:pt idx="38">
                  <c:v>1908</c:v>
                </c:pt>
                <c:pt idx="39">
                  <c:v>1909</c:v>
                </c:pt>
                <c:pt idx="40">
                  <c:v>1910</c:v>
                </c:pt>
                <c:pt idx="41">
                  <c:v>1911</c:v>
                </c:pt>
                <c:pt idx="42">
                  <c:v>1912</c:v>
                </c:pt>
                <c:pt idx="43">
                  <c:v>1913</c:v>
                </c:pt>
                <c:pt idx="44">
                  <c:v>1914</c:v>
                </c:pt>
                <c:pt idx="45">
                  <c:v>1915</c:v>
                </c:pt>
                <c:pt idx="46">
                  <c:v>1916</c:v>
                </c:pt>
                <c:pt idx="47">
                  <c:v>1917</c:v>
                </c:pt>
                <c:pt idx="48">
                  <c:v>1918</c:v>
                </c:pt>
                <c:pt idx="49">
                  <c:v>1919</c:v>
                </c:pt>
                <c:pt idx="50">
                  <c:v>1920</c:v>
                </c:pt>
              </c:numCache>
            </c:numRef>
          </c:cat>
          <c:val>
            <c:numRef>
              <c:f>'Flour (Adjusted)'!$AD$37:$AD$87</c:f>
              <c:numCache>
                <c:formatCode>General</c:formatCode>
                <c:ptCount val="51"/>
                <c:pt idx="25" formatCode="0.0000">
                  <c:v>4.1919776947698528</c:v>
                </c:pt>
                <c:pt idx="26" formatCode="0.0000">
                  <c:v>4.7230508999952123</c:v>
                </c:pt>
                <c:pt idx="27" formatCode="0.0000">
                  <c:v>6.3161004233642988</c:v>
                </c:pt>
                <c:pt idx="28" formatCode="0.0000">
                  <c:v>6.9109026175786701</c:v>
                </c:pt>
                <c:pt idx="29" formatCode="0.0000">
                  <c:v>7.0450051545520607</c:v>
                </c:pt>
                <c:pt idx="30" formatCode="0.0000">
                  <c:v>6.4211715217859329</c:v>
                </c:pt>
                <c:pt idx="31" formatCode="0.0000">
                  <c:v>6.5403778333022178</c:v>
                </c:pt>
                <c:pt idx="32" formatCode="0.0000">
                  <c:v>6.8288650053147517</c:v>
                </c:pt>
                <c:pt idx="33" formatCode="0.0000">
                  <c:v>6.8787404971154364</c:v>
                </c:pt>
                <c:pt idx="34" formatCode="0.0000">
                  <c:v>6.6798812122079498</c:v>
                </c:pt>
                <c:pt idx="35" formatCode="0.0000">
                  <c:v>6.7380679559432224</c:v>
                </c:pt>
                <c:pt idx="36" formatCode="0.0000">
                  <c:v>6.5921502200136928</c:v>
                </c:pt>
                <c:pt idx="37" formatCode="0.0000">
                  <c:v>7.1776721918233779</c:v>
                </c:pt>
                <c:pt idx="38" formatCode="0.0000">
                  <c:v>8.3761163387510695</c:v>
                </c:pt>
                <c:pt idx="39" formatCode="0.0000">
                  <c:v>8.6208024285013494</c:v>
                </c:pt>
                <c:pt idx="40" formatCode="0.0000">
                  <c:v>8.0629282420254906</c:v>
                </c:pt>
                <c:pt idx="41" formatCode="0.0000">
                  <c:v>8.7266719203352796</c:v>
                </c:pt>
                <c:pt idx="42" formatCode="0.0000">
                  <c:v>8.9123355340783341</c:v>
                </c:pt>
                <c:pt idx="43" formatCode="0.0000">
                  <c:v>9.4442518900418087</c:v>
                </c:pt>
                <c:pt idx="44" formatCode="0.0000">
                  <c:v>10.072020126764061</c:v>
                </c:pt>
                <c:pt idx="45" formatCode="0.0000">
                  <c:v>8.0447582504297461</c:v>
                </c:pt>
                <c:pt idx="46" formatCode="0.0000">
                  <c:v>9.4970528113799286</c:v>
                </c:pt>
                <c:pt idx="47" formatCode="0.0000">
                  <c:v>9.5813583296886886</c:v>
                </c:pt>
                <c:pt idx="48" formatCode="0.0000">
                  <c:v>11.727041048511877</c:v>
                </c:pt>
                <c:pt idx="49" formatCode="0.0000">
                  <c:v>12.592623103091459</c:v>
                </c:pt>
                <c:pt idx="50" formatCode="0.0000">
                  <c:v>18.448259799266868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530224"/>
        <c:axId val="756530784"/>
      </c:lineChart>
      <c:catAx>
        <c:axId val="75653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30784"/>
        <c:crosses val="autoZero"/>
        <c:auto val="1"/>
        <c:lblAlgn val="ctr"/>
        <c:lblOffset val="100"/>
        <c:noMultiLvlLbl val="0"/>
      </c:catAx>
      <c:valAx>
        <c:axId val="7565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53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21601466483359"/>
          <c:y val="0.28459081701805822"/>
          <c:w val="0.21843477898596009"/>
          <c:h val="0.54703385864213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(All)'!$M$7:$M$107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(All)'!$M$7:$M$107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65552"/>
        <c:axId val="782321552"/>
      </c:scatterChart>
      <c:valAx>
        <c:axId val="782265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21552"/>
        <c:crosses val="autoZero"/>
        <c:crossBetween val="midCat"/>
        <c:majorUnit val="5"/>
      </c:valAx>
      <c:valAx>
        <c:axId val="78232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65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(All)'!$N$7:$N$107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(All)'!$N$7:$N$107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75072"/>
        <c:axId val="782303632"/>
      </c:scatterChart>
      <c:valAx>
        <c:axId val="7822750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3632"/>
        <c:crosses val="autoZero"/>
        <c:crossBetween val="midCat"/>
        <c:majorUnit val="5"/>
      </c:valAx>
      <c:valAx>
        <c:axId val="78230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750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(All)'!$V$7:$V$107</c:f>
              <c:numCache>
                <c:formatCode>0.0000</c:formatCode>
                <c:ptCount val="101"/>
                <c:pt idx="44" formatCode="_(* #,##0.0000_);_(* \(#,##0.0000\);_(* &quot;-&quot;??_);_(@_)">
                  <c:v>7.5720067214162281</c:v>
                </c:pt>
                <c:pt idx="45" formatCode="_(* #,##0.0000_);_(* \(#,##0.0000\);_(* &quot;-&quot;??_);_(@_)">
                  <c:v>10.914065788682468</c:v>
                </c:pt>
                <c:pt idx="46" formatCode="_(* #,##0.0000_);_(* \(#,##0.0000\);_(* &quot;-&quot;??_);_(@_)">
                  <c:v>8.7959088795908862</c:v>
                </c:pt>
                <c:pt idx="47" formatCode="_(* #,##0.0000_);_(* \(#,##0.0000\);_(* &quot;-&quot;??_);_(@_)">
                  <c:v>8.7999012989759766</c:v>
                </c:pt>
                <c:pt idx="48" formatCode="_(* #,##0.0000_);_(* \(#,##0.0000\);_(* &quot;-&quot;??_);_(@_)">
                  <c:v>8.182845071662241</c:v>
                </c:pt>
                <c:pt idx="49" formatCode="_(* #,##0.0000_);_(* \(#,##0.0000\);_(* &quot;-&quot;??_);_(@_)">
                  <c:v>6.4749016186185617</c:v>
                </c:pt>
                <c:pt idx="50" formatCode="_(* #,##0.0000_);_(* \(#,##0.0000\);_(* &quot;-&quot;??_);_(@_)">
                  <c:v>7.5958776820408911</c:v>
                </c:pt>
                <c:pt idx="51" formatCode="_(* #,##0.0000_);_(* \(#,##0.0000\);_(* &quot;-&quot;??_);_(@_)">
                  <c:v>8.6335999999999959</c:v>
                </c:pt>
                <c:pt idx="52" formatCode="_(* #,##0.0000_);_(* \(#,##0.0000\);_(* &quot;-&quot;??_);_(@_)">
                  <c:v>7.4666666666666677</c:v>
                </c:pt>
                <c:pt idx="53" formatCode="_(* #,##0.0000_);_(* \(#,##0.0000\);_(* &quot;-&quot;??_);_(@_)">
                  <c:v>5.7599999999999989</c:v>
                </c:pt>
                <c:pt idx="54" formatCode="_(* #,##0.0000_);_(* \(#,##0.0000\);_(* &quot;-&quot;??_);_(@_)">
                  <c:v>4.799999999999998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(All)'!$V$7:$V$107</c:f>
              <c:numCache>
                <c:formatCode>0.0000</c:formatCode>
                <c:ptCount val="101"/>
                <c:pt idx="44" formatCode="_(* #,##0.0000_);_(* \(#,##0.0000\);_(* &quot;-&quot;??_);_(@_)">
                  <c:v>7.5720067214162281</c:v>
                </c:pt>
                <c:pt idx="45" formatCode="_(* #,##0.0000_);_(* \(#,##0.0000\);_(* &quot;-&quot;??_);_(@_)">
                  <c:v>10.914065788682468</c:v>
                </c:pt>
                <c:pt idx="46" formatCode="_(* #,##0.0000_);_(* \(#,##0.0000\);_(* &quot;-&quot;??_);_(@_)">
                  <c:v>8.7959088795908862</c:v>
                </c:pt>
                <c:pt idx="47" formatCode="_(* #,##0.0000_);_(* \(#,##0.0000\);_(* &quot;-&quot;??_);_(@_)">
                  <c:v>8.7999012989759766</c:v>
                </c:pt>
                <c:pt idx="48" formatCode="_(* #,##0.0000_);_(* \(#,##0.0000\);_(* &quot;-&quot;??_);_(@_)">
                  <c:v>8.182845071662241</c:v>
                </c:pt>
                <c:pt idx="49" formatCode="_(* #,##0.0000_);_(* \(#,##0.0000\);_(* &quot;-&quot;??_);_(@_)">
                  <c:v>6.4749016186185617</c:v>
                </c:pt>
                <c:pt idx="50" formatCode="_(* #,##0.0000_);_(* \(#,##0.0000\);_(* &quot;-&quot;??_);_(@_)">
                  <c:v>7.5958776820408911</c:v>
                </c:pt>
                <c:pt idx="51" formatCode="_(* #,##0.0000_);_(* \(#,##0.0000\);_(* &quot;-&quot;??_);_(@_)">
                  <c:v>8.6335999999999959</c:v>
                </c:pt>
                <c:pt idx="52" formatCode="_(* #,##0.0000_);_(* \(#,##0.0000\);_(* &quot;-&quot;??_);_(@_)">
                  <c:v>7.4666666666666677</c:v>
                </c:pt>
                <c:pt idx="53" formatCode="_(* #,##0.0000_);_(* \(#,##0.0000\);_(* &quot;-&quot;??_);_(@_)">
                  <c:v>5.7599999999999989</c:v>
                </c:pt>
                <c:pt idx="54" formatCode="_(* #,##0.0000_);_(* \(#,##0.0000\);_(* &quot;-&quot;??_);_(@_)">
                  <c:v>4.799999999999998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26592"/>
        <c:axId val="782320432"/>
      </c:scatterChart>
      <c:valAx>
        <c:axId val="782326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20432"/>
        <c:crosses val="autoZero"/>
        <c:crossBetween val="midCat"/>
        <c:majorUnit val="5"/>
      </c:valAx>
      <c:valAx>
        <c:axId val="78232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26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(All)'!$W$7:$W$107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(All)'!$W$7:$W$107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93552"/>
        <c:axId val="782287392"/>
      </c:scatterChart>
      <c:valAx>
        <c:axId val="782293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87392"/>
        <c:crosses val="autoZero"/>
        <c:crossBetween val="midCat"/>
        <c:majorUnit val="5"/>
      </c:valAx>
      <c:valAx>
        <c:axId val="78228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93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(All)'!$X$7:$X$107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(All)'!$X$7:$X$107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74688"/>
        <c:axId val="548179728"/>
      </c:scatterChart>
      <c:valAx>
        <c:axId val="548174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9728"/>
        <c:crosses val="autoZero"/>
        <c:crossBetween val="midCat"/>
        <c:majorUnit val="5"/>
      </c:valAx>
      <c:valAx>
        <c:axId val="5481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4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(All)'!$Y$7:$Y$107</c:f>
              <c:numCache>
                <c:formatCode>0.0000</c:formatCode>
                <c:ptCount val="101"/>
                <c:pt idx="55">
                  <c:v>12.444444444444445</c:v>
                </c:pt>
                <c:pt idx="56">
                  <c:v>12.444444444444445</c:v>
                </c:pt>
                <c:pt idx="57">
                  <c:v>13.481481481481481</c:v>
                </c:pt>
                <c:pt idx="58">
                  <c:v>6.9091399999999989</c:v>
                </c:pt>
                <c:pt idx="59">
                  <c:v>11.039921143420404</c:v>
                </c:pt>
                <c:pt idx="60">
                  <c:v>10.160499999999999</c:v>
                </c:pt>
                <c:pt idx="61">
                  <c:v>10.7532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(All)'!$Y$7:$Y$107</c:f>
              <c:numCache>
                <c:formatCode>0.0000</c:formatCode>
                <c:ptCount val="101"/>
                <c:pt idx="55">
                  <c:v>12.444444444444445</c:v>
                </c:pt>
                <c:pt idx="56">
                  <c:v>12.444444444444445</c:v>
                </c:pt>
                <c:pt idx="57">
                  <c:v>13.481481481481481</c:v>
                </c:pt>
                <c:pt idx="58">
                  <c:v>6.9091399999999989</c:v>
                </c:pt>
                <c:pt idx="59">
                  <c:v>11.039921143420404</c:v>
                </c:pt>
                <c:pt idx="60">
                  <c:v>10.160499999999999</c:v>
                </c:pt>
                <c:pt idx="61">
                  <c:v>10.7532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06608"/>
        <c:axId val="548206048"/>
      </c:scatterChart>
      <c:valAx>
        <c:axId val="548206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206048"/>
        <c:crosses val="autoZero"/>
        <c:crossBetween val="midCat"/>
        <c:majorUnit val="5"/>
      </c:valAx>
      <c:valAx>
        <c:axId val="54820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206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(All)'!$AA$7:$AA$107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(All)'!$AA$7:$AA$107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03248"/>
        <c:axId val="548202688"/>
      </c:scatterChart>
      <c:valAx>
        <c:axId val="548203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202688"/>
        <c:crosses val="autoZero"/>
        <c:crossBetween val="midCat"/>
        <c:majorUnit val="5"/>
      </c:valAx>
      <c:valAx>
        <c:axId val="54820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203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(All)'!$Z$7:$Z$107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(All)'!$Z$7:$Z$107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99888"/>
        <c:axId val="548199328"/>
      </c:scatterChart>
      <c:valAx>
        <c:axId val="548199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9328"/>
        <c:crosses val="autoZero"/>
        <c:crossBetween val="midCat"/>
        <c:majorUnit val="5"/>
      </c:valAx>
      <c:valAx>
        <c:axId val="54819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9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(All)'!$G$7:$G$107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(All)'!$G$7:$G$107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(All)'!$G$7:$G$107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(All)'!$G$7:$G$107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(All)'!$G$7:$G$107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(All)'!$G$7:$G$107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(All)'!$G$7:$G$107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(All)'!$G$7:$G$107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01952"/>
        <c:axId val="782301392"/>
      </c:scatterChart>
      <c:valAx>
        <c:axId val="782301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1392"/>
        <c:crosses val="autoZero"/>
        <c:crossBetween val="midCat"/>
        <c:majorUnit val="5"/>
      </c:valAx>
      <c:valAx>
        <c:axId val="78230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01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(Rumeli),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(All)'!$AC$7:$AC$107</c:f>
              <c:numCache>
                <c:formatCode>0.0000</c:formatCode>
                <c:ptCount val="101"/>
                <c:pt idx="47" formatCode="_(* #,##0.0000_);_(* \(#,##0.0000\);_(* &quot;-&quot;??_);_(@_)">
                  <c:v>8.2758620689655178</c:v>
                </c:pt>
                <c:pt idx="49" formatCode="_(* #,##0.0000_);_(* \(#,##0.0000\);_(* &quot;-&quot;??_);_(@_)">
                  <c:v>7.8601398601398609</c:v>
                </c:pt>
                <c:pt idx="50" formatCode="_(* #,##0.0000_);_(* \(#,##0.0000\);_(* &quot;-&quot;??_);_(@_)">
                  <c:v>9.6223776223776234</c:v>
                </c:pt>
                <c:pt idx="52" formatCode="_(* #,##0.0000_);_(* \(#,##0.0000\);_(* &quot;-&quot;??_);_(@_)">
                  <c:v>9.6794521698945513</c:v>
                </c:pt>
                <c:pt idx="53" formatCode="_(* #,##0.0000_);_(* \(#,##0.0000\);_(* &quot;-&quot;??_);_(@_)">
                  <c:v>7.6439801162692733</c:v>
                </c:pt>
                <c:pt idx="54" formatCode="_(* #,##0.0000_);_(* \(#,##0.0000\);_(* &quot;-&quot;??_);_(@_)">
                  <c:v>5.4871794871794872</c:v>
                </c:pt>
                <c:pt idx="55" formatCode="_(* #,##0.0000_);_(* \(#,##0.0000\);_(* &quot;-&quot;??_);_(@_)">
                  <c:v>5.8668192565845514</c:v>
                </c:pt>
                <c:pt idx="56" formatCode="_(* #,##0.0000_);_(* \(#,##0.0000\);_(* &quot;-&quot;??_);_(@_)">
                  <c:v>6.1806227637509048</c:v>
                </c:pt>
                <c:pt idx="57" formatCode="_(* #,##0.0000_);_(* \(#,##0.0000\);_(* &quot;-&quot;??_);_(@_)">
                  <c:v>8.4163514776975159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(All)'!$AC$7:$AC$107</c:f>
              <c:numCache>
                <c:formatCode>0.0000</c:formatCode>
                <c:ptCount val="101"/>
                <c:pt idx="47" formatCode="_(* #,##0.0000_);_(* \(#,##0.0000\);_(* &quot;-&quot;??_);_(@_)">
                  <c:v>8.2758620689655178</c:v>
                </c:pt>
                <c:pt idx="49" formatCode="_(* #,##0.0000_);_(* \(#,##0.0000\);_(* &quot;-&quot;??_);_(@_)">
                  <c:v>7.8601398601398609</c:v>
                </c:pt>
                <c:pt idx="50" formatCode="_(* #,##0.0000_);_(* \(#,##0.0000\);_(* &quot;-&quot;??_);_(@_)">
                  <c:v>9.6223776223776234</c:v>
                </c:pt>
                <c:pt idx="52" formatCode="_(* #,##0.0000_);_(* \(#,##0.0000\);_(* &quot;-&quot;??_);_(@_)">
                  <c:v>9.6794521698945513</c:v>
                </c:pt>
                <c:pt idx="53" formatCode="_(* #,##0.0000_);_(* \(#,##0.0000\);_(* &quot;-&quot;??_);_(@_)">
                  <c:v>7.6439801162692733</c:v>
                </c:pt>
                <c:pt idx="54" formatCode="_(* #,##0.0000_);_(* \(#,##0.0000\);_(* &quot;-&quot;??_);_(@_)">
                  <c:v>5.4871794871794872</c:v>
                </c:pt>
                <c:pt idx="55" formatCode="_(* #,##0.0000_);_(* \(#,##0.0000\);_(* &quot;-&quot;??_);_(@_)">
                  <c:v>5.8668192565845514</c:v>
                </c:pt>
                <c:pt idx="56" formatCode="_(* #,##0.0000_);_(* \(#,##0.0000\);_(* &quot;-&quot;??_);_(@_)">
                  <c:v>6.1806227637509048</c:v>
                </c:pt>
                <c:pt idx="57" formatCode="_(* #,##0.0000_);_(* \(#,##0.0000\);_(* &quot;-&quot;??_);_(@_)">
                  <c:v>8.4163514776975159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96528"/>
        <c:axId val="548195968"/>
      </c:scatterChart>
      <c:valAx>
        <c:axId val="548196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5968"/>
        <c:crosses val="autoZero"/>
        <c:crossBetween val="midCat"/>
        <c:majorUnit val="5"/>
      </c:valAx>
      <c:valAx>
        <c:axId val="548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6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(Anatolia),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(All)'!$AF$7:$AF$107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(All)'!$AF$7:$AF$107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93168"/>
        <c:axId val="548192608"/>
      </c:scatterChart>
      <c:valAx>
        <c:axId val="548193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2608"/>
        <c:crosses val="autoZero"/>
        <c:crossBetween val="midCat"/>
        <c:majorUnit val="5"/>
      </c:valAx>
      <c:valAx>
        <c:axId val="54819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93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Exports,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(All)'!$AD$7:$AD$107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(All)'!$AD$7:$AD$107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89808"/>
        <c:axId val="548189248"/>
      </c:scatterChart>
      <c:valAx>
        <c:axId val="548189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89248"/>
        <c:crosses val="autoZero"/>
        <c:crossBetween val="midCat"/>
        <c:majorUnit val="5"/>
      </c:valAx>
      <c:valAx>
        <c:axId val="54818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89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Bazaar (Local),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(All)'!$AE$7:$AE$107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(All)'!$AE$7:$AE$107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86448"/>
        <c:axId val="548185888"/>
      </c:scatterChart>
      <c:valAx>
        <c:axId val="548186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85888"/>
        <c:crosses val="autoZero"/>
        <c:crossBetween val="midCat"/>
        <c:majorUnit val="5"/>
      </c:valAx>
      <c:valAx>
        <c:axId val="54818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86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(All)'!$AG$7:$AG$107</c:f>
              <c:numCache>
                <c:formatCode>0.0000</c:formatCode>
                <c:ptCount val="101"/>
                <c:pt idx="47">
                  <c:v>9.7612732095490724</c:v>
                </c:pt>
                <c:pt idx="50">
                  <c:v>9.8461538461538467</c:v>
                </c:pt>
                <c:pt idx="52">
                  <c:v>7.4478006973910844</c:v>
                </c:pt>
                <c:pt idx="53">
                  <c:v>7.2794675204313766</c:v>
                </c:pt>
                <c:pt idx="54">
                  <c:v>4.9107692307692314</c:v>
                </c:pt>
                <c:pt idx="55">
                  <c:v>5.1385970277851776</c:v>
                </c:pt>
                <c:pt idx="56">
                  <c:v>5.4245121874224305</c:v>
                </c:pt>
                <c:pt idx="57">
                  <c:v>8.5792486030723083</c:v>
                </c:pt>
                <c:pt idx="58">
                  <c:v>8.3597175771088814</c:v>
                </c:pt>
                <c:pt idx="59">
                  <c:v>7.742666325725394</c:v>
                </c:pt>
                <c:pt idx="60">
                  <c:v>7.0387875688412676</c:v>
                </c:pt>
                <c:pt idx="61">
                  <c:v>6.5084552715309743</c:v>
                </c:pt>
                <c:pt idx="62">
                  <c:v>6.432215127867301</c:v>
                </c:pt>
                <c:pt idx="64">
                  <c:v>6.660344542745233</c:v>
                </c:pt>
                <c:pt idx="66">
                  <c:v>6.6025624906103699</c:v>
                </c:pt>
                <c:pt idx="67">
                  <c:v>7.0015315850342263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(All)'!$AG$7:$AG$107</c:f>
              <c:numCache>
                <c:formatCode>0.0000</c:formatCode>
                <c:ptCount val="101"/>
                <c:pt idx="47">
                  <c:v>9.7612732095490724</c:v>
                </c:pt>
                <c:pt idx="50">
                  <c:v>9.8461538461538467</c:v>
                </c:pt>
                <c:pt idx="52">
                  <c:v>7.4478006973910844</c:v>
                </c:pt>
                <c:pt idx="53">
                  <c:v>7.2794675204313766</c:v>
                </c:pt>
                <c:pt idx="54">
                  <c:v>4.9107692307692314</c:v>
                </c:pt>
                <c:pt idx="55">
                  <c:v>5.1385970277851776</c:v>
                </c:pt>
                <c:pt idx="56">
                  <c:v>5.4245121874224305</c:v>
                </c:pt>
                <c:pt idx="57">
                  <c:v>8.5792486030723083</c:v>
                </c:pt>
                <c:pt idx="58">
                  <c:v>8.3597175771088814</c:v>
                </c:pt>
                <c:pt idx="59">
                  <c:v>7.742666325725394</c:v>
                </c:pt>
                <c:pt idx="60">
                  <c:v>7.0387875688412676</c:v>
                </c:pt>
                <c:pt idx="61">
                  <c:v>6.5084552715309743</c:v>
                </c:pt>
                <c:pt idx="62">
                  <c:v>6.432215127867301</c:v>
                </c:pt>
                <c:pt idx="64">
                  <c:v>6.660344542745233</c:v>
                </c:pt>
                <c:pt idx="66">
                  <c:v>6.6025624906103699</c:v>
                </c:pt>
                <c:pt idx="67">
                  <c:v>7.0015315850342263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44448"/>
        <c:axId val="548146128"/>
      </c:scatterChart>
      <c:valAx>
        <c:axId val="548144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46128"/>
        <c:crosses val="autoZero"/>
        <c:crossBetween val="midCat"/>
        <c:majorUnit val="5"/>
      </c:valAx>
      <c:valAx>
        <c:axId val="54814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44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(All)'!$AH$7:$AH$107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(All)'!$AH$7:$AH$107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57888"/>
        <c:axId val="548162928"/>
      </c:scatterChart>
      <c:valAx>
        <c:axId val="548157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2928"/>
        <c:crosses val="autoZero"/>
        <c:crossBetween val="midCat"/>
        <c:majorUnit val="5"/>
      </c:valAx>
      <c:valAx>
        <c:axId val="54816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7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(All)'!$AM$7:$AM$107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(All)'!$AM$7:$AM$107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69648"/>
        <c:axId val="548173008"/>
      </c:scatterChart>
      <c:valAx>
        <c:axId val="548169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3008"/>
        <c:crosses val="autoZero"/>
        <c:crossBetween val="midCat"/>
        <c:majorUnit val="5"/>
      </c:valAx>
      <c:valAx>
        <c:axId val="54817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9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(All)'!$AL$7:$AL$107</c:f>
              <c:numCache>
                <c:formatCode>0.0000</c:formatCode>
                <c:ptCount val="101"/>
                <c:pt idx="70">
                  <c:v>9.5971948865916339</c:v>
                </c:pt>
                <c:pt idx="71">
                  <c:v>9.6973443931145429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(All)'!$AL$7:$AL$107</c:f>
              <c:numCache>
                <c:formatCode>0.0000</c:formatCode>
                <c:ptCount val="101"/>
                <c:pt idx="70">
                  <c:v>9.5971948865916339</c:v>
                </c:pt>
                <c:pt idx="71">
                  <c:v>9.6973443931145429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43328"/>
        <c:axId val="548148368"/>
      </c:scatterChart>
      <c:valAx>
        <c:axId val="548143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48368"/>
        <c:crosses val="autoZero"/>
        <c:crossBetween val="midCat"/>
        <c:majorUnit val="5"/>
      </c:valAx>
      <c:valAx>
        <c:axId val="54814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43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(All)'!$AN$7:$AN$107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(All)'!$AN$7:$AN$107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45568"/>
        <c:axId val="548157328"/>
      </c:scatterChart>
      <c:valAx>
        <c:axId val="5481455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7328"/>
        <c:crosses val="autoZero"/>
        <c:crossBetween val="midCat"/>
        <c:majorUnit val="5"/>
      </c:valAx>
      <c:valAx>
        <c:axId val="54815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455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(All)'!$AO$7:$AO$107</c:f>
              <c:numCache>
                <c:formatCode>0.0000</c:formatCode>
                <c:ptCount val="101"/>
                <c:pt idx="49">
                  <c:v>11.072603163963485</c:v>
                </c:pt>
                <c:pt idx="50">
                  <c:v>13.714855640020089</c:v>
                </c:pt>
                <c:pt idx="52">
                  <c:v>10</c:v>
                </c:pt>
                <c:pt idx="56">
                  <c:v>16.345397943460849</c:v>
                </c:pt>
                <c:pt idx="58">
                  <c:v>13.754251700680289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(All)'!$AO$7:$AO$107</c:f>
              <c:numCache>
                <c:formatCode>0.0000</c:formatCode>
                <c:ptCount val="101"/>
                <c:pt idx="49">
                  <c:v>11.072603163963485</c:v>
                </c:pt>
                <c:pt idx="50">
                  <c:v>13.714855640020089</c:v>
                </c:pt>
                <c:pt idx="52">
                  <c:v>10</c:v>
                </c:pt>
                <c:pt idx="56">
                  <c:v>16.345397943460849</c:v>
                </c:pt>
                <c:pt idx="58">
                  <c:v>13.754251700680289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65168"/>
        <c:axId val="548166848"/>
      </c:scatterChart>
      <c:valAx>
        <c:axId val="548165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6848"/>
        <c:crosses val="autoZero"/>
        <c:crossBetween val="midCat"/>
        <c:majorUnit val="5"/>
      </c:valAx>
      <c:valAx>
        <c:axId val="54816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5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(All)'!$H$7:$H$107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(All)'!$H$7:$H$107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86832"/>
        <c:axId val="782288512"/>
      </c:scatterChart>
      <c:valAx>
        <c:axId val="782286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88512"/>
        <c:crosses val="autoZero"/>
        <c:crossBetween val="midCat"/>
        <c:majorUnit val="5"/>
      </c:valAx>
      <c:valAx>
        <c:axId val="7822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86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(All)'!$AP$7:$AP$107</c:f>
              <c:numCache>
                <c:formatCode>0.0000</c:formatCode>
                <c:ptCount val="101"/>
                <c:pt idx="49">
                  <c:v>9.6475453698626517</c:v>
                </c:pt>
                <c:pt idx="50">
                  <c:v>10.903217981372604</c:v>
                </c:pt>
                <c:pt idx="67">
                  <c:v>4.1033434650455929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(All)'!$AP$7:$AP$107</c:f>
              <c:numCache>
                <c:formatCode>0.0000</c:formatCode>
                <c:ptCount val="101"/>
                <c:pt idx="49">
                  <c:v>9.6475453698626517</c:v>
                </c:pt>
                <c:pt idx="50">
                  <c:v>10.903217981372604</c:v>
                </c:pt>
                <c:pt idx="67">
                  <c:v>4.1033434650455929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75248"/>
        <c:axId val="548143888"/>
      </c:scatterChart>
      <c:valAx>
        <c:axId val="548175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43888"/>
        <c:crosses val="autoZero"/>
        <c:crossBetween val="midCat"/>
        <c:majorUnit val="5"/>
      </c:valAx>
      <c:valAx>
        <c:axId val="54814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5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(All)'!$AQ$7:$AQ$107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(All)'!$AQ$7:$AQ$107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55648"/>
        <c:axId val="548159008"/>
      </c:scatterChart>
      <c:valAx>
        <c:axId val="548155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9008"/>
        <c:crosses val="autoZero"/>
        <c:crossBetween val="midCat"/>
        <c:majorUnit val="5"/>
      </c:valAx>
      <c:valAx>
        <c:axId val="54815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5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(All)'!$AR$7:$AR$107</c:f>
              <c:numCache>
                <c:formatCode>0.0000</c:formatCode>
                <c:ptCount val="101"/>
                <c:pt idx="43">
                  <c:v>12.5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8.0019709288001977</c:v>
                </c:pt>
                <c:pt idx="48">
                  <c:v>8.0047770700636942</c:v>
                </c:pt>
                <c:pt idx="49">
                  <c:v>7.9993895925530287</c:v>
                </c:pt>
                <c:pt idx="50">
                  <c:v>7.1013329050907341</c:v>
                </c:pt>
                <c:pt idx="51">
                  <c:v>7.7952917093142275</c:v>
                </c:pt>
                <c:pt idx="52">
                  <c:v>8.6918467649633069</c:v>
                </c:pt>
                <c:pt idx="53">
                  <c:v>6.7858588584536497</c:v>
                </c:pt>
                <c:pt idx="54">
                  <c:v>7.2722790583014918</c:v>
                </c:pt>
                <c:pt idx="55">
                  <c:v>5.7287438722260289</c:v>
                </c:pt>
                <c:pt idx="56">
                  <c:v>5.9992475545522952</c:v>
                </c:pt>
                <c:pt idx="57">
                  <c:v>6.7248556465690879</c:v>
                </c:pt>
                <c:pt idx="58">
                  <c:v>8.146836061568532</c:v>
                </c:pt>
                <c:pt idx="59">
                  <c:v>7.2265730488792865</c:v>
                </c:pt>
                <c:pt idx="60">
                  <c:v>6.2217394256229213</c:v>
                </c:pt>
                <c:pt idx="61">
                  <c:v>6.361890126776796</c:v>
                </c:pt>
                <c:pt idx="62">
                  <c:v>6.0001507954459772</c:v>
                </c:pt>
                <c:pt idx="63">
                  <c:v>6.045316514832983</c:v>
                </c:pt>
                <c:pt idx="64">
                  <c:v>7.4933362949800086</c:v>
                </c:pt>
                <c:pt idx="65">
                  <c:v>7.5924219150025607</c:v>
                </c:pt>
                <c:pt idx="66">
                  <c:v>7.5457070122656784</c:v>
                </c:pt>
                <c:pt idx="67">
                  <c:v>8.1914123124676657</c:v>
                </c:pt>
                <c:pt idx="68">
                  <c:v>10.549022788095046</c:v>
                </c:pt>
                <c:pt idx="69">
                  <c:v>10.706521739130434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(All)'!$AR$7:$AR$107</c:f>
              <c:numCache>
                <c:formatCode>0.0000</c:formatCode>
                <c:ptCount val="101"/>
                <c:pt idx="43">
                  <c:v>12.5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8.0019709288001977</c:v>
                </c:pt>
                <c:pt idx="48">
                  <c:v>8.0047770700636942</c:v>
                </c:pt>
                <c:pt idx="49">
                  <c:v>7.9993895925530287</c:v>
                </c:pt>
                <c:pt idx="50">
                  <c:v>7.1013329050907341</c:v>
                </c:pt>
                <c:pt idx="51">
                  <c:v>7.7952917093142275</c:v>
                </c:pt>
                <c:pt idx="52">
                  <c:v>8.6918467649633069</c:v>
                </c:pt>
                <c:pt idx="53">
                  <c:v>6.7858588584536497</c:v>
                </c:pt>
                <c:pt idx="54">
                  <c:v>7.2722790583014918</c:v>
                </c:pt>
                <c:pt idx="55">
                  <c:v>5.7287438722260289</c:v>
                </c:pt>
                <c:pt idx="56">
                  <c:v>5.9992475545522952</c:v>
                </c:pt>
                <c:pt idx="57">
                  <c:v>6.7248556465690879</c:v>
                </c:pt>
                <c:pt idx="58">
                  <c:v>8.146836061568532</c:v>
                </c:pt>
                <c:pt idx="59">
                  <c:v>7.2265730488792865</c:v>
                </c:pt>
                <c:pt idx="60">
                  <c:v>6.2217394256229213</c:v>
                </c:pt>
                <c:pt idx="61">
                  <c:v>6.361890126776796</c:v>
                </c:pt>
                <c:pt idx="62">
                  <c:v>6.0001507954459772</c:v>
                </c:pt>
                <c:pt idx="63">
                  <c:v>6.045316514832983</c:v>
                </c:pt>
                <c:pt idx="64">
                  <c:v>7.4933362949800086</c:v>
                </c:pt>
                <c:pt idx="65">
                  <c:v>7.5924219150025607</c:v>
                </c:pt>
                <c:pt idx="66">
                  <c:v>7.5457070122656784</c:v>
                </c:pt>
                <c:pt idx="67">
                  <c:v>8.1914123124676657</c:v>
                </c:pt>
                <c:pt idx="68">
                  <c:v>10.549022788095046</c:v>
                </c:pt>
                <c:pt idx="69">
                  <c:v>10.706521739130434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78608"/>
        <c:axId val="548176928"/>
      </c:scatterChart>
      <c:valAx>
        <c:axId val="548178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6928"/>
        <c:crosses val="autoZero"/>
        <c:crossBetween val="midCat"/>
        <c:majorUnit val="5"/>
      </c:valAx>
      <c:valAx>
        <c:axId val="54817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8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(All)'!$AS$7:$AS$107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(All)'!$AT$7:$AT$107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77488"/>
        <c:axId val="548179168"/>
      </c:scatterChart>
      <c:valAx>
        <c:axId val="5481774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9168"/>
        <c:crosses val="autoZero"/>
        <c:crossBetween val="midCat"/>
        <c:majorUnit val="5"/>
      </c:valAx>
      <c:valAx>
        <c:axId val="54817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774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(All)'!$AT$7:$AT$107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(All)'!$AT$7:$AT$107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53408"/>
        <c:axId val="548167408"/>
      </c:scatterChart>
      <c:valAx>
        <c:axId val="548153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67408"/>
        <c:crosses val="autoZero"/>
        <c:crossBetween val="midCat"/>
        <c:majorUnit val="5"/>
      </c:valAx>
      <c:valAx>
        <c:axId val="54816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8153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(All)'!$AU$7:$AU$107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(All)'!$AU$7:$AU$107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23200"/>
        <c:axId val="761923760"/>
      </c:scatterChart>
      <c:valAx>
        <c:axId val="7619232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23760"/>
        <c:crosses val="autoZero"/>
        <c:crossBetween val="midCat"/>
        <c:majorUnit val="5"/>
      </c:valAx>
      <c:valAx>
        <c:axId val="7619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232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(All)'!$AV$7:$AV$107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(All)'!$AV$7:$AV$107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19840"/>
        <c:axId val="761920400"/>
      </c:scatterChart>
      <c:valAx>
        <c:axId val="7619198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20400"/>
        <c:crosses val="autoZero"/>
        <c:crossBetween val="midCat"/>
        <c:majorUnit val="5"/>
      </c:valAx>
      <c:valAx>
        <c:axId val="7619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98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(All)'!$AW$7:$AW$107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(All)'!$AW$7:$AW$107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16480"/>
        <c:axId val="761917040"/>
      </c:scatterChart>
      <c:valAx>
        <c:axId val="761916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7040"/>
        <c:crosses val="autoZero"/>
        <c:crossBetween val="midCat"/>
        <c:majorUnit val="5"/>
      </c:valAx>
      <c:valAx>
        <c:axId val="76191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6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(All)'!$AX$7:$AX$107</c:f>
              <c:numCache>
                <c:formatCode>0.0000</c:formatCode>
                <c:ptCount val="101"/>
                <c:pt idx="37">
                  <c:v>22.238118569328801</c:v>
                </c:pt>
                <c:pt idx="38">
                  <c:v>21.042408998812199</c:v>
                </c:pt>
                <c:pt idx="39">
                  <c:v>24.729991333493402</c:v>
                </c:pt>
                <c:pt idx="40">
                  <c:v>13.86534222762654</c:v>
                </c:pt>
                <c:pt idx="41">
                  <c:v>13.90270219069814</c:v>
                </c:pt>
                <c:pt idx="42">
                  <c:v>14.76917547985134</c:v>
                </c:pt>
                <c:pt idx="43">
                  <c:v>14.77077398442318</c:v>
                </c:pt>
                <c:pt idx="44">
                  <c:v>17.231142927210939</c:v>
                </c:pt>
                <c:pt idx="49">
                  <c:v>14.767411282240822</c:v>
                </c:pt>
                <c:pt idx="50">
                  <c:v>14.769623421721041</c:v>
                </c:pt>
                <c:pt idx="51">
                  <c:v>14.7682677260142</c:v>
                </c:pt>
                <c:pt idx="52">
                  <c:v>14.769230769230759</c:v>
                </c:pt>
                <c:pt idx="53">
                  <c:v>14.7681432770896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(All)'!$AX$7:$AX$107</c:f>
              <c:numCache>
                <c:formatCode>0.0000</c:formatCode>
                <c:ptCount val="101"/>
                <c:pt idx="37">
                  <c:v>22.238118569328801</c:v>
                </c:pt>
                <c:pt idx="38">
                  <c:v>21.042408998812199</c:v>
                </c:pt>
                <c:pt idx="39">
                  <c:v>24.729991333493402</c:v>
                </c:pt>
                <c:pt idx="40">
                  <c:v>13.86534222762654</c:v>
                </c:pt>
                <c:pt idx="41">
                  <c:v>13.90270219069814</c:v>
                </c:pt>
                <c:pt idx="42">
                  <c:v>14.76917547985134</c:v>
                </c:pt>
                <c:pt idx="43">
                  <c:v>14.77077398442318</c:v>
                </c:pt>
                <c:pt idx="44">
                  <c:v>17.231142927210939</c:v>
                </c:pt>
                <c:pt idx="49">
                  <c:v>14.767411282240822</c:v>
                </c:pt>
                <c:pt idx="50">
                  <c:v>14.769623421721041</c:v>
                </c:pt>
                <c:pt idx="51">
                  <c:v>14.7682677260142</c:v>
                </c:pt>
                <c:pt idx="52">
                  <c:v>14.769230769230759</c:v>
                </c:pt>
                <c:pt idx="53">
                  <c:v>14.7681432770896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13120"/>
        <c:axId val="761913680"/>
      </c:scatterChart>
      <c:valAx>
        <c:axId val="7619131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3680"/>
        <c:crosses val="autoZero"/>
        <c:crossBetween val="midCat"/>
        <c:majorUnit val="5"/>
      </c:valAx>
      <c:valAx>
        <c:axId val="76191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31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(All)'!$BB$7:$BB$107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(All)'!$BB$7:$BB$107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09760"/>
        <c:axId val="761910320"/>
      </c:scatterChart>
      <c:valAx>
        <c:axId val="7619097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10320"/>
        <c:crosses val="autoZero"/>
        <c:crossBetween val="midCat"/>
        <c:majorUnit val="5"/>
      </c:valAx>
      <c:valAx>
        <c:axId val="76191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9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(All)'!$J$7:$J$107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(All)'!$J$7:$J$107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83472"/>
        <c:axId val="782285712"/>
      </c:scatterChart>
      <c:valAx>
        <c:axId val="7822834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85712"/>
        <c:crosses val="autoZero"/>
        <c:crossBetween val="midCat"/>
        <c:majorUnit val="5"/>
      </c:valAx>
      <c:valAx>
        <c:axId val="78228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83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(All)'!$BF$7:$BF$107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(All)'!$BF$7:$BF$107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06400"/>
        <c:axId val="761906960"/>
      </c:scatterChart>
      <c:valAx>
        <c:axId val="7619064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6960"/>
        <c:crosses val="autoZero"/>
        <c:crossBetween val="midCat"/>
        <c:majorUnit val="5"/>
      </c:valAx>
      <c:valAx>
        <c:axId val="76190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64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(All)'!$AY$7:$AY$107</c:f>
              <c:numCache>
                <c:formatCode>0.0000</c:formatCode>
                <c:ptCount val="101"/>
                <c:pt idx="25">
                  <c:v>5.7517564402810306</c:v>
                </c:pt>
                <c:pt idx="26">
                  <c:v>6.0210889570552144</c:v>
                </c:pt>
                <c:pt idx="27">
                  <c:v>5.2576956904133683</c:v>
                </c:pt>
                <c:pt idx="49" formatCode="_(* #,##0.0000_);_(* \(#,##0.0000\);_(* &quot;-&quot;??_);_(@_)">
                  <c:v>12.307692307692307</c:v>
                </c:pt>
                <c:pt idx="69" formatCode="_(* #,##0.0000_);_(* \(#,##0.0000\);_(* &quot;-&quot;??_);_(@_)">
                  <c:v>4.3719575847480909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(All)'!$AY$7:$AY$107</c:f>
              <c:numCache>
                <c:formatCode>0.0000</c:formatCode>
                <c:ptCount val="101"/>
                <c:pt idx="25">
                  <c:v>5.7517564402810306</c:v>
                </c:pt>
                <c:pt idx="26">
                  <c:v>6.0210889570552144</c:v>
                </c:pt>
                <c:pt idx="27">
                  <c:v>5.2576956904133683</c:v>
                </c:pt>
                <c:pt idx="49" formatCode="_(* #,##0.0000_);_(* \(#,##0.0000\);_(* &quot;-&quot;??_);_(@_)">
                  <c:v>12.307692307692307</c:v>
                </c:pt>
                <c:pt idx="69" formatCode="_(* #,##0.0000_);_(* \(#,##0.0000\);_(* &quot;-&quot;??_);_(@_)">
                  <c:v>4.3719575847480909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03040"/>
        <c:axId val="761903600"/>
      </c:scatterChart>
      <c:valAx>
        <c:axId val="7619030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3600"/>
        <c:crosses val="autoZero"/>
        <c:crossBetween val="midCat"/>
        <c:majorUnit val="5"/>
      </c:valAx>
      <c:valAx>
        <c:axId val="7619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30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Ixmir,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(All)'!$AZ$7:$AZ$107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(All)'!$AZ$7:$AZ$107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99680"/>
        <c:axId val="761900240"/>
      </c:scatterChart>
      <c:valAx>
        <c:axId val="7618996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00240"/>
        <c:crosses val="autoZero"/>
        <c:crossBetween val="midCat"/>
        <c:majorUnit val="5"/>
      </c:valAx>
      <c:valAx>
        <c:axId val="76190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96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(All)'!$BA$7:$BA$107</c:f>
              <c:numCache>
                <c:formatCode>0.0000</c:formatCode>
                <c:ptCount val="101"/>
                <c:pt idx="38">
                  <c:v>26.56084656084656</c:v>
                </c:pt>
                <c:pt idx="39">
                  <c:v>21.448275862068968</c:v>
                </c:pt>
                <c:pt idx="40">
                  <c:v>21.431372549019606</c:v>
                </c:pt>
                <c:pt idx="41">
                  <c:v>21.56451612903226</c:v>
                </c:pt>
                <c:pt idx="42">
                  <c:v>21.932773109243698</c:v>
                </c:pt>
                <c:pt idx="43">
                  <c:v>21.833333333333336</c:v>
                </c:pt>
                <c:pt idx="47">
                  <c:v>19.570754716981131</c:v>
                </c:pt>
                <c:pt idx="48">
                  <c:v>20.2015503875969</c:v>
                </c:pt>
                <c:pt idx="49">
                  <c:v>22.246153846153849</c:v>
                </c:pt>
                <c:pt idx="50">
                  <c:v>14.454545454545441</c:v>
                </c:pt>
                <c:pt idx="51">
                  <c:v>22.280612244897934</c:v>
                </c:pt>
                <c:pt idx="52">
                  <c:v>22.883018867924505</c:v>
                </c:pt>
                <c:pt idx="53">
                  <c:v>20.802588996763735</c:v>
                </c:pt>
                <c:pt idx="54">
                  <c:v>21.868421052631557</c:v>
                </c:pt>
                <c:pt idx="55">
                  <c:v>20.322916666666647</c:v>
                </c:pt>
                <c:pt idx="56">
                  <c:v>41.872538860103582</c:v>
                </c:pt>
                <c:pt idx="57">
                  <c:v>24.150627615062739</c:v>
                </c:pt>
                <c:pt idx="58">
                  <c:v>21.221896383186689</c:v>
                </c:pt>
                <c:pt idx="59">
                  <c:v>17.263723150357979</c:v>
                </c:pt>
                <c:pt idx="60">
                  <c:v>19.309045226130635</c:v>
                </c:pt>
                <c:pt idx="61">
                  <c:v>17.159340659340639</c:v>
                </c:pt>
                <c:pt idx="62">
                  <c:v>17.082779991146509</c:v>
                </c:pt>
                <c:pt idx="63">
                  <c:v>18.706140350877174</c:v>
                </c:pt>
                <c:pt idx="64">
                  <c:v>38.261384335154794</c:v>
                </c:pt>
                <c:pt idx="65">
                  <c:v>39.03494347379236</c:v>
                </c:pt>
                <c:pt idx="66">
                  <c:v>40.158192090395445</c:v>
                </c:pt>
                <c:pt idx="67">
                  <c:v>41.713586291309625</c:v>
                </c:pt>
                <c:pt idx="68">
                  <c:v>41.028419182948447</c:v>
                </c:pt>
                <c:pt idx="69">
                  <c:v>56.554385964912235</c:v>
                </c:pt>
                <c:pt idx="70">
                  <c:v>35.046249999999972</c:v>
                </c:pt>
                <c:pt idx="71">
                  <c:v>32.30100755667506</c:v>
                </c:pt>
                <c:pt idx="72">
                  <c:v>30.1100826446281</c:v>
                </c:pt>
                <c:pt idx="73">
                  <c:v>28.538362068965519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(All)'!$BA$7:$BA$107</c:f>
              <c:numCache>
                <c:formatCode>0.0000</c:formatCode>
                <c:ptCount val="101"/>
                <c:pt idx="38">
                  <c:v>26.56084656084656</c:v>
                </c:pt>
                <c:pt idx="39">
                  <c:v>21.448275862068968</c:v>
                </c:pt>
                <c:pt idx="40">
                  <c:v>21.431372549019606</c:v>
                </c:pt>
                <c:pt idx="41">
                  <c:v>21.56451612903226</c:v>
                </c:pt>
                <c:pt idx="42">
                  <c:v>21.932773109243698</c:v>
                </c:pt>
                <c:pt idx="43">
                  <c:v>21.833333333333336</c:v>
                </c:pt>
                <c:pt idx="47">
                  <c:v>19.570754716981131</c:v>
                </c:pt>
                <c:pt idx="48">
                  <c:v>20.2015503875969</c:v>
                </c:pt>
                <c:pt idx="49">
                  <c:v>22.246153846153849</c:v>
                </c:pt>
                <c:pt idx="50">
                  <c:v>14.454545454545441</c:v>
                </c:pt>
                <c:pt idx="51">
                  <c:v>22.280612244897934</c:v>
                </c:pt>
                <c:pt idx="52">
                  <c:v>22.883018867924505</c:v>
                </c:pt>
                <c:pt idx="53">
                  <c:v>20.802588996763735</c:v>
                </c:pt>
                <c:pt idx="54">
                  <c:v>21.868421052631557</c:v>
                </c:pt>
                <c:pt idx="55">
                  <c:v>20.322916666666647</c:v>
                </c:pt>
                <c:pt idx="56">
                  <c:v>41.872538860103582</c:v>
                </c:pt>
                <c:pt idx="57">
                  <c:v>24.150627615062739</c:v>
                </c:pt>
                <c:pt idx="58">
                  <c:v>21.221896383186689</c:v>
                </c:pt>
                <c:pt idx="59">
                  <c:v>17.263723150357979</c:v>
                </c:pt>
                <c:pt idx="60">
                  <c:v>19.309045226130635</c:v>
                </c:pt>
                <c:pt idx="61">
                  <c:v>17.159340659340639</c:v>
                </c:pt>
                <c:pt idx="62">
                  <c:v>17.082779991146509</c:v>
                </c:pt>
                <c:pt idx="63">
                  <c:v>18.706140350877174</c:v>
                </c:pt>
                <c:pt idx="64">
                  <c:v>38.261384335154794</c:v>
                </c:pt>
                <c:pt idx="65">
                  <c:v>39.03494347379236</c:v>
                </c:pt>
                <c:pt idx="66">
                  <c:v>40.158192090395445</c:v>
                </c:pt>
                <c:pt idx="67">
                  <c:v>41.713586291309625</c:v>
                </c:pt>
                <c:pt idx="68">
                  <c:v>41.028419182948447</c:v>
                </c:pt>
                <c:pt idx="69">
                  <c:v>56.554385964912235</c:v>
                </c:pt>
                <c:pt idx="70">
                  <c:v>35.046249999999972</c:v>
                </c:pt>
                <c:pt idx="71">
                  <c:v>32.30100755667506</c:v>
                </c:pt>
                <c:pt idx="72">
                  <c:v>30.1100826446281</c:v>
                </c:pt>
                <c:pt idx="73">
                  <c:v>28.538362068965519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96320"/>
        <c:axId val="761896880"/>
      </c:scatterChart>
      <c:valAx>
        <c:axId val="7618963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6880"/>
        <c:crosses val="autoZero"/>
        <c:crossBetween val="midCat"/>
        <c:majorUnit val="5"/>
      </c:valAx>
      <c:valAx>
        <c:axId val="76189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6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(All)'!$BC$7:$BC$107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(All)'!$BC$7:$BC$107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92960"/>
        <c:axId val="761893520"/>
      </c:scatterChart>
      <c:valAx>
        <c:axId val="7618929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3520"/>
        <c:crosses val="autoZero"/>
        <c:crossBetween val="midCat"/>
        <c:majorUnit val="5"/>
      </c:valAx>
      <c:valAx>
        <c:axId val="76189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29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(All)'!$BE$7:$BE$107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(All)'!$BE$7:$BE$107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89600"/>
        <c:axId val="761890160"/>
      </c:scatterChart>
      <c:valAx>
        <c:axId val="7618896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90160"/>
        <c:crosses val="autoZero"/>
        <c:crossBetween val="midCat"/>
        <c:majorUnit val="5"/>
      </c:valAx>
      <c:valAx>
        <c:axId val="76189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96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(All)'!$BD$7:$BD$107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(All)'!$BD$7:$BD$107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86240"/>
        <c:axId val="761886800"/>
      </c:scatterChart>
      <c:valAx>
        <c:axId val="7618862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6800"/>
        <c:crosses val="autoZero"/>
        <c:crossBetween val="midCat"/>
        <c:majorUnit val="5"/>
      </c:valAx>
      <c:valAx>
        <c:axId val="76188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62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(All)'!$BG$7:$BG$107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(All)'!$BG$7:$BG$107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82880"/>
        <c:axId val="761883440"/>
      </c:scatterChart>
      <c:valAx>
        <c:axId val="7618828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3440"/>
        <c:crosses val="autoZero"/>
        <c:crossBetween val="midCat"/>
        <c:majorUnit val="5"/>
      </c:valAx>
      <c:valAx>
        <c:axId val="76188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28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(All)'!$BH$7:$BH$107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(All)'!$BH$7:$BH$107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82320"/>
        <c:axId val="761881760"/>
      </c:scatterChart>
      <c:valAx>
        <c:axId val="7618823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1760"/>
        <c:crosses val="autoZero"/>
        <c:crossBetween val="midCat"/>
        <c:majorUnit val="5"/>
      </c:valAx>
      <c:valAx>
        <c:axId val="7618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882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(All)'!$BI$7:$BI$107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(All)'!$BI$7:$BI$107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32160"/>
        <c:axId val="761943920"/>
      </c:scatterChart>
      <c:valAx>
        <c:axId val="7619321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43920"/>
        <c:crosses val="autoZero"/>
        <c:crossBetween val="midCat"/>
        <c:majorUnit val="5"/>
      </c:valAx>
      <c:valAx>
        <c:axId val="76194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321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(All)'!$K$7:$K$107</c:f>
              <c:numCache>
                <c:formatCode>0.0000</c:formatCode>
                <c:ptCount val="101"/>
                <c:pt idx="21">
                  <c:v>17.111111111111089</c:v>
                </c:pt>
                <c:pt idx="22">
                  <c:v>14</c:v>
                </c:pt>
                <c:pt idx="23">
                  <c:v>12.444444444444432</c:v>
                </c:pt>
                <c:pt idx="24">
                  <c:v>11.666666666666659</c:v>
                </c:pt>
                <c:pt idx="25">
                  <c:v>12.444444444444432</c:v>
                </c:pt>
                <c:pt idx="26">
                  <c:v>14</c:v>
                </c:pt>
                <c:pt idx="28">
                  <c:v>14</c:v>
                </c:pt>
                <c:pt idx="29">
                  <c:v>18.666666666666657</c:v>
                </c:pt>
                <c:pt idx="33">
                  <c:v>18.666666666666657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(All)'!$K$7:$K$107</c:f>
              <c:numCache>
                <c:formatCode>0.0000</c:formatCode>
                <c:ptCount val="101"/>
                <c:pt idx="21">
                  <c:v>17.111111111111089</c:v>
                </c:pt>
                <c:pt idx="22">
                  <c:v>14</c:v>
                </c:pt>
                <c:pt idx="23">
                  <c:v>12.444444444444432</c:v>
                </c:pt>
                <c:pt idx="24">
                  <c:v>11.666666666666659</c:v>
                </c:pt>
                <c:pt idx="25">
                  <c:v>12.444444444444432</c:v>
                </c:pt>
                <c:pt idx="26">
                  <c:v>14</c:v>
                </c:pt>
                <c:pt idx="28">
                  <c:v>14</c:v>
                </c:pt>
                <c:pt idx="29">
                  <c:v>18.666666666666657</c:v>
                </c:pt>
                <c:pt idx="33">
                  <c:v>18.666666666666657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80112"/>
        <c:axId val="782282352"/>
      </c:scatterChart>
      <c:valAx>
        <c:axId val="7822801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82352"/>
        <c:crosses val="autoZero"/>
        <c:crossBetween val="midCat"/>
        <c:majorUnit val="5"/>
      </c:valAx>
      <c:valAx>
        <c:axId val="78228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801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(All)'!$BJ$7:$BJ$107</c:f>
              <c:numCache>
                <c:formatCode>0.0000</c:formatCode>
                <c:ptCount val="101"/>
                <c:pt idx="62">
                  <c:v>16.148659146701469</c:v>
                </c:pt>
                <c:pt idx="63">
                  <c:v>13.15377063149511</c:v>
                </c:pt>
                <c:pt idx="64">
                  <c:v>9.5357962537943379</c:v>
                </c:pt>
                <c:pt idx="65">
                  <c:v>4.5517280744313506</c:v>
                </c:pt>
                <c:pt idx="66">
                  <c:v>15.873615277064093</c:v>
                </c:pt>
                <c:pt idx="67">
                  <c:v>1.6699828676662991</c:v>
                </c:pt>
                <c:pt idx="68">
                  <c:v>23.237188114711646</c:v>
                </c:pt>
                <c:pt idx="69">
                  <c:v>23.613902157799295</c:v>
                </c:pt>
                <c:pt idx="70">
                  <c:v>18.740331491712702</c:v>
                </c:pt>
                <c:pt idx="71">
                  <c:v>24.417935006170275</c:v>
                </c:pt>
                <c:pt idx="72">
                  <c:v>20.270588060190203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(All)'!$BJ$7:$BJ$107</c:f>
              <c:numCache>
                <c:formatCode>0.0000</c:formatCode>
                <c:ptCount val="101"/>
                <c:pt idx="62">
                  <c:v>16.148659146701469</c:v>
                </c:pt>
                <c:pt idx="63">
                  <c:v>13.15377063149511</c:v>
                </c:pt>
                <c:pt idx="64">
                  <c:v>9.5357962537943379</c:v>
                </c:pt>
                <c:pt idx="65">
                  <c:v>4.5517280744313506</c:v>
                </c:pt>
                <c:pt idx="66">
                  <c:v>15.873615277064093</c:v>
                </c:pt>
                <c:pt idx="67">
                  <c:v>1.6699828676662991</c:v>
                </c:pt>
                <c:pt idx="68">
                  <c:v>23.237188114711646</c:v>
                </c:pt>
                <c:pt idx="69">
                  <c:v>23.613902157799295</c:v>
                </c:pt>
                <c:pt idx="70">
                  <c:v>18.740331491712702</c:v>
                </c:pt>
                <c:pt idx="71">
                  <c:v>24.417935006170275</c:v>
                </c:pt>
                <c:pt idx="72">
                  <c:v>20.270588060190203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37200"/>
        <c:axId val="761941120"/>
      </c:scatterChart>
      <c:valAx>
        <c:axId val="7619372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41120"/>
        <c:crosses val="autoZero"/>
        <c:crossBetween val="midCat"/>
        <c:majorUnit val="5"/>
      </c:valAx>
      <c:valAx>
        <c:axId val="76194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372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(All)'!$BK$7:$BK$107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(All)'!$BK$7:$BK$107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44480"/>
        <c:axId val="761945040"/>
      </c:scatterChart>
      <c:valAx>
        <c:axId val="761944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45040"/>
        <c:crosses val="autoZero"/>
        <c:crossBetween val="midCat"/>
        <c:majorUnit val="5"/>
      </c:valAx>
      <c:valAx>
        <c:axId val="76194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44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(All)'!$BL$7:$BL$107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(All)'!$BL$7:$BL$107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29360"/>
        <c:axId val="761932720"/>
      </c:scatterChart>
      <c:valAx>
        <c:axId val="7619293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32720"/>
        <c:crosses val="autoZero"/>
        <c:crossBetween val="midCat"/>
        <c:majorUnit val="5"/>
      </c:valAx>
      <c:valAx>
        <c:axId val="76193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293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(All)'!$BM$7:$BM$107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(All)'!$BM$7:$BM$107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36080"/>
        <c:axId val="761927680"/>
      </c:scatterChart>
      <c:valAx>
        <c:axId val="761936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27680"/>
        <c:crosses val="autoZero"/>
        <c:crossBetween val="midCat"/>
        <c:majorUnit val="5"/>
      </c:valAx>
      <c:valAx>
        <c:axId val="76192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1936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(All)'!$BN$7:$BN$107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(All)'!$BN$7:$BN$107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52528"/>
        <c:axId val="682747488"/>
      </c:scatterChart>
      <c:valAx>
        <c:axId val="682752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47488"/>
        <c:crosses val="autoZero"/>
        <c:crossBetween val="midCat"/>
        <c:majorUnit val="5"/>
      </c:valAx>
      <c:valAx>
        <c:axId val="68274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2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(All)'!$BO$7:$BO$107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(All)'!$BO$7:$BO$107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55888"/>
        <c:axId val="682757568"/>
      </c:scatterChart>
      <c:valAx>
        <c:axId val="682755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7568"/>
        <c:crosses val="autoZero"/>
        <c:crossBetween val="midCat"/>
        <c:majorUnit val="5"/>
      </c:valAx>
      <c:valAx>
        <c:axId val="68275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5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(All)'!$BP$7:$BP$107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(All)'!$BP$7:$BP$107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65968"/>
        <c:axId val="682767648"/>
      </c:scatterChart>
      <c:valAx>
        <c:axId val="682765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67648"/>
        <c:crosses val="autoZero"/>
        <c:crossBetween val="midCat"/>
        <c:majorUnit val="5"/>
      </c:valAx>
      <c:valAx>
        <c:axId val="68276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65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(All)'!$BQ$7:$BQ$107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(All)'!$BQ$7:$BQ$107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76048"/>
        <c:axId val="682777728"/>
      </c:scatterChart>
      <c:valAx>
        <c:axId val="682776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7728"/>
        <c:crosses val="autoZero"/>
        <c:crossBetween val="midCat"/>
        <c:majorUnit val="5"/>
      </c:valAx>
      <c:valAx>
        <c:axId val="6827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6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(All)'!$BR$7:$BR$107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(All)'!$BR$7:$BR$107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86128"/>
        <c:axId val="682787808"/>
      </c:scatterChart>
      <c:valAx>
        <c:axId val="682786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7808"/>
        <c:crosses val="autoZero"/>
        <c:crossBetween val="midCat"/>
        <c:majorUnit val="5"/>
      </c:valAx>
      <c:valAx>
        <c:axId val="6827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6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(All)'!$BS$7:$BS$107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(All)'!$BS$7:$BS$107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96208"/>
        <c:axId val="682797888"/>
      </c:scatterChart>
      <c:valAx>
        <c:axId val="682796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7888"/>
        <c:crosses val="autoZero"/>
        <c:crossBetween val="midCat"/>
        <c:majorUnit val="5"/>
      </c:valAx>
      <c:valAx>
        <c:axId val="68279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6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(All)'!$S$7:$S$107</c:f>
              <c:numCache>
                <c:formatCode>0.0000</c:formatCode>
                <c:ptCount val="101"/>
                <c:pt idx="39">
                  <c:v>15.235016835016832</c:v>
                </c:pt>
                <c:pt idx="46">
                  <c:v>10.805518080000001</c:v>
                </c:pt>
                <c:pt idx="47">
                  <c:v>10.181819200000001</c:v>
                </c:pt>
                <c:pt idx="48">
                  <c:v>12.727272319999999</c:v>
                </c:pt>
                <c:pt idx="49">
                  <c:v>12.74710752</c:v>
                </c:pt>
                <c:pt idx="50">
                  <c:v>12.012257600000002</c:v>
                </c:pt>
                <c:pt idx="51">
                  <c:v>12.969696320000001</c:v>
                </c:pt>
                <c:pt idx="52">
                  <c:v>15.272727680000003</c:v>
                </c:pt>
                <c:pt idx="53">
                  <c:v>14.157575040000001</c:v>
                </c:pt>
                <c:pt idx="54">
                  <c:v>12.231405759999999</c:v>
                </c:pt>
                <c:pt idx="55">
                  <c:v>9.4592377600000006</c:v>
                </c:pt>
                <c:pt idx="56">
                  <c:v>10.188839360000001</c:v>
                </c:pt>
                <c:pt idx="57">
                  <c:v>10.853819200000002</c:v>
                </c:pt>
                <c:pt idx="58">
                  <c:v>12.218180800000003</c:v>
                </c:pt>
                <c:pt idx="59">
                  <c:v>10.181819200000001</c:v>
                </c:pt>
                <c:pt idx="60">
                  <c:v>10.95390016</c:v>
                </c:pt>
                <c:pt idx="61">
                  <c:v>9.7359651200000012</c:v>
                </c:pt>
                <c:pt idx="62">
                  <c:v>9.2818499200000009</c:v>
                </c:pt>
                <c:pt idx="63">
                  <c:v>9.1014022400000005</c:v>
                </c:pt>
                <c:pt idx="64">
                  <c:v>9.766106559999999</c:v>
                </c:pt>
                <c:pt idx="65">
                  <c:v>9.6218192000000009</c:v>
                </c:pt>
                <c:pt idx="66">
                  <c:v>9.9751881600000001</c:v>
                </c:pt>
                <c:pt idx="67">
                  <c:v>10.592184960000001</c:v>
                </c:pt>
                <c:pt idx="68">
                  <c:v>11.93379264</c:v>
                </c:pt>
                <c:pt idx="69">
                  <c:v>13.713624960000001</c:v>
                </c:pt>
                <c:pt idx="70">
                  <c:v>11.252613120000001</c:v>
                </c:pt>
                <c:pt idx="71">
                  <c:v>11.200044800000002</c:v>
                </c:pt>
                <c:pt idx="72">
                  <c:v>13.032727680000002</c:v>
                </c:pt>
                <c:pt idx="73">
                  <c:v>13.169912000000002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(All)'!$S$7:$S$107</c:f>
              <c:numCache>
                <c:formatCode>0.0000</c:formatCode>
                <c:ptCount val="101"/>
                <c:pt idx="39">
                  <c:v>15.235016835016832</c:v>
                </c:pt>
                <c:pt idx="46">
                  <c:v>10.805518080000001</c:v>
                </c:pt>
                <c:pt idx="47">
                  <c:v>10.181819200000001</c:v>
                </c:pt>
                <c:pt idx="48">
                  <c:v>12.727272319999999</c:v>
                </c:pt>
                <c:pt idx="49">
                  <c:v>12.74710752</c:v>
                </c:pt>
                <c:pt idx="50">
                  <c:v>12.012257600000002</c:v>
                </c:pt>
                <c:pt idx="51">
                  <c:v>12.969696320000001</c:v>
                </c:pt>
                <c:pt idx="52">
                  <c:v>15.272727680000003</c:v>
                </c:pt>
                <c:pt idx="53">
                  <c:v>14.157575040000001</c:v>
                </c:pt>
                <c:pt idx="54">
                  <c:v>12.231405759999999</c:v>
                </c:pt>
                <c:pt idx="55">
                  <c:v>9.4592377600000006</c:v>
                </c:pt>
                <c:pt idx="56">
                  <c:v>10.188839360000001</c:v>
                </c:pt>
                <c:pt idx="57">
                  <c:v>10.853819200000002</c:v>
                </c:pt>
                <c:pt idx="58">
                  <c:v>12.218180800000003</c:v>
                </c:pt>
                <c:pt idx="59">
                  <c:v>10.181819200000001</c:v>
                </c:pt>
                <c:pt idx="60">
                  <c:v>10.95390016</c:v>
                </c:pt>
                <c:pt idx="61">
                  <c:v>9.7359651200000012</c:v>
                </c:pt>
                <c:pt idx="62">
                  <c:v>9.2818499200000009</c:v>
                </c:pt>
                <c:pt idx="63">
                  <c:v>9.1014022400000005</c:v>
                </c:pt>
                <c:pt idx="64">
                  <c:v>9.766106559999999</c:v>
                </c:pt>
                <c:pt idx="65">
                  <c:v>9.6218192000000009</c:v>
                </c:pt>
                <c:pt idx="66">
                  <c:v>9.9751881600000001</c:v>
                </c:pt>
                <c:pt idx="67">
                  <c:v>10.592184960000001</c:v>
                </c:pt>
                <c:pt idx="68">
                  <c:v>11.93379264</c:v>
                </c:pt>
                <c:pt idx="69">
                  <c:v>13.713624960000001</c:v>
                </c:pt>
                <c:pt idx="70">
                  <c:v>11.252613120000001</c:v>
                </c:pt>
                <c:pt idx="71">
                  <c:v>11.200044800000002</c:v>
                </c:pt>
                <c:pt idx="72">
                  <c:v>13.032727680000002</c:v>
                </c:pt>
                <c:pt idx="73">
                  <c:v>13.169912000000002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76752"/>
        <c:axId val="782278992"/>
      </c:scatterChart>
      <c:valAx>
        <c:axId val="7822767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78992"/>
        <c:crosses val="autoZero"/>
        <c:crossBetween val="midCat"/>
        <c:majorUnit val="5"/>
      </c:valAx>
      <c:valAx>
        <c:axId val="78227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76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(All)'!$BT$7:$BT$107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(All)'!$BT$7:$BT$107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809648"/>
        <c:axId val="682811328"/>
      </c:scatterChart>
      <c:valAx>
        <c:axId val="682809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11328"/>
        <c:crosses val="autoZero"/>
        <c:crossBetween val="midCat"/>
        <c:majorUnit val="5"/>
      </c:valAx>
      <c:valAx>
        <c:axId val="68281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9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(All)'!$BU$7:$BU$107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(All)'!$BU$7:$BU$107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56448"/>
        <c:axId val="682758128"/>
      </c:scatterChart>
      <c:valAx>
        <c:axId val="682756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8128"/>
        <c:crosses val="autoZero"/>
        <c:crossBetween val="midCat"/>
        <c:majorUnit val="5"/>
      </c:valAx>
      <c:valAx>
        <c:axId val="6827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6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(All)'!$BV$7:$BV$107</c:f>
              <c:numCache>
                <c:formatCode>0.0000</c:formatCode>
                <c:ptCount val="101"/>
                <c:pt idx="51">
                  <c:v>7.1036553795174466</c:v>
                </c:pt>
                <c:pt idx="53">
                  <c:v>5.5699939038085216</c:v>
                </c:pt>
                <c:pt idx="55">
                  <c:v>5.5342908287106942</c:v>
                </c:pt>
                <c:pt idx="62">
                  <c:v>8.926314260115749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(All)'!$BV$7:$BV$107</c:f>
              <c:numCache>
                <c:formatCode>0.0000</c:formatCode>
                <c:ptCount val="101"/>
                <c:pt idx="51">
                  <c:v>7.1036553795174466</c:v>
                </c:pt>
                <c:pt idx="53">
                  <c:v>5.5699939038085216</c:v>
                </c:pt>
                <c:pt idx="55">
                  <c:v>5.5342908287106942</c:v>
                </c:pt>
                <c:pt idx="62">
                  <c:v>8.926314260115749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60368"/>
        <c:axId val="682759808"/>
      </c:scatterChart>
      <c:valAx>
        <c:axId val="682760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9808"/>
        <c:crosses val="autoZero"/>
        <c:crossBetween val="midCat"/>
        <c:majorUnit val="5"/>
      </c:valAx>
      <c:valAx>
        <c:axId val="68275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60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(All)'!$BW$7:$BW$107</c:f>
              <c:numCache>
                <c:formatCode>0.0000</c:formatCode>
                <c:ptCount val="101"/>
                <c:pt idx="33">
                  <c:v>5.8584615384615493</c:v>
                </c:pt>
                <c:pt idx="34">
                  <c:v>5.8609975470155424</c:v>
                </c:pt>
                <c:pt idx="35">
                  <c:v>6.7639215686274392</c:v>
                </c:pt>
                <c:pt idx="53">
                  <c:v>3.8986354775828547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(All)'!$BW$7:$BW$107</c:f>
              <c:numCache>
                <c:formatCode>0.0000</c:formatCode>
                <c:ptCount val="101"/>
                <c:pt idx="33">
                  <c:v>5.8584615384615493</c:v>
                </c:pt>
                <c:pt idx="34">
                  <c:v>5.8609975470155424</c:v>
                </c:pt>
                <c:pt idx="35">
                  <c:v>6.7639215686274392</c:v>
                </c:pt>
                <c:pt idx="53">
                  <c:v>3.8986354775828547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66528"/>
        <c:axId val="682768208"/>
      </c:scatterChart>
      <c:valAx>
        <c:axId val="6827665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68208"/>
        <c:crosses val="autoZero"/>
        <c:crossBetween val="midCat"/>
        <c:majorUnit val="5"/>
      </c:valAx>
      <c:valAx>
        <c:axId val="68276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665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(All)'!$BX$7:$BX$107</c:f>
              <c:numCache>
                <c:formatCode>0.0000</c:formatCode>
                <c:ptCount val="101"/>
                <c:pt idx="34">
                  <c:v>28.109803921568545</c:v>
                </c:pt>
                <c:pt idx="50">
                  <c:v>6.2222222222222276</c:v>
                </c:pt>
                <c:pt idx="51">
                  <c:v>7.6862745098039262</c:v>
                </c:pt>
                <c:pt idx="52">
                  <c:v>7.3202614379084956</c:v>
                </c:pt>
                <c:pt idx="57">
                  <c:v>12.865914042384638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(All)'!$BX$7:$BX$107</c:f>
              <c:numCache>
                <c:formatCode>0.0000</c:formatCode>
                <c:ptCount val="101"/>
                <c:pt idx="34">
                  <c:v>28.109803921568545</c:v>
                </c:pt>
                <c:pt idx="50">
                  <c:v>6.2222222222222276</c:v>
                </c:pt>
                <c:pt idx="51">
                  <c:v>7.6862745098039262</c:v>
                </c:pt>
                <c:pt idx="52">
                  <c:v>7.3202614379084956</c:v>
                </c:pt>
                <c:pt idx="57">
                  <c:v>12.865914042384638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76608"/>
        <c:axId val="682778288"/>
      </c:scatterChart>
      <c:valAx>
        <c:axId val="6827766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8288"/>
        <c:crosses val="autoZero"/>
        <c:crossBetween val="midCat"/>
        <c:majorUnit val="5"/>
      </c:valAx>
      <c:valAx>
        <c:axId val="68277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66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(All)'!$BY$7:$BY$107</c:f>
              <c:numCache>
                <c:formatCode>0.0000</c:formatCode>
                <c:ptCount val="101"/>
                <c:pt idx="66">
                  <c:v>7.6130976653220825</c:v>
                </c:pt>
                <c:pt idx="67">
                  <c:v>6.8857224214197883</c:v>
                </c:pt>
                <c:pt idx="68">
                  <c:v>13.247862101829041</c:v>
                </c:pt>
                <c:pt idx="69">
                  <c:v>13.083971883069159</c:v>
                </c:pt>
                <c:pt idx="70">
                  <c:v>12.386184911428899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(All)'!$BY$7:$BY$107</c:f>
              <c:numCache>
                <c:formatCode>0.0000</c:formatCode>
                <c:ptCount val="101"/>
                <c:pt idx="66">
                  <c:v>7.6130976653220825</c:v>
                </c:pt>
                <c:pt idx="67">
                  <c:v>6.8857224214197883</c:v>
                </c:pt>
                <c:pt idx="68">
                  <c:v>13.247862101829041</c:v>
                </c:pt>
                <c:pt idx="69">
                  <c:v>13.083971883069159</c:v>
                </c:pt>
                <c:pt idx="70">
                  <c:v>12.386184911428899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50288"/>
        <c:axId val="682805168"/>
      </c:scatterChart>
      <c:valAx>
        <c:axId val="682750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5168"/>
        <c:crosses val="autoZero"/>
        <c:crossBetween val="midCat"/>
        <c:majorUnit val="5"/>
      </c:valAx>
      <c:valAx>
        <c:axId val="68280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0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(All)'!$BZ$7:$BZ$107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(All)'!$BZ$7:$BZ$107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62048"/>
        <c:axId val="682753648"/>
      </c:scatterChart>
      <c:valAx>
        <c:axId val="682762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53648"/>
        <c:crosses val="autoZero"/>
        <c:crossBetween val="midCat"/>
        <c:majorUnit val="5"/>
      </c:valAx>
      <c:valAx>
        <c:axId val="68275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62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(All)'!$CA$7:$CA$107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(All)'!$CA$7:$CA$107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73808"/>
        <c:axId val="682775488"/>
      </c:scatterChart>
      <c:valAx>
        <c:axId val="682773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5488"/>
        <c:crosses val="autoZero"/>
        <c:crossBetween val="midCat"/>
        <c:majorUnit val="5"/>
      </c:valAx>
      <c:valAx>
        <c:axId val="68277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73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(All)'!$CB$7:$CB$107</c:f>
              <c:numCache>
                <c:formatCode>0.0000</c:formatCode>
                <c:ptCount val="101"/>
                <c:pt idx="66">
                  <c:v>11.937507335936964</c:v>
                </c:pt>
                <c:pt idx="67">
                  <c:v>12.701492924866324</c:v>
                </c:pt>
                <c:pt idx="68">
                  <c:v>12.759556141928826</c:v>
                </c:pt>
                <c:pt idx="69">
                  <c:v>12.965640200352739</c:v>
                </c:pt>
                <c:pt idx="70">
                  <c:v>11.717630772687169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(All)'!$CB$7:$CB$107</c:f>
              <c:numCache>
                <c:formatCode>0.0000</c:formatCode>
                <c:ptCount val="101"/>
                <c:pt idx="66">
                  <c:v>11.937507335936964</c:v>
                </c:pt>
                <c:pt idx="67">
                  <c:v>12.701492924866324</c:v>
                </c:pt>
                <c:pt idx="68">
                  <c:v>12.759556141928826</c:v>
                </c:pt>
                <c:pt idx="69">
                  <c:v>12.965640200352739</c:v>
                </c:pt>
                <c:pt idx="70">
                  <c:v>11.717630772687169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83888"/>
        <c:axId val="682785568"/>
      </c:scatterChart>
      <c:valAx>
        <c:axId val="6827838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5568"/>
        <c:crosses val="autoZero"/>
        <c:crossBetween val="midCat"/>
        <c:majorUnit val="5"/>
      </c:valAx>
      <c:valAx>
        <c:axId val="68278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3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(All)'!$CC$7:$CC$107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(All)'!$CC$7:$CC$107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802368"/>
        <c:axId val="682804048"/>
      </c:scatterChart>
      <c:valAx>
        <c:axId val="682802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4048"/>
        <c:crosses val="autoZero"/>
        <c:crossBetween val="midCat"/>
        <c:majorUnit val="5"/>
      </c:valAx>
      <c:valAx>
        <c:axId val="68280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2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(All)'!$T$7:$T$107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(All)'!$T$7:$T$107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19312"/>
        <c:axId val="782291312"/>
      </c:scatterChart>
      <c:valAx>
        <c:axId val="782319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91312"/>
        <c:crosses val="autoZero"/>
        <c:crossBetween val="midCat"/>
        <c:majorUnit val="5"/>
      </c:valAx>
      <c:valAx>
        <c:axId val="78229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19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(All)'!$CD$7:$CD$107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(All)'!$CD$7:$CD$107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88928"/>
        <c:axId val="682807408"/>
      </c:scatterChart>
      <c:valAx>
        <c:axId val="682788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807408"/>
        <c:crosses val="autoZero"/>
        <c:crossBetween val="midCat"/>
        <c:majorUnit val="5"/>
      </c:valAx>
      <c:valAx>
        <c:axId val="68280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88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(All)'!$CE$7:$CE$107</c:f>
              <c:numCache>
                <c:formatCode>0.0000</c:formatCode>
                <c:ptCount val="101"/>
                <c:pt idx="66">
                  <c:v>12.538907566940027</c:v>
                </c:pt>
                <c:pt idx="67">
                  <c:v>12.641985460229776</c:v>
                </c:pt>
                <c:pt idx="68">
                  <c:v>12.663927347117378</c:v>
                </c:pt>
                <c:pt idx="69">
                  <c:v>12.318205042935837</c:v>
                </c:pt>
                <c:pt idx="70">
                  <c:v>12.221812219259732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(All)'!$CE$7:$CE$107</c:f>
              <c:numCache>
                <c:formatCode>0.0000</c:formatCode>
                <c:ptCount val="101"/>
                <c:pt idx="66">
                  <c:v>12.538907566940027</c:v>
                </c:pt>
                <c:pt idx="67">
                  <c:v>12.641985460229776</c:v>
                </c:pt>
                <c:pt idx="68">
                  <c:v>12.663927347117378</c:v>
                </c:pt>
                <c:pt idx="69">
                  <c:v>12.318205042935837</c:v>
                </c:pt>
                <c:pt idx="70">
                  <c:v>12.221812219259732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793408"/>
        <c:axId val="682795088"/>
      </c:scatterChart>
      <c:valAx>
        <c:axId val="6827934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5088"/>
        <c:crosses val="autoZero"/>
        <c:crossBetween val="midCat"/>
        <c:majorUnit val="5"/>
      </c:valAx>
      <c:valAx>
        <c:axId val="68279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27934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(All)'!$CF$7:$CF$107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(All)'!$CF$7:$CF$107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371184"/>
        <c:axId val="676372864"/>
      </c:scatterChart>
      <c:valAx>
        <c:axId val="6763711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72864"/>
        <c:crosses val="autoZero"/>
        <c:crossBetween val="midCat"/>
        <c:majorUnit val="5"/>
      </c:valAx>
      <c:valAx>
        <c:axId val="6763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711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(All)'!$CG$7:$CG$107</c:f>
              <c:numCache>
                <c:formatCode>0.0000</c:formatCode>
                <c:ptCount val="101"/>
                <c:pt idx="35">
                  <c:v>7.9999999999999964</c:v>
                </c:pt>
                <c:pt idx="36">
                  <c:v>5.0000000000000062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(All)'!$CG$7:$CG$107</c:f>
              <c:numCache>
                <c:formatCode>0.0000</c:formatCode>
                <c:ptCount val="101"/>
                <c:pt idx="35">
                  <c:v>7.9999999999999964</c:v>
                </c:pt>
                <c:pt idx="36">
                  <c:v>5.0000000000000062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381264"/>
        <c:axId val="676382944"/>
      </c:scatterChart>
      <c:valAx>
        <c:axId val="6763812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82944"/>
        <c:crosses val="autoZero"/>
        <c:crossBetween val="midCat"/>
        <c:majorUnit val="5"/>
      </c:valAx>
      <c:valAx>
        <c:axId val="6763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812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(All)'!$CH$7:$CH$107</c:f>
              <c:numCache>
                <c:formatCode>0.0000</c:formatCode>
                <c:ptCount val="101"/>
                <c:pt idx="68">
                  <c:v>9.8181432660706083</c:v>
                </c:pt>
                <c:pt idx="69">
                  <c:v>9.987871097037031</c:v>
                </c:pt>
                <c:pt idx="70">
                  <c:v>6.768548842315008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(All)'!$CH$7:$CH$107</c:f>
              <c:numCache>
                <c:formatCode>0.0000</c:formatCode>
                <c:ptCount val="101"/>
                <c:pt idx="68">
                  <c:v>9.8181432660706083</c:v>
                </c:pt>
                <c:pt idx="69">
                  <c:v>9.987871097037031</c:v>
                </c:pt>
                <c:pt idx="70">
                  <c:v>6.768548842315008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391344"/>
        <c:axId val="676393024"/>
      </c:scatterChart>
      <c:valAx>
        <c:axId val="676391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93024"/>
        <c:crosses val="autoZero"/>
        <c:crossBetween val="midCat"/>
        <c:majorUnit val="5"/>
      </c:valAx>
      <c:valAx>
        <c:axId val="67639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91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(All)'!$CI$7:$CI$107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(All)'!$CI$7:$CI$107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401424"/>
        <c:axId val="676403104"/>
      </c:scatterChart>
      <c:valAx>
        <c:axId val="676401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03104"/>
        <c:crosses val="autoZero"/>
        <c:crossBetween val="midCat"/>
        <c:majorUnit val="5"/>
      </c:valAx>
      <c:valAx>
        <c:axId val="67640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01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(All)'!$CJ$7:$CJ$107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(All)'!$CJ$7:$CJ$107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411504"/>
        <c:axId val="676413184"/>
      </c:scatterChart>
      <c:valAx>
        <c:axId val="6764115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13184"/>
        <c:crosses val="autoZero"/>
        <c:crossBetween val="midCat"/>
        <c:majorUnit val="5"/>
      </c:valAx>
      <c:valAx>
        <c:axId val="6764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115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(All)'!$CK$7:$CK$107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(All)'!$CK$7:$CK$107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421584"/>
        <c:axId val="676423264"/>
      </c:scatterChart>
      <c:valAx>
        <c:axId val="676421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23264"/>
        <c:crosses val="autoZero"/>
        <c:crossBetween val="midCat"/>
        <c:majorUnit val="5"/>
      </c:valAx>
      <c:valAx>
        <c:axId val="67642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21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(All)'!$CL$7:$CL$107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(All)'!$CL$7:$CL$107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367824"/>
        <c:axId val="676365024"/>
      </c:scatterChart>
      <c:valAx>
        <c:axId val="6763678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65024"/>
        <c:crosses val="autoZero"/>
        <c:crossBetween val="midCat"/>
        <c:majorUnit val="5"/>
      </c:valAx>
      <c:valAx>
        <c:axId val="67636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678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(All)'!$CM$7:$CM$107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(All)'!$CM$7:$CM$107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373424"/>
        <c:axId val="676375104"/>
      </c:scatterChart>
      <c:valAx>
        <c:axId val="676373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75104"/>
        <c:crosses val="autoZero"/>
        <c:crossBetween val="midCat"/>
        <c:majorUnit val="5"/>
      </c:valAx>
      <c:valAx>
        <c:axId val="67637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73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(All)'!$U$7:$U$107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(All)'!$U$7:$U$107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286272"/>
        <c:axId val="782315952"/>
      </c:scatterChart>
      <c:valAx>
        <c:axId val="7822862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15952"/>
        <c:crosses val="autoZero"/>
        <c:crossBetween val="midCat"/>
        <c:majorUnit val="5"/>
      </c:valAx>
      <c:valAx>
        <c:axId val="78231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2862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(All)'!$CN$7:$CN$107</c:f>
              <c:numCache>
                <c:formatCode>0.0000</c:formatCode>
                <c:ptCount val="101"/>
                <c:pt idx="65">
                  <c:v>10.668181818181814</c:v>
                </c:pt>
                <c:pt idx="66">
                  <c:v>11.333187613843387</c:v>
                </c:pt>
                <c:pt idx="67">
                  <c:v>10.667138309161693</c:v>
                </c:pt>
                <c:pt idx="68">
                  <c:v>10.666666666666639</c:v>
                </c:pt>
                <c:pt idx="72">
                  <c:v>9.1047297297297334</c:v>
                </c:pt>
                <c:pt idx="73">
                  <c:v>11.554666666666668</c:v>
                </c:pt>
                <c:pt idx="74">
                  <c:v>10.755120213713308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(All)'!$CN$7:$CN$107</c:f>
              <c:numCache>
                <c:formatCode>0.0000</c:formatCode>
                <c:ptCount val="101"/>
                <c:pt idx="65">
                  <c:v>10.668181818181814</c:v>
                </c:pt>
                <c:pt idx="66">
                  <c:v>11.333187613843387</c:v>
                </c:pt>
                <c:pt idx="67">
                  <c:v>10.667138309161693</c:v>
                </c:pt>
                <c:pt idx="68">
                  <c:v>10.666666666666639</c:v>
                </c:pt>
                <c:pt idx="72">
                  <c:v>9.1047297297297334</c:v>
                </c:pt>
                <c:pt idx="73">
                  <c:v>11.554666666666668</c:v>
                </c:pt>
                <c:pt idx="74">
                  <c:v>10.755120213713308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390224"/>
        <c:axId val="676378464"/>
      </c:scatterChart>
      <c:valAx>
        <c:axId val="676390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78464"/>
        <c:crosses val="autoZero"/>
        <c:crossBetween val="midCat"/>
        <c:majorUnit val="5"/>
      </c:valAx>
      <c:valAx>
        <c:axId val="67637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390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(All)'!$CO$7:$CO$107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(All)'!$CO$7:$CO$107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401984"/>
        <c:axId val="676403664"/>
      </c:scatterChart>
      <c:valAx>
        <c:axId val="6764019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03664"/>
        <c:crosses val="autoZero"/>
        <c:crossBetween val="midCat"/>
        <c:majorUnit val="5"/>
      </c:valAx>
      <c:valAx>
        <c:axId val="67640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019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(All)'!$CP$7:$CP$107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(All)'!$CP$7:$CP$107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415424"/>
        <c:axId val="676418784"/>
      </c:scatterChart>
      <c:valAx>
        <c:axId val="676415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18784"/>
        <c:crosses val="autoZero"/>
        <c:crossBetween val="midCat"/>
        <c:majorUnit val="5"/>
      </c:valAx>
      <c:valAx>
        <c:axId val="67641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15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(All)'!$CQ$7:$CQ$107</c:f>
              <c:numCache>
                <c:formatCode>0.0000</c:formatCode>
                <c:ptCount val="101"/>
                <c:pt idx="40">
                  <c:v>11.58154502512766</c:v>
                </c:pt>
                <c:pt idx="41">
                  <c:v>12.006792759686659</c:v>
                </c:pt>
                <c:pt idx="42">
                  <c:v>13.431347179977401</c:v>
                </c:pt>
                <c:pt idx="43">
                  <c:v>8.319700767027939</c:v>
                </c:pt>
                <c:pt idx="44">
                  <c:v>17.818149088245541</c:v>
                </c:pt>
                <c:pt idx="45">
                  <c:v>19.976537379421217</c:v>
                </c:pt>
                <c:pt idx="46">
                  <c:v>17.567375138114681</c:v>
                </c:pt>
                <c:pt idx="47">
                  <c:v>15.57108250878346</c:v>
                </c:pt>
                <c:pt idx="48">
                  <c:v>13.83289640122438</c:v>
                </c:pt>
                <c:pt idx="49">
                  <c:v>13.262250659364877</c:v>
                </c:pt>
                <c:pt idx="50">
                  <c:v>8.1294868081041809</c:v>
                </c:pt>
                <c:pt idx="51">
                  <c:v>6.8890864275108594</c:v>
                </c:pt>
                <c:pt idx="52">
                  <c:v>6.4452176638671794</c:v>
                </c:pt>
                <c:pt idx="53">
                  <c:v>7.4840964139999402</c:v>
                </c:pt>
                <c:pt idx="70">
                  <c:v>10.100129198966401</c:v>
                </c:pt>
                <c:pt idx="71">
                  <c:v>9.36170212765958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(All)'!$CQ$7:$CQ$107</c:f>
              <c:numCache>
                <c:formatCode>0.0000</c:formatCode>
                <c:ptCount val="101"/>
                <c:pt idx="40">
                  <c:v>11.58154502512766</c:v>
                </c:pt>
                <c:pt idx="41">
                  <c:v>12.006792759686659</c:v>
                </c:pt>
                <c:pt idx="42">
                  <c:v>13.431347179977401</c:v>
                </c:pt>
                <c:pt idx="43">
                  <c:v>8.319700767027939</c:v>
                </c:pt>
                <c:pt idx="44">
                  <c:v>17.818149088245541</c:v>
                </c:pt>
                <c:pt idx="45">
                  <c:v>19.976537379421217</c:v>
                </c:pt>
                <c:pt idx="46">
                  <c:v>17.567375138114681</c:v>
                </c:pt>
                <c:pt idx="47">
                  <c:v>15.57108250878346</c:v>
                </c:pt>
                <c:pt idx="48">
                  <c:v>13.83289640122438</c:v>
                </c:pt>
                <c:pt idx="49">
                  <c:v>13.262250659364877</c:v>
                </c:pt>
                <c:pt idx="50">
                  <c:v>8.1294868081041809</c:v>
                </c:pt>
                <c:pt idx="51">
                  <c:v>6.8890864275108594</c:v>
                </c:pt>
                <c:pt idx="52">
                  <c:v>6.4452176638671794</c:v>
                </c:pt>
                <c:pt idx="53">
                  <c:v>7.4840964139999402</c:v>
                </c:pt>
                <c:pt idx="70">
                  <c:v>10.100129198966401</c:v>
                </c:pt>
                <c:pt idx="71">
                  <c:v>9.36170212765958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412064"/>
        <c:axId val="676410384"/>
      </c:scatterChart>
      <c:valAx>
        <c:axId val="6764120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10384"/>
        <c:crosses val="autoZero"/>
        <c:crossBetween val="midCat"/>
        <c:majorUnit val="5"/>
      </c:valAx>
      <c:valAx>
        <c:axId val="67641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120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(All)'!$CR$7:$CR$107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(All)'!$CR$7:$CR$107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422144"/>
        <c:axId val="676420464"/>
      </c:scatterChart>
      <c:valAx>
        <c:axId val="6764221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20464"/>
        <c:crosses val="autoZero"/>
        <c:crossBetween val="midCat"/>
        <c:majorUnit val="5"/>
      </c:valAx>
      <c:valAx>
        <c:axId val="67642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221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(All)'!$CS$7:$CS$107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(All)'!$CS$7:$CS$107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415984"/>
        <c:axId val="676417664"/>
      </c:scatterChart>
      <c:valAx>
        <c:axId val="6764159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17664"/>
        <c:crosses val="autoZero"/>
        <c:crossBetween val="midCat"/>
        <c:majorUnit val="5"/>
      </c:valAx>
      <c:valAx>
        <c:axId val="6764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159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(All)'!$CT$7:$CT$107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(All)'!$CT$7:$CT$107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419344"/>
        <c:axId val="676426064"/>
      </c:scatterChart>
      <c:valAx>
        <c:axId val="676419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26064"/>
        <c:crosses val="autoZero"/>
        <c:crossBetween val="midCat"/>
        <c:majorUnit val="5"/>
      </c:valAx>
      <c:valAx>
        <c:axId val="67642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419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(All)'!$CU$7:$CU$107</c:f>
              <c:numCache>
                <c:formatCode>0.0000</c:formatCode>
                <c:ptCount val="101"/>
                <c:pt idx="56">
                  <c:v>6.7136150234741798</c:v>
                </c:pt>
                <c:pt idx="57">
                  <c:v>10</c:v>
                </c:pt>
                <c:pt idx="58">
                  <c:v>4.31924882629108</c:v>
                </c:pt>
                <c:pt idx="59">
                  <c:v>6.002886002886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(All)'!$CU$7:$CU$107</c:f>
              <c:numCache>
                <c:formatCode>0.0000</c:formatCode>
                <c:ptCount val="101"/>
                <c:pt idx="56">
                  <c:v>6.7136150234741798</c:v>
                </c:pt>
                <c:pt idx="57">
                  <c:v>10</c:v>
                </c:pt>
                <c:pt idx="58">
                  <c:v>4.31924882629108</c:v>
                </c:pt>
                <c:pt idx="59">
                  <c:v>6.002886002886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14928"/>
        <c:axId val="369715488"/>
      </c:scatterChart>
      <c:valAx>
        <c:axId val="369714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15488"/>
        <c:crosses val="autoZero"/>
        <c:crossBetween val="midCat"/>
        <c:majorUnit val="5"/>
      </c:valAx>
      <c:valAx>
        <c:axId val="36971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14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(All)'!$CV$7:$CV$107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(All)'!$CV$7:$CV$107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18288"/>
        <c:axId val="369718848"/>
      </c:scatterChart>
      <c:valAx>
        <c:axId val="3697182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18848"/>
        <c:crosses val="autoZero"/>
        <c:crossBetween val="midCat"/>
        <c:majorUnit val="5"/>
      </c:valAx>
      <c:valAx>
        <c:axId val="36971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18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(All)'!$CW$7:$CW$107</c:f>
              <c:numCache>
                <c:formatCode>0.0000</c:formatCode>
                <c:ptCount val="101"/>
                <c:pt idx="56">
                  <c:v>11.76</c:v>
                </c:pt>
                <c:pt idx="57">
                  <c:v>12.48888888888888</c:v>
                </c:pt>
                <c:pt idx="58">
                  <c:v>6.25</c:v>
                </c:pt>
                <c:pt idx="59">
                  <c:v>6.6679999999999993</c:v>
                </c:pt>
                <c:pt idx="66">
                  <c:v>6.5257452574525798</c:v>
                </c:pt>
                <c:pt idx="67">
                  <c:v>8.1721249047981797</c:v>
                </c:pt>
                <c:pt idx="68">
                  <c:v>9.6456692913385798</c:v>
                </c:pt>
                <c:pt idx="69">
                  <c:v>9.6578387782718007</c:v>
                </c:pt>
                <c:pt idx="70">
                  <c:v>9.8698481561822202</c:v>
                </c:pt>
                <c:pt idx="71">
                  <c:v>13.978102189781021</c:v>
                </c:pt>
                <c:pt idx="72">
                  <c:v>10.807291666666661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(All)'!$CW$7:$CW$107</c:f>
              <c:numCache>
                <c:formatCode>0.0000</c:formatCode>
                <c:ptCount val="101"/>
                <c:pt idx="56">
                  <c:v>11.76</c:v>
                </c:pt>
                <c:pt idx="57">
                  <c:v>12.48888888888888</c:v>
                </c:pt>
                <c:pt idx="58">
                  <c:v>6.25</c:v>
                </c:pt>
                <c:pt idx="59">
                  <c:v>6.6679999999999993</c:v>
                </c:pt>
                <c:pt idx="66">
                  <c:v>6.5257452574525798</c:v>
                </c:pt>
                <c:pt idx="67">
                  <c:v>8.1721249047981797</c:v>
                </c:pt>
                <c:pt idx="68">
                  <c:v>9.6456692913385798</c:v>
                </c:pt>
                <c:pt idx="69">
                  <c:v>9.6578387782718007</c:v>
                </c:pt>
                <c:pt idx="70">
                  <c:v>9.8698481561822202</c:v>
                </c:pt>
                <c:pt idx="71">
                  <c:v>13.978102189781021</c:v>
                </c:pt>
                <c:pt idx="72">
                  <c:v>10.807291666666661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21648"/>
        <c:axId val="369722208"/>
      </c:scatterChart>
      <c:valAx>
        <c:axId val="369721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22208"/>
        <c:crosses val="autoZero"/>
        <c:crossBetween val="midCat"/>
        <c:majorUnit val="5"/>
      </c:valAx>
      <c:valAx>
        <c:axId val="36972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21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(All)'!$F$7:$F$107</c:f>
              <c:numCache>
                <c:formatCode>0.0000</c:formatCode>
                <c:ptCount val="101"/>
                <c:pt idx="57" formatCode="_(* #,##0.0000_);_(* \(#,##0.0000\);_(* &quot;-&quot;??_);_(@_)">
                  <c:v>11.981566820276502</c:v>
                </c:pt>
                <c:pt idx="62" formatCode="_(* #,##0.0000_);_(* \(#,##0.0000\);_(* &quot;-&quot;??_);_(@_)">
                  <c:v>9.6000000000000103</c:v>
                </c:pt>
                <c:pt idx="65">
                  <c:v>18.408941485864563</c:v>
                </c:pt>
                <c:pt idx="66">
                  <c:v>18.46153846153846</c:v>
                </c:pt>
                <c:pt idx="67" formatCode="_(* #,##0.0000_);_(* \(#,##0.0000\);_(* &quot;-&quot;??_);_(@_)">
                  <c:v>7.9999999999999964</c:v>
                </c:pt>
                <c:pt idx="68" formatCode="_(* #,##0.0000_);_(* \(#,##0.0000\);_(* &quot;-&quot;??_);_(@_)">
                  <c:v>14</c:v>
                </c:pt>
                <c:pt idx="69" formatCode="_(* #,##0.0000_);_(* \(#,##0.0000\);_(* &quot;-&quot;??_);_(@_)">
                  <c:v>15.999999999999993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(All)'!$F$7:$F$107</c:f>
              <c:numCache>
                <c:formatCode>0.0000</c:formatCode>
                <c:ptCount val="101"/>
                <c:pt idx="57" formatCode="_(* #,##0.0000_);_(* \(#,##0.0000\);_(* &quot;-&quot;??_);_(@_)">
                  <c:v>11.981566820276502</c:v>
                </c:pt>
                <c:pt idx="62" formatCode="_(* #,##0.0000_);_(* \(#,##0.0000\);_(* &quot;-&quot;??_);_(@_)">
                  <c:v>9.6000000000000103</c:v>
                </c:pt>
                <c:pt idx="65">
                  <c:v>18.408941485864563</c:v>
                </c:pt>
                <c:pt idx="66">
                  <c:v>18.46153846153846</c:v>
                </c:pt>
                <c:pt idx="67" formatCode="_(* #,##0.0000_);_(* \(#,##0.0000\);_(* &quot;-&quot;??_);_(@_)">
                  <c:v>7.9999999999999964</c:v>
                </c:pt>
                <c:pt idx="68" formatCode="_(* #,##0.0000_);_(* \(#,##0.0000\);_(* &quot;-&quot;??_);_(@_)">
                  <c:v>14</c:v>
                </c:pt>
                <c:pt idx="69" formatCode="_(* #,##0.0000_);_(* \(#,##0.0000\);_(* &quot;-&quot;??_);_(@_)">
                  <c:v>15.999999999999993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12592"/>
        <c:axId val="782312032"/>
      </c:scatterChart>
      <c:valAx>
        <c:axId val="782312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12032"/>
        <c:crosses val="autoZero"/>
        <c:crossBetween val="midCat"/>
        <c:majorUnit val="5"/>
      </c:valAx>
      <c:valAx>
        <c:axId val="78231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2312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(All)'!$CX$7:$CX$107</c:f>
              <c:numCache>
                <c:formatCode>0.0000</c:formatCode>
                <c:ptCount val="101"/>
                <c:pt idx="66">
                  <c:v>12.67857142857142</c:v>
                </c:pt>
                <c:pt idx="67">
                  <c:v>11.9753086419753</c:v>
                </c:pt>
                <c:pt idx="68">
                  <c:v>11.9108280254777</c:v>
                </c:pt>
                <c:pt idx="69">
                  <c:v>14.60292374555512</c:v>
                </c:pt>
                <c:pt idx="70">
                  <c:v>16.565164433617539</c:v>
                </c:pt>
                <c:pt idx="71">
                  <c:v>12.658772874058119</c:v>
                </c:pt>
                <c:pt idx="72">
                  <c:v>11.358361774744019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(All)'!$CX$7:$CX$107</c:f>
              <c:numCache>
                <c:formatCode>0.0000</c:formatCode>
                <c:ptCount val="101"/>
                <c:pt idx="66">
                  <c:v>12.67857142857142</c:v>
                </c:pt>
                <c:pt idx="67">
                  <c:v>11.9753086419753</c:v>
                </c:pt>
                <c:pt idx="68">
                  <c:v>11.9108280254777</c:v>
                </c:pt>
                <c:pt idx="69">
                  <c:v>14.60292374555512</c:v>
                </c:pt>
                <c:pt idx="70">
                  <c:v>16.565164433617539</c:v>
                </c:pt>
                <c:pt idx="71">
                  <c:v>12.658772874058119</c:v>
                </c:pt>
                <c:pt idx="72">
                  <c:v>11.358361774744019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25008"/>
        <c:axId val="369725568"/>
      </c:scatterChart>
      <c:valAx>
        <c:axId val="369725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25568"/>
        <c:crosses val="autoZero"/>
        <c:crossBetween val="midCat"/>
        <c:majorUnit val="5"/>
      </c:valAx>
      <c:valAx>
        <c:axId val="36972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25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(All)'!$CY$7:$CY$107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(All)'!$CY$7:$CY$107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28368"/>
        <c:axId val="369728928"/>
      </c:scatterChart>
      <c:valAx>
        <c:axId val="369728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28928"/>
        <c:crosses val="autoZero"/>
        <c:crossBetween val="midCat"/>
        <c:majorUnit val="5"/>
      </c:valAx>
      <c:valAx>
        <c:axId val="36972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28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(All)'!$CZ$7:$CZ$107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(All)'!$CZ$7:$CZ$107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31728"/>
        <c:axId val="369732288"/>
      </c:scatterChart>
      <c:valAx>
        <c:axId val="369731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32288"/>
        <c:crosses val="autoZero"/>
        <c:crossBetween val="midCat"/>
        <c:majorUnit val="5"/>
      </c:valAx>
      <c:valAx>
        <c:axId val="3697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31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(All)'!$DA$7:$DA$107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(All)'!$DA$7:$DA$107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35088"/>
        <c:axId val="369735648"/>
      </c:scatterChart>
      <c:valAx>
        <c:axId val="369735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35648"/>
        <c:crosses val="autoZero"/>
        <c:crossBetween val="midCat"/>
        <c:majorUnit val="5"/>
      </c:valAx>
      <c:valAx>
        <c:axId val="36973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35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(All)'!$DB$7:$DB$107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(All)'!$DB$7:$DB$107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38448"/>
        <c:axId val="369739008"/>
      </c:scatterChart>
      <c:valAx>
        <c:axId val="369738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39008"/>
        <c:crosses val="autoZero"/>
        <c:crossBetween val="midCat"/>
        <c:majorUnit val="5"/>
      </c:valAx>
      <c:valAx>
        <c:axId val="36973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38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(All)'!$O$7:$O$107</c:f>
              <c:numCache>
                <c:formatCode>0.0000</c:formatCode>
                <c:ptCount val="101"/>
                <c:pt idx="45">
                  <c:v>12.333075805202867</c:v>
                </c:pt>
                <c:pt idx="46">
                  <c:v>10.332462287057377</c:v>
                </c:pt>
                <c:pt idx="47">
                  <c:v>10.63051676560211</c:v>
                </c:pt>
                <c:pt idx="48">
                  <c:v>10.026041075123716</c:v>
                </c:pt>
                <c:pt idx="49">
                  <c:v>11.269857798387056</c:v>
                </c:pt>
                <c:pt idx="50">
                  <c:v>11.179588965474187</c:v>
                </c:pt>
                <c:pt idx="51">
                  <c:v>12.020850963297178</c:v>
                </c:pt>
                <c:pt idx="52">
                  <c:v>12.166657136079218</c:v>
                </c:pt>
                <c:pt idx="53">
                  <c:v>9.2588459361477522</c:v>
                </c:pt>
                <c:pt idx="54">
                  <c:v>6.7826977111871365</c:v>
                </c:pt>
                <c:pt idx="55">
                  <c:v>5.555666769477174</c:v>
                </c:pt>
                <c:pt idx="56">
                  <c:v>6.33732067769885</c:v>
                </c:pt>
                <c:pt idx="57">
                  <c:v>7.0931797921745225</c:v>
                </c:pt>
                <c:pt idx="58">
                  <c:v>9.2696740999568981</c:v>
                </c:pt>
                <c:pt idx="59">
                  <c:v>8.4916182397502684</c:v>
                </c:pt>
                <c:pt idx="60">
                  <c:v>8.0924366256441047</c:v>
                </c:pt>
                <c:pt idx="61">
                  <c:v>7.9781576023487473</c:v>
                </c:pt>
                <c:pt idx="62">
                  <c:v>7.9274179384710379</c:v>
                </c:pt>
                <c:pt idx="63">
                  <c:v>7.9902274581849158</c:v>
                </c:pt>
                <c:pt idx="64">
                  <c:v>8.0939469969975288</c:v>
                </c:pt>
                <c:pt idx="65">
                  <c:v>8.2758609465116599</c:v>
                </c:pt>
                <c:pt idx="66">
                  <c:v>8.3462282807661072</c:v>
                </c:pt>
                <c:pt idx="67">
                  <c:v>8.8618295272685508</c:v>
                </c:pt>
                <c:pt idx="68">
                  <c:v>10.435812798237089</c:v>
                </c:pt>
                <c:pt idx="69">
                  <c:v>10.686392414103759</c:v>
                </c:pt>
                <c:pt idx="70">
                  <c:v>10.410808476293937</c:v>
                </c:pt>
                <c:pt idx="71">
                  <c:v>10.469004823439835</c:v>
                </c:pt>
                <c:pt idx="72">
                  <c:v>11.008532626105549</c:v>
                </c:pt>
                <c:pt idx="73">
                  <c:v>10.961800789155768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(All)'!$O$7:$O$107</c:f>
              <c:numCache>
                <c:formatCode>0.0000</c:formatCode>
                <c:ptCount val="101"/>
                <c:pt idx="45">
                  <c:v>12.333075805202867</c:v>
                </c:pt>
                <c:pt idx="46">
                  <c:v>10.332462287057377</c:v>
                </c:pt>
                <c:pt idx="47">
                  <c:v>10.63051676560211</c:v>
                </c:pt>
                <c:pt idx="48">
                  <c:v>10.026041075123716</c:v>
                </c:pt>
                <c:pt idx="49">
                  <c:v>11.269857798387056</c:v>
                </c:pt>
                <c:pt idx="50">
                  <c:v>11.179588965474187</c:v>
                </c:pt>
                <c:pt idx="51">
                  <c:v>12.020850963297178</c:v>
                </c:pt>
                <c:pt idx="52">
                  <c:v>12.166657136079218</c:v>
                </c:pt>
                <c:pt idx="53">
                  <c:v>9.2588459361477522</c:v>
                </c:pt>
                <c:pt idx="54">
                  <c:v>6.7826977111871365</c:v>
                </c:pt>
                <c:pt idx="55">
                  <c:v>5.555666769477174</c:v>
                </c:pt>
                <c:pt idx="56">
                  <c:v>6.33732067769885</c:v>
                </c:pt>
                <c:pt idx="57">
                  <c:v>7.0931797921745225</c:v>
                </c:pt>
                <c:pt idx="58">
                  <c:v>9.2696740999568981</c:v>
                </c:pt>
                <c:pt idx="59">
                  <c:v>8.4916182397502684</c:v>
                </c:pt>
                <c:pt idx="60">
                  <c:v>8.0924366256441047</c:v>
                </c:pt>
                <c:pt idx="61">
                  <c:v>7.9781576023487473</c:v>
                </c:pt>
                <c:pt idx="62">
                  <c:v>7.9274179384710379</c:v>
                </c:pt>
                <c:pt idx="63">
                  <c:v>7.9902274581849158</c:v>
                </c:pt>
                <c:pt idx="64">
                  <c:v>8.0939469969975288</c:v>
                </c:pt>
                <c:pt idx="65">
                  <c:v>8.2758609465116599</c:v>
                </c:pt>
                <c:pt idx="66">
                  <c:v>8.3462282807661072</c:v>
                </c:pt>
                <c:pt idx="67">
                  <c:v>8.8618295272685508</c:v>
                </c:pt>
                <c:pt idx="68">
                  <c:v>10.435812798237089</c:v>
                </c:pt>
                <c:pt idx="69">
                  <c:v>10.686392414103759</c:v>
                </c:pt>
                <c:pt idx="70">
                  <c:v>10.410808476293937</c:v>
                </c:pt>
                <c:pt idx="71">
                  <c:v>10.469004823439835</c:v>
                </c:pt>
                <c:pt idx="72">
                  <c:v>11.008532626105549</c:v>
                </c:pt>
                <c:pt idx="73">
                  <c:v>10.961800789155768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41808"/>
        <c:axId val="369742368"/>
      </c:scatterChart>
      <c:valAx>
        <c:axId val="369741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42368"/>
        <c:crosses val="autoZero"/>
        <c:crossBetween val="midCat"/>
        <c:majorUnit val="5"/>
      </c:valAx>
      <c:valAx>
        <c:axId val="36974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41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65260807916258E-2"/>
          <c:y val="1.8024038777882567E-2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(All)'!$Q$7:$Q$107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(All)'!$Q$7:$Q$107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745168"/>
        <c:axId val="369745728"/>
      </c:scatterChart>
      <c:valAx>
        <c:axId val="3697451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45728"/>
        <c:crosses val="autoZero"/>
        <c:crossBetween val="midCat"/>
        <c:majorUnit val="5"/>
      </c:valAx>
      <c:valAx>
        <c:axId val="36974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97451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(All)'!$P$7:$P$107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(All)'!$P$7:$P$107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23104"/>
        <c:axId val="307123664"/>
      </c:scatterChart>
      <c:valAx>
        <c:axId val="3071231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23664"/>
        <c:crosses val="autoZero"/>
        <c:crossBetween val="midCat"/>
        <c:majorUnit val="5"/>
      </c:valAx>
      <c:valAx>
        <c:axId val="30712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231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(All)'!$DC$7:$DC$107</c:f>
              <c:numCache>
                <c:formatCode>General</c:formatCode>
                <c:ptCount val="101"/>
                <c:pt idx="55" formatCode="0.0000">
                  <c:v>4.1919776947698528</c:v>
                </c:pt>
                <c:pt idx="56" formatCode="0.0000">
                  <c:v>4.7230508999952123</c:v>
                </c:pt>
                <c:pt idx="57" formatCode="0.0000">
                  <c:v>6.3161004233642988</c:v>
                </c:pt>
                <c:pt idx="58" formatCode="0.0000">
                  <c:v>6.9109026175786701</c:v>
                </c:pt>
                <c:pt idx="59" formatCode="0.0000">
                  <c:v>7.0450051545520607</c:v>
                </c:pt>
                <c:pt idx="60" formatCode="0.0000">
                  <c:v>6.4211715217859329</c:v>
                </c:pt>
                <c:pt idx="61" formatCode="0.0000">
                  <c:v>6.5403778333022178</c:v>
                </c:pt>
                <c:pt idx="62" formatCode="0.0000">
                  <c:v>6.8288650053147517</c:v>
                </c:pt>
                <c:pt idx="63" formatCode="0.0000">
                  <c:v>6.8787404971154364</c:v>
                </c:pt>
                <c:pt idx="64" formatCode="0.0000">
                  <c:v>6.6798812122079498</c:v>
                </c:pt>
                <c:pt idx="65" formatCode="0.0000">
                  <c:v>6.7380679559432224</c:v>
                </c:pt>
                <c:pt idx="66" formatCode="0.0000">
                  <c:v>6.5921502200136928</c:v>
                </c:pt>
                <c:pt idx="67" formatCode="0.0000">
                  <c:v>7.1776721918233779</c:v>
                </c:pt>
                <c:pt idx="68" formatCode="0.0000">
                  <c:v>8.3761163387510695</c:v>
                </c:pt>
                <c:pt idx="69" formatCode="0.0000">
                  <c:v>8.6208024285013494</c:v>
                </c:pt>
                <c:pt idx="70" formatCode="0.0000">
                  <c:v>8.0629282420254906</c:v>
                </c:pt>
                <c:pt idx="71" formatCode="0.0000">
                  <c:v>8.7266719203352796</c:v>
                </c:pt>
                <c:pt idx="72" formatCode="0.0000">
                  <c:v>8.9123355340783341</c:v>
                </c:pt>
                <c:pt idx="73" formatCode="0.0000">
                  <c:v>9.4442518900418087</c:v>
                </c:pt>
                <c:pt idx="74" formatCode="0.0000">
                  <c:v>10.072020126764061</c:v>
                </c:pt>
                <c:pt idx="75" formatCode="0.0000">
                  <c:v>8.0447582504297461</c:v>
                </c:pt>
                <c:pt idx="76" formatCode="0.0000">
                  <c:v>9.4970528113799286</c:v>
                </c:pt>
                <c:pt idx="77" formatCode="0.0000">
                  <c:v>9.5813583296886886</c:v>
                </c:pt>
                <c:pt idx="78" formatCode="0.0000">
                  <c:v>11.727041048511877</c:v>
                </c:pt>
                <c:pt idx="79" formatCode="0.0000">
                  <c:v>12.592623103091459</c:v>
                </c:pt>
                <c:pt idx="80" formatCode="0.0000">
                  <c:v>18.448259799266868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(All)'!$DC$7:$DC$107</c:f>
              <c:numCache>
                <c:formatCode>General</c:formatCode>
                <c:ptCount val="101"/>
                <c:pt idx="55" formatCode="0.0000">
                  <c:v>4.1919776947698528</c:v>
                </c:pt>
                <c:pt idx="56" formatCode="0.0000">
                  <c:v>4.7230508999952123</c:v>
                </c:pt>
                <c:pt idx="57" formatCode="0.0000">
                  <c:v>6.3161004233642988</c:v>
                </c:pt>
                <c:pt idx="58" formatCode="0.0000">
                  <c:v>6.9109026175786701</c:v>
                </c:pt>
                <c:pt idx="59" formatCode="0.0000">
                  <c:v>7.0450051545520607</c:v>
                </c:pt>
                <c:pt idx="60" formatCode="0.0000">
                  <c:v>6.4211715217859329</c:v>
                </c:pt>
                <c:pt idx="61" formatCode="0.0000">
                  <c:v>6.5403778333022178</c:v>
                </c:pt>
                <c:pt idx="62" formatCode="0.0000">
                  <c:v>6.8288650053147517</c:v>
                </c:pt>
                <c:pt idx="63" formatCode="0.0000">
                  <c:v>6.8787404971154364</c:v>
                </c:pt>
                <c:pt idx="64" formatCode="0.0000">
                  <c:v>6.6798812122079498</c:v>
                </c:pt>
                <c:pt idx="65" formatCode="0.0000">
                  <c:v>6.7380679559432224</c:v>
                </c:pt>
                <c:pt idx="66" formatCode="0.0000">
                  <c:v>6.5921502200136928</c:v>
                </c:pt>
                <c:pt idx="67" formatCode="0.0000">
                  <c:v>7.1776721918233779</c:v>
                </c:pt>
                <c:pt idx="68" formatCode="0.0000">
                  <c:v>8.3761163387510695</c:v>
                </c:pt>
                <c:pt idx="69" formatCode="0.0000">
                  <c:v>8.6208024285013494</c:v>
                </c:pt>
                <c:pt idx="70" formatCode="0.0000">
                  <c:v>8.0629282420254906</c:v>
                </c:pt>
                <c:pt idx="71" formatCode="0.0000">
                  <c:v>8.7266719203352796</c:v>
                </c:pt>
                <c:pt idx="72" formatCode="0.0000">
                  <c:v>8.9123355340783341</c:v>
                </c:pt>
                <c:pt idx="73" formatCode="0.0000">
                  <c:v>9.4442518900418087</c:v>
                </c:pt>
                <c:pt idx="74" formatCode="0.0000">
                  <c:v>10.072020126764061</c:v>
                </c:pt>
                <c:pt idx="75" formatCode="0.0000">
                  <c:v>8.0447582504297461</c:v>
                </c:pt>
                <c:pt idx="76" formatCode="0.0000">
                  <c:v>9.4970528113799286</c:v>
                </c:pt>
                <c:pt idx="77" formatCode="0.0000">
                  <c:v>9.5813583296886886</c:v>
                </c:pt>
                <c:pt idx="78" formatCode="0.0000">
                  <c:v>11.727041048511877</c:v>
                </c:pt>
                <c:pt idx="79" formatCode="0.0000">
                  <c:v>12.592623103091459</c:v>
                </c:pt>
                <c:pt idx="80" formatCode="0.0000">
                  <c:v>18.448259799266868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26464"/>
        <c:axId val="307127024"/>
      </c:scatterChart>
      <c:valAx>
        <c:axId val="3071264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27024"/>
        <c:crosses val="autoZero"/>
        <c:crossBetween val="midCat"/>
        <c:majorUnit val="5"/>
      </c:valAx>
      <c:valAx>
        <c:axId val="30712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264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India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(All)'!$DD$7:$DD$107</c:f>
              <c:numCache>
                <c:formatCode>General</c:formatCode>
                <c:ptCount val="101"/>
                <c:pt idx="55" formatCode="0.0000">
                  <c:v>6.2620241338199847</c:v>
                </c:pt>
                <c:pt idx="56" formatCode="0.0000">
                  <c:v>7.2153046811323982</c:v>
                </c:pt>
                <c:pt idx="57" formatCode="0.0000">
                  <c:v>8.822356347547192</c:v>
                </c:pt>
                <c:pt idx="58" formatCode="0.0000">
                  <c:v>10.025843123984412</c:v>
                </c:pt>
                <c:pt idx="59" formatCode="0.0000">
                  <c:v>9.6959842498923337</c:v>
                </c:pt>
                <c:pt idx="60" formatCode="0.0000">
                  <c:v>9.1997763015913421</c:v>
                </c:pt>
                <c:pt idx="61" formatCode="0.0000">
                  <c:v>9.6061092277810616</c:v>
                </c:pt>
                <c:pt idx="62" formatCode="0.0000">
                  <c:v>9.3524242057854483</c:v>
                </c:pt>
                <c:pt idx="63" formatCode="0.0000">
                  <c:v>8.6427778636552901</c:v>
                </c:pt>
                <c:pt idx="64" formatCode="0.0000">
                  <c:v>8.7178284893549289</c:v>
                </c:pt>
                <c:pt idx="65" formatCode="0.0000">
                  <c:v>8.9470331896906927</c:v>
                </c:pt>
                <c:pt idx="66" formatCode="0.0000">
                  <c:v>9.466618319659732</c:v>
                </c:pt>
                <c:pt idx="67" formatCode="0.0000">
                  <c:v>9.5416525141057242</c:v>
                </c:pt>
                <c:pt idx="68" formatCode="0.0000">
                  <c:v>10.040140788307049</c:v>
                </c:pt>
                <c:pt idx="69" formatCode="0.0000">
                  <c:v>11.540624527684537</c:v>
                </c:pt>
                <c:pt idx="70" formatCode="0.0000">
                  <c:v>11.293315189949249</c:v>
                </c:pt>
                <c:pt idx="71" formatCode="0.0000">
                  <c:v>10.458600039501288</c:v>
                </c:pt>
                <c:pt idx="72" formatCode="0.0000">
                  <c:v>10.298618217796811</c:v>
                </c:pt>
                <c:pt idx="73" formatCode="0.0000">
                  <c:v>10.475692881134792</c:v>
                </c:pt>
                <c:pt idx="74" formatCode="0.0000">
                  <c:v>10.503014333430924</c:v>
                </c:pt>
                <c:pt idx="75" formatCode="0.0000">
                  <c:v>11.334953524471432</c:v>
                </c:pt>
                <c:pt idx="76" formatCode="0.0000">
                  <c:v>12.742394654695698</c:v>
                </c:pt>
                <c:pt idx="77" formatCode="0.0000">
                  <c:v>12.33375620046753</c:v>
                </c:pt>
                <c:pt idx="78" formatCode="0.0000">
                  <c:v>14.059883636444932</c:v>
                </c:pt>
                <c:pt idx="79" formatCode="0.0000">
                  <c:v>17.549669623278429</c:v>
                </c:pt>
                <c:pt idx="80" formatCode="0.0000">
                  <c:v>30.703441494999865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'Flour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'Flour (All)'!$DD$7:$DD$107</c:f>
              <c:numCache>
                <c:formatCode>General</c:formatCode>
                <c:ptCount val="101"/>
                <c:pt idx="55" formatCode="0.0000">
                  <c:v>6.2620241338199847</c:v>
                </c:pt>
                <c:pt idx="56" formatCode="0.0000">
                  <c:v>7.2153046811323982</c:v>
                </c:pt>
                <c:pt idx="57" formatCode="0.0000">
                  <c:v>8.822356347547192</c:v>
                </c:pt>
                <c:pt idx="58" formatCode="0.0000">
                  <c:v>10.025843123984412</c:v>
                </c:pt>
                <c:pt idx="59" formatCode="0.0000">
                  <c:v>9.6959842498923337</c:v>
                </c:pt>
                <c:pt idx="60" formatCode="0.0000">
                  <c:v>9.1997763015913421</c:v>
                </c:pt>
                <c:pt idx="61" formatCode="0.0000">
                  <c:v>9.6061092277810616</c:v>
                </c:pt>
                <c:pt idx="62" formatCode="0.0000">
                  <c:v>9.3524242057854483</c:v>
                </c:pt>
                <c:pt idx="63" formatCode="0.0000">
                  <c:v>8.6427778636552901</c:v>
                </c:pt>
                <c:pt idx="64" formatCode="0.0000">
                  <c:v>8.7178284893549289</c:v>
                </c:pt>
                <c:pt idx="65" formatCode="0.0000">
                  <c:v>8.9470331896906927</c:v>
                </c:pt>
                <c:pt idx="66" formatCode="0.0000">
                  <c:v>9.466618319659732</c:v>
                </c:pt>
                <c:pt idx="67" formatCode="0.0000">
                  <c:v>9.5416525141057242</c:v>
                </c:pt>
                <c:pt idx="68" formatCode="0.0000">
                  <c:v>10.040140788307049</c:v>
                </c:pt>
                <c:pt idx="69" formatCode="0.0000">
                  <c:v>11.540624527684537</c:v>
                </c:pt>
                <c:pt idx="70" formatCode="0.0000">
                  <c:v>11.293315189949249</c:v>
                </c:pt>
                <c:pt idx="71" formatCode="0.0000">
                  <c:v>10.458600039501288</c:v>
                </c:pt>
                <c:pt idx="72" formatCode="0.0000">
                  <c:v>10.298618217796811</c:v>
                </c:pt>
                <c:pt idx="73" formatCode="0.0000">
                  <c:v>10.475692881134792</c:v>
                </c:pt>
                <c:pt idx="74" formatCode="0.0000">
                  <c:v>10.503014333430924</c:v>
                </c:pt>
                <c:pt idx="75" formatCode="0.0000">
                  <c:v>11.334953524471432</c:v>
                </c:pt>
                <c:pt idx="76" formatCode="0.0000">
                  <c:v>12.742394654695698</c:v>
                </c:pt>
                <c:pt idx="77" formatCode="0.0000">
                  <c:v>12.33375620046753</c:v>
                </c:pt>
                <c:pt idx="78" formatCode="0.0000">
                  <c:v>14.059883636444932</c:v>
                </c:pt>
                <c:pt idx="79" formatCode="0.0000">
                  <c:v>17.549669623278429</c:v>
                </c:pt>
                <c:pt idx="80" formatCode="0.0000">
                  <c:v>30.703441494999865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129824"/>
        <c:axId val="307130384"/>
      </c:scatterChart>
      <c:valAx>
        <c:axId val="3071298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30384"/>
        <c:crosses val="autoZero"/>
        <c:crossBetween val="midCat"/>
        <c:majorUnit val="5"/>
      </c:valAx>
      <c:valAx>
        <c:axId val="30713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298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1</xdr:row>
      <xdr:rowOff>114300</xdr:rowOff>
    </xdr:from>
    <xdr:to>
      <xdr:col>22</xdr:col>
      <xdr:colOff>590550</xdr:colOff>
      <xdr:row>28</xdr:row>
      <xdr:rowOff>44450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23</xdr:col>
      <xdr:colOff>152400</xdr:colOff>
      <xdr:row>929</xdr:row>
      <xdr:rowOff>44450</xdr:rowOff>
    </xdr:from>
    <xdr:to>
      <xdr:col>34</xdr:col>
      <xdr:colOff>76200</xdr:colOff>
      <xdr:row>955</xdr:row>
      <xdr:rowOff>127000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0</xdr:colOff>
      <xdr:row>958</xdr:row>
      <xdr:rowOff>0</xdr:rowOff>
    </xdr:from>
    <xdr:to>
      <xdr:col>10</xdr:col>
      <xdr:colOff>533400</xdr:colOff>
      <xdr:row>984</xdr:row>
      <xdr:rowOff>76200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11</xdr:col>
      <xdr:colOff>495300</xdr:colOff>
      <xdr:row>958</xdr:row>
      <xdr:rowOff>0</xdr:rowOff>
    </xdr:from>
    <xdr:to>
      <xdr:col>22</xdr:col>
      <xdr:colOff>419100</xdr:colOff>
      <xdr:row>984</xdr:row>
      <xdr:rowOff>76200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23</xdr:col>
      <xdr:colOff>171450</xdr:colOff>
      <xdr:row>958</xdr:row>
      <xdr:rowOff>19050</xdr:rowOff>
    </xdr:from>
    <xdr:to>
      <xdr:col>34</xdr:col>
      <xdr:colOff>95250</xdr:colOff>
      <xdr:row>984</xdr:row>
      <xdr:rowOff>95250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35</xdr:col>
      <xdr:colOff>552450</xdr:colOff>
      <xdr:row>265</xdr:row>
      <xdr:rowOff>101600</xdr:rowOff>
    </xdr:from>
    <xdr:to>
      <xdr:col>46</xdr:col>
      <xdr:colOff>476250</xdr:colOff>
      <xdr:row>292</xdr:row>
      <xdr:rowOff>50800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47</xdr:col>
      <xdr:colOff>222250</xdr:colOff>
      <xdr:row>265</xdr:row>
      <xdr:rowOff>76200</xdr:rowOff>
    </xdr:from>
    <xdr:to>
      <xdr:col>58</xdr:col>
      <xdr:colOff>146050</xdr:colOff>
      <xdr:row>292</xdr:row>
      <xdr:rowOff>25400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59</xdr:col>
      <xdr:colOff>222250</xdr:colOff>
      <xdr:row>265</xdr:row>
      <xdr:rowOff>76200</xdr:rowOff>
    </xdr:from>
    <xdr:to>
      <xdr:col>70</xdr:col>
      <xdr:colOff>146050</xdr:colOff>
      <xdr:row>292</xdr:row>
      <xdr:rowOff>25400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0</xdr:col>
      <xdr:colOff>171450</xdr:colOff>
      <xdr:row>1</xdr:row>
      <xdr:rowOff>133350</xdr:rowOff>
    </xdr:from>
    <xdr:to>
      <xdr:col>11</xdr:col>
      <xdr:colOff>95250</xdr:colOff>
      <xdr:row>28</xdr:row>
      <xdr:rowOff>63500</xdr:rowOff>
    </xdr:to>
    <xdr:graphicFrame macro="">
      <xdr:nvGraphicFramePr>
        <xdr:cNvPr id="112" name="Chart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23</xdr:col>
      <xdr:colOff>495300</xdr:colOff>
      <xdr:row>1</xdr:row>
      <xdr:rowOff>114300</xdr:rowOff>
    </xdr:from>
    <xdr:to>
      <xdr:col>34</xdr:col>
      <xdr:colOff>419100</xdr:colOff>
      <xdr:row>28</xdr:row>
      <xdr:rowOff>44450</xdr:rowOff>
    </xdr:to>
    <xdr:graphicFrame macro="">
      <xdr:nvGraphicFramePr>
        <xdr:cNvPr id="113" name="Chart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35</xdr:col>
      <xdr:colOff>552450</xdr:colOff>
      <xdr:row>119</xdr:row>
      <xdr:rowOff>76200</xdr:rowOff>
    </xdr:from>
    <xdr:to>
      <xdr:col>46</xdr:col>
      <xdr:colOff>476250</xdr:colOff>
      <xdr:row>146</xdr:row>
      <xdr:rowOff>6350</xdr:rowOff>
    </xdr:to>
    <xdr:graphicFrame macro="">
      <xdr:nvGraphicFramePr>
        <xdr:cNvPr id="114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35</xdr:col>
      <xdr:colOff>552450</xdr:colOff>
      <xdr:row>294</xdr:row>
      <xdr:rowOff>133350</xdr:rowOff>
    </xdr:from>
    <xdr:to>
      <xdr:col>46</xdr:col>
      <xdr:colOff>476250</xdr:colOff>
      <xdr:row>321</xdr:row>
      <xdr:rowOff>63500</xdr:rowOff>
    </xdr:to>
    <xdr:graphicFrame macro="">
      <xdr:nvGraphicFramePr>
        <xdr:cNvPr id="115" name="Chart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66</xdr:row>
      <xdr:rowOff>160712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68580</xdr:rowOff>
    </xdr:from>
    <xdr:to>
      <xdr:col>18</xdr:col>
      <xdr:colOff>525780</xdr:colOff>
      <xdr:row>32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19</xdr:col>
      <xdr:colOff>449580</xdr:colOff>
      <xdr:row>32</xdr:row>
      <xdr:rowOff>99060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60960</xdr:rowOff>
    </xdr:from>
    <xdr:to>
      <xdr:col>19</xdr:col>
      <xdr:colOff>472440</xdr:colOff>
      <xdr:row>32</xdr:row>
      <xdr:rowOff>99060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30480</xdr:rowOff>
    </xdr:from>
    <xdr:to>
      <xdr:col>19</xdr:col>
      <xdr:colOff>411480</xdr:colOff>
      <xdr:row>32</xdr:row>
      <xdr:rowOff>60960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68580</xdr:rowOff>
    </xdr:from>
    <xdr:to>
      <xdr:col>19</xdr:col>
      <xdr:colOff>457200</xdr:colOff>
      <xdr:row>32</xdr:row>
      <xdr:rowOff>45720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workbookViewId="0">
      <selection activeCell="C34" sqref="C34"/>
    </sheetView>
  </sheetViews>
  <sheetFormatPr defaultRowHeight="13.2" x14ac:dyDescent="0.25"/>
  <cols>
    <col min="1" max="16384" width="8.88671875" style="11"/>
  </cols>
  <sheetData>
    <row r="1" spans="1:1" x14ac:dyDescent="0.25">
      <c r="A1" s="11" t="s">
        <v>38</v>
      </c>
    </row>
    <row r="2" spans="1:1" x14ac:dyDescent="0.25">
      <c r="A2" s="11" t="s">
        <v>40</v>
      </c>
    </row>
    <row r="4" spans="1:1" x14ac:dyDescent="0.25">
      <c r="A4" s="11" t="s">
        <v>59</v>
      </c>
    </row>
    <row r="5" spans="1:1" x14ac:dyDescent="0.25">
      <c r="A5" s="11" t="s">
        <v>57</v>
      </c>
    </row>
    <row r="7" spans="1:1" x14ac:dyDescent="0.25">
      <c r="A7" s="11" t="s">
        <v>58</v>
      </c>
    </row>
    <row r="9" spans="1:1" x14ac:dyDescent="0.25">
      <c r="A9" s="11" t="s">
        <v>39</v>
      </c>
    </row>
  </sheetData>
  <pageMargins left="0.75" right="0.7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>
      <selection activeCell="U24" sqref="U24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F287"/>
  <sheetViews>
    <sheetView zoomScale="70" zoomScaleNormal="70" workbookViewId="0">
      <pane xSplit="2" ySplit="5" topLeftCell="C7" activePane="bottomRight" state="frozen"/>
      <selection activeCell="CE20" sqref="CE20"/>
      <selection pane="topRight" activeCell="CE20" sqref="CE20"/>
      <selection pane="bottomLeft" activeCell="CE20" sqref="CE20"/>
      <selection pane="bottomRight" activeCell="CY82" sqref="CY82"/>
    </sheetView>
  </sheetViews>
  <sheetFormatPr defaultRowHeight="13.2" x14ac:dyDescent="0.25"/>
  <cols>
    <col min="2" max="2" width="12.33203125" bestFit="1" customWidth="1"/>
    <col min="3" max="3" width="12" customWidth="1"/>
    <col min="4" max="5" width="14.77734375" customWidth="1"/>
    <col min="6" max="20" width="12" customWidth="1"/>
    <col min="21" max="21" width="11.33203125" customWidth="1"/>
    <col min="22" max="36" width="12" customWidth="1"/>
    <col min="37" max="37" width="14.44140625" customWidth="1"/>
    <col min="38" max="40" width="12" customWidth="1"/>
    <col min="41" max="43" width="13.77734375" customWidth="1"/>
    <col min="44" max="44" width="13.44140625" customWidth="1"/>
    <col min="45" max="96" width="12" customWidth="1"/>
    <col min="97" max="97" width="14.77734375" customWidth="1"/>
    <col min="98" max="98" width="12.88671875" customWidth="1"/>
    <col min="99" max="99" width="13.33203125" customWidth="1"/>
    <col min="100" max="100" width="14" customWidth="1"/>
    <col min="101" max="103" width="12" customWidth="1"/>
    <col min="104" max="106" width="13.5546875" customWidth="1"/>
    <col min="107" max="107" width="11" customWidth="1"/>
    <col min="108" max="108" width="11.5546875" customWidth="1"/>
    <col min="109" max="109" width="11.21875" customWidth="1"/>
  </cols>
  <sheetData>
    <row r="1" spans="1:109" s="14" customFormat="1" x14ac:dyDescent="0.25"/>
    <row r="2" spans="1:109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51</v>
      </c>
      <c r="F2" s="7" t="s">
        <v>0</v>
      </c>
      <c r="G2" s="7" t="s">
        <v>0</v>
      </c>
      <c r="H2" s="7" t="s">
        <v>0</v>
      </c>
      <c r="I2" s="7" t="s">
        <v>24</v>
      </c>
      <c r="J2" s="7" t="s">
        <v>24</v>
      </c>
      <c r="K2" s="7" t="s">
        <v>24</v>
      </c>
      <c r="L2" s="7" t="s">
        <v>25</v>
      </c>
      <c r="M2" s="7" t="s">
        <v>25</v>
      </c>
      <c r="N2" s="7" t="s">
        <v>25</v>
      </c>
      <c r="O2" s="7" t="s">
        <v>41</v>
      </c>
      <c r="P2" s="7" t="s">
        <v>41</v>
      </c>
      <c r="Q2" s="7" t="s">
        <v>41</v>
      </c>
      <c r="R2" s="7" t="s">
        <v>44</v>
      </c>
      <c r="S2" s="7" t="s">
        <v>53</v>
      </c>
      <c r="T2" s="7" t="s">
        <v>26</v>
      </c>
      <c r="U2" s="7" t="s">
        <v>26</v>
      </c>
      <c r="V2" s="7" t="s">
        <v>2</v>
      </c>
      <c r="W2" s="7" t="s">
        <v>2</v>
      </c>
      <c r="X2" s="7" t="s">
        <v>2</v>
      </c>
      <c r="Y2" s="7" t="s">
        <v>4</v>
      </c>
      <c r="Z2" s="7" t="s">
        <v>4</v>
      </c>
      <c r="AA2" s="7" t="s">
        <v>4</v>
      </c>
      <c r="AB2" s="7" t="s">
        <v>45</v>
      </c>
      <c r="AC2" s="7" t="s">
        <v>46</v>
      </c>
      <c r="AD2" s="7" t="s">
        <v>46</v>
      </c>
      <c r="AE2" s="7" t="s">
        <v>46</v>
      </c>
      <c r="AF2" s="7" t="s">
        <v>47</v>
      </c>
      <c r="AG2" s="7" t="s">
        <v>47</v>
      </c>
      <c r="AH2" s="7" t="s">
        <v>47</v>
      </c>
      <c r="AI2" s="7" t="s">
        <v>43</v>
      </c>
      <c r="AJ2" s="7" t="s">
        <v>43</v>
      </c>
      <c r="AK2" s="7" t="s">
        <v>43</v>
      </c>
      <c r="AL2" s="7" t="s">
        <v>11</v>
      </c>
      <c r="AM2" s="7" t="s">
        <v>11</v>
      </c>
      <c r="AN2" s="7" t="s">
        <v>11</v>
      </c>
      <c r="AO2" s="7" t="s">
        <v>12</v>
      </c>
      <c r="AP2" s="7" t="s">
        <v>12</v>
      </c>
      <c r="AQ2" s="7" t="s">
        <v>12</v>
      </c>
      <c r="AR2" s="7" t="s">
        <v>28</v>
      </c>
      <c r="AS2" s="7" t="s">
        <v>28</v>
      </c>
      <c r="AT2" s="7" t="s">
        <v>28</v>
      </c>
      <c r="AU2" s="7" t="s">
        <v>37</v>
      </c>
      <c r="AV2" s="7" t="s">
        <v>37</v>
      </c>
      <c r="AW2" s="7" t="s">
        <v>37</v>
      </c>
      <c r="AX2" s="7" t="s">
        <v>3</v>
      </c>
      <c r="AY2" s="7" t="s">
        <v>3</v>
      </c>
      <c r="AZ2" s="7" t="s">
        <v>3</v>
      </c>
      <c r="BA2" s="7" t="s">
        <v>9</v>
      </c>
      <c r="BB2" s="7" t="s">
        <v>9</v>
      </c>
      <c r="BC2" s="7" t="s">
        <v>9</v>
      </c>
      <c r="BD2" s="7" t="s">
        <v>20</v>
      </c>
      <c r="BE2" s="7" t="s">
        <v>20</v>
      </c>
      <c r="BF2" s="7" t="s">
        <v>20</v>
      </c>
      <c r="BG2" s="7" t="s">
        <v>34</v>
      </c>
      <c r="BH2" s="7" t="s">
        <v>34</v>
      </c>
      <c r="BI2" s="7" t="s">
        <v>34</v>
      </c>
      <c r="BJ2" s="7" t="s">
        <v>15</v>
      </c>
      <c r="BK2" s="7" t="s">
        <v>15</v>
      </c>
      <c r="BL2" s="7" t="s">
        <v>15</v>
      </c>
      <c r="BM2" s="7" t="s">
        <v>16</v>
      </c>
      <c r="BN2" s="7" t="s">
        <v>16</v>
      </c>
      <c r="BO2" s="7" t="s">
        <v>16</v>
      </c>
      <c r="BP2" s="7" t="s">
        <v>17</v>
      </c>
      <c r="BQ2" s="7" t="s">
        <v>17</v>
      </c>
      <c r="BR2" s="7" t="s">
        <v>17</v>
      </c>
      <c r="BS2" s="7" t="s">
        <v>6</v>
      </c>
      <c r="BT2" s="7" t="s">
        <v>6</v>
      </c>
      <c r="BU2" s="7" t="s">
        <v>6</v>
      </c>
      <c r="BV2" s="7" t="s">
        <v>19</v>
      </c>
      <c r="BW2" s="7" t="s">
        <v>19</v>
      </c>
      <c r="BX2" s="7" t="s">
        <v>19</v>
      </c>
      <c r="BY2" s="7" t="s">
        <v>35</v>
      </c>
      <c r="BZ2" s="7" t="s">
        <v>35</v>
      </c>
      <c r="CA2" s="7" t="s">
        <v>35</v>
      </c>
      <c r="CB2" s="7" t="s">
        <v>21</v>
      </c>
      <c r="CC2" s="7" t="s">
        <v>21</v>
      </c>
      <c r="CD2" s="7" t="s">
        <v>21</v>
      </c>
      <c r="CE2" s="7" t="s">
        <v>22</v>
      </c>
      <c r="CF2" s="7" t="s">
        <v>22</v>
      </c>
      <c r="CG2" s="7" t="s">
        <v>22</v>
      </c>
      <c r="CH2" s="7" t="s">
        <v>23</v>
      </c>
      <c r="CI2" s="7" t="s">
        <v>23</v>
      </c>
      <c r="CJ2" s="7" t="s">
        <v>23</v>
      </c>
      <c r="CK2" s="7" t="s">
        <v>18</v>
      </c>
      <c r="CL2" s="7" t="s">
        <v>18</v>
      </c>
      <c r="CM2" s="7" t="s">
        <v>18</v>
      </c>
      <c r="CN2" s="7" t="s">
        <v>5</v>
      </c>
      <c r="CO2" s="7" t="s">
        <v>5</v>
      </c>
      <c r="CP2" s="7" t="s">
        <v>5</v>
      </c>
      <c r="CQ2" s="7" t="s">
        <v>27</v>
      </c>
      <c r="CR2" s="7" t="s">
        <v>27</v>
      </c>
      <c r="CS2" s="7" t="s">
        <v>27</v>
      </c>
      <c r="CT2" s="7" t="s">
        <v>13</v>
      </c>
      <c r="CU2" s="7" t="s">
        <v>13</v>
      </c>
      <c r="CV2" s="7" t="s">
        <v>13</v>
      </c>
      <c r="CW2" s="7" t="s">
        <v>14</v>
      </c>
      <c r="CX2" s="7" t="s">
        <v>14</v>
      </c>
      <c r="CY2" s="7" t="s">
        <v>14</v>
      </c>
      <c r="CZ2" s="7" t="s">
        <v>36</v>
      </c>
      <c r="DA2" s="7" t="s">
        <v>36</v>
      </c>
      <c r="DB2" s="7" t="s">
        <v>36</v>
      </c>
      <c r="DC2" s="7" t="s">
        <v>60</v>
      </c>
      <c r="DD2" s="7" t="s">
        <v>60</v>
      </c>
      <c r="DE2" s="7" t="s">
        <v>60</v>
      </c>
    </row>
    <row r="3" spans="1:109" x14ac:dyDescent="0.25">
      <c r="B3" s="5" t="s">
        <v>31</v>
      </c>
      <c r="C3" s="7" t="s">
        <v>49</v>
      </c>
      <c r="D3" s="7" t="s">
        <v>49</v>
      </c>
      <c r="E3" s="7" t="s">
        <v>49</v>
      </c>
      <c r="F3" s="7" t="s">
        <v>49</v>
      </c>
      <c r="G3" s="7" t="s">
        <v>49</v>
      </c>
      <c r="H3" s="7" t="s">
        <v>49</v>
      </c>
      <c r="I3" s="7" t="s">
        <v>49</v>
      </c>
      <c r="J3" s="7" t="s">
        <v>49</v>
      </c>
      <c r="K3" s="7" t="s">
        <v>49</v>
      </c>
      <c r="L3" s="7" t="s">
        <v>49</v>
      </c>
      <c r="M3" s="7" t="s">
        <v>49</v>
      </c>
      <c r="N3" s="7" t="s">
        <v>49</v>
      </c>
      <c r="O3" s="7" t="s">
        <v>49</v>
      </c>
      <c r="P3" s="7" t="s">
        <v>49</v>
      </c>
      <c r="Q3" s="7" t="s">
        <v>49</v>
      </c>
      <c r="R3" s="7" t="s">
        <v>49</v>
      </c>
      <c r="S3" s="7" t="s">
        <v>49</v>
      </c>
      <c r="T3" s="7" t="s">
        <v>49</v>
      </c>
      <c r="U3" s="7" t="s">
        <v>49</v>
      </c>
      <c r="V3" s="7" t="s">
        <v>49</v>
      </c>
      <c r="W3" s="7" t="s">
        <v>49</v>
      </c>
      <c r="X3" s="7" t="s">
        <v>49</v>
      </c>
      <c r="Y3" s="7" t="s">
        <v>49</v>
      </c>
      <c r="Z3" s="7" t="s">
        <v>49</v>
      </c>
      <c r="AA3" s="7" t="s">
        <v>49</v>
      </c>
      <c r="AB3" s="7" t="s">
        <v>49</v>
      </c>
      <c r="AC3" s="7" t="s">
        <v>49</v>
      </c>
      <c r="AD3" s="7" t="s">
        <v>49</v>
      </c>
      <c r="AE3" s="7" t="s">
        <v>49</v>
      </c>
      <c r="AF3" s="7" t="s">
        <v>49</v>
      </c>
      <c r="AG3" s="7" t="s">
        <v>49</v>
      </c>
      <c r="AH3" s="7" t="s">
        <v>49</v>
      </c>
      <c r="AI3" s="7" t="s">
        <v>49</v>
      </c>
      <c r="AJ3" s="7" t="s">
        <v>49</v>
      </c>
      <c r="AK3" s="7" t="s">
        <v>49</v>
      </c>
      <c r="AL3" s="7" t="s">
        <v>49</v>
      </c>
      <c r="AM3" s="7" t="s">
        <v>49</v>
      </c>
      <c r="AN3" s="7" t="s">
        <v>49</v>
      </c>
      <c r="AO3" s="7" t="s">
        <v>49</v>
      </c>
      <c r="AP3" s="7" t="s">
        <v>49</v>
      </c>
      <c r="AQ3" s="7" t="s">
        <v>49</v>
      </c>
      <c r="AR3" s="7" t="s">
        <v>49</v>
      </c>
      <c r="AS3" s="7" t="s">
        <v>49</v>
      </c>
      <c r="AT3" s="7" t="s">
        <v>49</v>
      </c>
      <c r="AU3" s="7" t="s">
        <v>49</v>
      </c>
      <c r="AV3" s="7" t="s">
        <v>49</v>
      </c>
      <c r="AW3" s="7" t="s">
        <v>49</v>
      </c>
      <c r="AX3" s="7" t="s">
        <v>49</v>
      </c>
      <c r="AY3" s="7" t="s">
        <v>49</v>
      </c>
      <c r="AZ3" s="7" t="s">
        <v>49</v>
      </c>
      <c r="BA3" s="7" t="s">
        <v>49</v>
      </c>
      <c r="BB3" s="7" t="s">
        <v>49</v>
      </c>
      <c r="BC3" s="7" t="s">
        <v>49</v>
      </c>
      <c r="BD3" s="7" t="s">
        <v>49</v>
      </c>
      <c r="BE3" s="7" t="s">
        <v>49</v>
      </c>
      <c r="BF3" s="7" t="s">
        <v>49</v>
      </c>
      <c r="BG3" s="7" t="s">
        <v>49</v>
      </c>
      <c r="BH3" s="7" t="s">
        <v>49</v>
      </c>
      <c r="BI3" s="7" t="s">
        <v>49</v>
      </c>
      <c r="BJ3" s="7" t="s">
        <v>49</v>
      </c>
      <c r="BK3" s="7" t="s">
        <v>49</v>
      </c>
      <c r="BL3" s="7" t="s">
        <v>49</v>
      </c>
      <c r="BM3" s="7" t="s">
        <v>49</v>
      </c>
      <c r="BN3" s="7" t="s">
        <v>49</v>
      </c>
      <c r="BO3" s="7" t="s">
        <v>49</v>
      </c>
      <c r="BP3" s="7" t="s">
        <v>49</v>
      </c>
      <c r="BQ3" s="7" t="s">
        <v>49</v>
      </c>
      <c r="BR3" s="7" t="s">
        <v>49</v>
      </c>
      <c r="BS3" s="7" t="s">
        <v>49</v>
      </c>
      <c r="BT3" s="7" t="s">
        <v>49</v>
      </c>
      <c r="BU3" s="7" t="s">
        <v>49</v>
      </c>
      <c r="BV3" s="7" t="s">
        <v>49</v>
      </c>
      <c r="BW3" s="7" t="s">
        <v>49</v>
      </c>
      <c r="BX3" s="7" t="s">
        <v>49</v>
      </c>
      <c r="BY3" s="7" t="s">
        <v>49</v>
      </c>
      <c r="BZ3" s="7" t="s">
        <v>49</v>
      </c>
      <c r="CA3" s="7" t="s">
        <v>49</v>
      </c>
      <c r="CB3" s="7" t="s">
        <v>49</v>
      </c>
      <c r="CC3" s="7" t="s">
        <v>49</v>
      </c>
      <c r="CD3" s="7" t="s">
        <v>49</v>
      </c>
      <c r="CE3" s="7" t="s">
        <v>49</v>
      </c>
      <c r="CF3" s="7" t="s">
        <v>49</v>
      </c>
      <c r="CG3" s="7" t="s">
        <v>49</v>
      </c>
      <c r="CH3" s="7" t="s">
        <v>49</v>
      </c>
      <c r="CI3" s="7" t="s">
        <v>49</v>
      </c>
      <c r="CJ3" s="7" t="s">
        <v>49</v>
      </c>
      <c r="CK3" s="7" t="s">
        <v>49</v>
      </c>
      <c r="CL3" s="7" t="s">
        <v>49</v>
      </c>
      <c r="CM3" s="7" t="s">
        <v>49</v>
      </c>
      <c r="CN3" s="7" t="s">
        <v>49</v>
      </c>
      <c r="CO3" s="7" t="s">
        <v>49</v>
      </c>
      <c r="CP3" s="7" t="s">
        <v>49</v>
      </c>
      <c r="CQ3" s="7" t="s">
        <v>49</v>
      </c>
      <c r="CR3" s="7" t="s">
        <v>49</v>
      </c>
      <c r="CS3" s="7" t="s">
        <v>49</v>
      </c>
      <c r="CT3" s="7" t="s">
        <v>49</v>
      </c>
      <c r="CU3" s="7" t="s">
        <v>49</v>
      </c>
      <c r="CV3" s="7" t="s">
        <v>49</v>
      </c>
      <c r="CW3" s="7" t="s">
        <v>49</v>
      </c>
      <c r="CX3" s="7" t="s">
        <v>49</v>
      </c>
      <c r="CY3" s="7" t="s">
        <v>49</v>
      </c>
      <c r="CZ3" s="7" t="s">
        <v>49</v>
      </c>
      <c r="DA3" s="7" t="s">
        <v>49</v>
      </c>
      <c r="DB3" s="7" t="s">
        <v>49</v>
      </c>
      <c r="DC3" s="7" t="s">
        <v>49</v>
      </c>
      <c r="DD3" s="7" t="s">
        <v>49</v>
      </c>
      <c r="DE3" s="7" t="s">
        <v>49</v>
      </c>
    </row>
    <row r="4" spans="1:109" s="2" customFormat="1" ht="27" customHeight="1" x14ac:dyDescent="0.25">
      <c r="B4" s="5" t="s">
        <v>30</v>
      </c>
      <c r="C4" s="5" t="s">
        <v>8</v>
      </c>
      <c r="D4" s="5" t="s">
        <v>52</v>
      </c>
      <c r="E4" s="5" t="s">
        <v>7</v>
      </c>
      <c r="F4" s="5" t="s">
        <v>8</v>
      </c>
      <c r="G4" s="7" t="s">
        <v>7</v>
      </c>
      <c r="H4" s="5" t="s">
        <v>10</v>
      </c>
      <c r="I4" s="5" t="s">
        <v>8</v>
      </c>
      <c r="J4" s="5" t="s">
        <v>7</v>
      </c>
      <c r="K4" s="5" t="s">
        <v>10</v>
      </c>
      <c r="L4" s="5" t="s">
        <v>8</v>
      </c>
      <c r="M4" s="5" t="s">
        <v>7</v>
      </c>
      <c r="N4" s="5" t="s">
        <v>10</v>
      </c>
      <c r="O4" s="5" t="s">
        <v>8</v>
      </c>
      <c r="P4" s="5" t="s">
        <v>7</v>
      </c>
      <c r="Q4" s="5" t="s">
        <v>10</v>
      </c>
      <c r="R4" s="5"/>
      <c r="S4" s="5" t="s">
        <v>8</v>
      </c>
      <c r="T4" s="5" t="s">
        <v>7</v>
      </c>
      <c r="U4" s="5" t="s">
        <v>10</v>
      </c>
      <c r="V4" s="5" t="s">
        <v>8</v>
      </c>
      <c r="W4" s="5" t="s">
        <v>7</v>
      </c>
      <c r="X4" s="5" t="s">
        <v>10</v>
      </c>
      <c r="Y4" s="5" t="s">
        <v>8</v>
      </c>
      <c r="Z4" s="5" t="s">
        <v>7</v>
      </c>
      <c r="AA4" s="5" t="s">
        <v>10</v>
      </c>
      <c r="AB4" s="5" t="s">
        <v>7</v>
      </c>
      <c r="AC4" s="5"/>
      <c r="AD4" s="5" t="s">
        <v>7</v>
      </c>
      <c r="AE4" s="5" t="s">
        <v>10</v>
      </c>
      <c r="AF4" s="5"/>
      <c r="AG4" s="5" t="s">
        <v>7</v>
      </c>
      <c r="AH4" s="5" t="s">
        <v>10</v>
      </c>
      <c r="AI4" s="5" t="s">
        <v>8</v>
      </c>
      <c r="AJ4" s="5" t="s">
        <v>7</v>
      </c>
      <c r="AK4" s="5" t="s">
        <v>10</v>
      </c>
      <c r="AL4" s="5" t="s">
        <v>8</v>
      </c>
      <c r="AM4" s="5" t="s">
        <v>7</v>
      </c>
      <c r="AN4" s="5" t="s">
        <v>10</v>
      </c>
      <c r="AO4" s="5" t="s">
        <v>8</v>
      </c>
      <c r="AP4" s="5" t="s">
        <v>7</v>
      </c>
      <c r="AQ4" s="5" t="s">
        <v>10</v>
      </c>
      <c r="AR4" s="5" t="s">
        <v>8</v>
      </c>
      <c r="AS4" s="5" t="s">
        <v>7</v>
      </c>
      <c r="AT4" s="5" t="s">
        <v>10</v>
      </c>
      <c r="AU4" s="5" t="s">
        <v>8</v>
      </c>
      <c r="AV4" s="5" t="s">
        <v>7</v>
      </c>
      <c r="AW4" s="5" t="s">
        <v>10</v>
      </c>
      <c r="AX4" s="5" t="s">
        <v>8</v>
      </c>
      <c r="AY4" s="5" t="s">
        <v>7</v>
      </c>
      <c r="AZ4" s="5" t="s">
        <v>10</v>
      </c>
      <c r="BA4" s="5" t="s">
        <v>8</v>
      </c>
      <c r="BB4" s="5" t="s">
        <v>7</v>
      </c>
      <c r="BC4" s="5" t="s">
        <v>10</v>
      </c>
      <c r="BD4" s="5" t="s">
        <v>8</v>
      </c>
      <c r="BE4" s="5" t="s">
        <v>7</v>
      </c>
      <c r="BF4" s="5" t="s">
        <v>10</v>
      </c>
      <c r="BG4" s="5" t="s">
        <v>8</v>
      </c>
      <c r="BH4" s="5" t="s">
        <v>7</v>
      </c>
      <c r="BI4" s="5" t="s">
        <v>10</v>
      </c>
      <c r="BJ4" s="5" t="s">
        <v>8</v>
      </c>
      <c r="BK4" s="5" t="s">
        <v>7</v>
      </c>
      <c r="BL4" s="5" t="s">
        <v>10</v>
      </c>
      <c r="BM4" s="5" t="s">
        <v>8</v>
      </c>
      <c r="BN4" s="5" t="s">
        <v>7</v>
      </c>
      <c r="BO4" s="5" t="s">
        <v>10</v>
      </c>
      <c r="BP4" s="5" t="s">
        <v>8</v>
      </c>
      <c r="BQ4" s="5" t="s">
        <v>7</v>
      </c>
      <c r="BR4" s="5" t="s">
        <v>10</v>
      </c>
      <c r="BS4" s="5" t="s">
        <v>8</v>
      </c>
      <c r="BT4" s="5" t="s">
        <v>7</v>
      </c>
      <c r="BU4" s="5" t="s">
        <v>10</v>
      </c>
      <c r="BV4" s="5" t="s">
        <v>8</v>
      </c>
      <c r="BW4" s="5" t="s">
        <v>7</v>
      </c>
      <c r="BX4" s="5" t="s">
        <v>10</v>
      </c>
      <c r="BY4" s="5" t="s">
        <v>8</v>
      </c>
      <c r="BZ4" s="5" t="s">
        <v>7</v>
      </c>
      <c r="CA4" s="5" t="s">
        <v>10</v>
      </c>
      <c r="CB4" s="5" t="s">
        <v>8</v>
      </c>
      <c r="CC4" s="5" t="s">
        <v>7</v>
      </c>
      <c r="CD4" s="5" t="s">
        <v>10</v>
      </c>
      <c r="CE4" s="5" t="s">
        <v>8</v>
      </c>
      <c r="CF4" s="5" t="s">
        <v>7</v>
      </c>
      <c r="CG4" s="5" t="s">
        <v>10</v>
      </c>
      <c r="CH4" s="5" t="s">
        <v>8</v>
      </c>
      <c r="CI4" s="5" t="s">
        <v>7</v>
      </c>
      <c r="CJ4" s="5" t="s">
        <v>10</v>
      </c>
      <c r="CK4" s="5" t="s">
        <v>8</v>
      </c>
      <c r="CL4" s="5" t="s">
        <v>7</v>
      </c>
      <c r="CM4" s="5" t="s">
        <v>10</v>
      </c>
      <c r="CN4" s="5" t="s">
        <v>8</v>
      </c>
      <c r="CO4" s="5" t="s">
        <v>7</v>
      </c>
      <c r="CP4" s="5" t="s">
        <v>10</v>
      </c>
      <c r="CQ4" s="5" t="s">
        <v>8</v>
      </c>
      <c r="CR4" s="5" t="s">
        <v>7</v>
      </c>
      <c r="CS4" s="5" t="s">
        <v>10</v>
      </c>
      <c r="CT4" s="5" t="s">
        <v>8</v>
      </c>
      <c r="CU4" s="5" t="s">
        <v>7</v>
      </c>
      <c r="CV4" s="5" t="s">
        <v>10</v>
      </c>
      <c r="CW4" s="5" t="s">
        <v>8</v>
      </c>
      <c r="CX4" s="5" t="s">
        <v>7</v>
      </c>
      <c r="CY4" s="5" t="s">
        <v>10</v>
      </c>
      <c r="CZ4" s="5" t="s">
        <v>8</v>
      </c>
      <c r="DA4" s="5" t="s">
        <v>7</v>
      </c>
      <c r="DB4" s="5" t="s">
        <v>10</v>
      </c>
      <c r="DC4" s="5" t="s">
        <v>8</v>
      </c>
      <c r="DD4" s="5" t="s">
        <v>7</v>
      </c>
      <c r="DE4" s="5" t="s">
        <v>10</v>
      </c>
    </row>
    <row r="5" spans="1:109" s="9" customFormat="1" x14ac:dyDescent="0.25">
      <c r="A5" s="4" t="s">
        <v>33</v>
      </c>
      <c r="B5" s="4" t="s">
        <v>32</v>
      </c>
      <c r="C5" s="6" t="s">
        <v>50</v>
      </c>
      <c r="D5" s="6" t="s">
        <v>50</v>
      </c>
      <c r="E5" s="6" t="s">
        <v>50</v>
      </c>
      <c r="F5" s="6" t="s">
        <v>50</v>
      </c>
      <c r="G5" s="6" t="s">
        <v>50</v>
      </c>
      <c r="H5" s="6" t="s">
        <v>50</v>
      </c>
      <c r="I5" s="6" t="s">
        <v>50</v>
      </c>
      <c r="J5" s="6" t="s">
        <v>50</v>
      </c>
      <c r="K5" s="6" t="s">
        <v>50</v>
      </c>
      <c r="L5" s="6" t="s">
        <v>50</v>
      </c>
      <c r="M5" s="6" t="s">
        <v>50</v>
      </c>
      <c r="N5" s="6" t="s">
        <v>50</v>
      </c>
      <c r="O5" s="6" t="s">
        <v>50</v>
      </c>
      <c r="P5" s="6" t="s">
        <v>50</v>
      </c>
      <c r="Q5" s="6" t="s">
        <v>50</v>
      </c>
      <c r="R5" s="6" t="s">
        <v>50</v>
      </c>
      <c r="S5" s="6" t="s">
        <v>50</v>
      </c>
      <c r="T5" s="6" t="s">
        <v>50</v>
      </c>
      <c r="U5" s="6" t="s">
        <v>50</v>
      </c>
      <c r="V5" s="6" t="s">
        <v>50</v>
      </c>
      <c r="W5" s="6" t="s">
        <v>50</v>
      </c>
      <c r="X5" s="6" t="s">
        <v>50</v>
      </c>
      <c r="Y5" s="6" t="s">
        <v>50</v>
      </c>
      <c r="Z5" s="6" t="s">
        <v>50</v>
      </c>
      <c r="AA5" s="6" t="s">
        <v>50</v>
      </c>
      <c r="AB5" s="6" t="s">
        <v>50</v>
      </c>
      <c r="AC5" s="6" t="s">
        <v>50</v>
      </c>
      <c r="AD5" s="6" t="s">
        <v>50</v>
      </c>
      <c r="AE5" s="6" t="s">
        <v>50</v>
      </c>
      <c r="AF5" s="6" t="s">
        <v>50</v>
      </c>
      <c r="AG5" s="6" t="s">
        <v>50</v>
      </c>
      <c r="AH5" s="6" t="s">
        <v>50</v>
      </c>
      <c r="AI5" s="6" t="s">
        <v>50</v>
      </c>
      <c r="AJ5" s="6" t="s">
        <v>50</v>
      </c>
      <c r="AK5" s="6" t="s">
        <v>50</v>
      </c>
      <c r="AL5" s="6" t="s">
        <v>50</v>
      </c>
      <c r="AM5" s="6" t="s">
        <v>50</v>
      </c>
      <c r="AN5" s="6" t="s">
        <v>50</v>
      </c>
      <c r="AO5" s="6" t="s">
        <v>50</v>
      </c>
      <c r="AP5" s="6" t="s">
        <v>50</v>
      </c>
      <c r="AQ5" s="6" t="s">
        <v>50</v>
      </c>
      <c r="AR5" s="6" t="s">
        <v>50</v>
      </c>
      <c r="AS5" s="6" t="s">
        <v>50</v>
      </c>
      <c r="AT5" s="6" t="s">
        <v>50</v>
      </c>
      <c r="AU5" s="6" t="s">
        <v>50</v>
      </c>
      <c r="AV5" s="6" t="s">
        <v>50</v>
      </c>
      <c r="AW5" s="6" t="s">
        <v>50</v>
      </c>
      <c r="AX5" s="6" t="s">
        <v>50</v>
      </c>
      <c r="AY5" s="6" t="s">
        <v>50</v>
      </c>
      <c r="AZ5" s="6" t="s">
        <v>50</v>
      </c>
      <c r="BA5" s="6" t="s">
        <v>50</v>
      </c>
      <c r="BB5" s="6" t="s">
        <v>50</v>
      </c>
      <c r="BC5" s="6" t="s">
        <v>50</v>
      </c>
      <c r="BD5" s="6" t="s">
        <v>50</v>
      </c>
      <c r="BE5" s="6" t="s">
        <v>50</v>
      </c>
      <c r="BF5" s="6" t="s">
        <v>50</v>
      </c>
      <c r="BG5" s="6" t="s">
        <v>50</v>
      </c>
      <c r="BH5" s="6" t="s">
        <v>50</v>
      </c>
      <c r="BI5" s="6" t="s">
        <v>50</v>
      </c>
      <c r="BJ5" s="6" t="s">
        <v>50</v>
      </c>
      <c r="BK5" s="6" t="s">
        <v>50</v>
      </c>
      <c r="BL5" s="6" t="s">
        <v>50</v>
      </c>
      <c r="BM5" s="6" t="s">
        <v>50</v>
      </c>
      <c r="BN5" s="6" t="s">
        <v>50</v>
      </c>
      <c r="BO5" s="6" t="s">
        <v>50</v>
      </c>
      <c r="BP5" s="6" t="s">
        <v>50</v>
      </c>
      <c r="BQ5" s="6" t="s">
        <v>50</v>
      </c>
      <c r="BR5" s="6" t="s">
        <v>50</v>
      </c>
      <c r="BS5" s="6" t="s">
        <v>50</v>
      </c>
      <c r="BT5" s="6" t="s">
        <v>50</v>
      </c>
      <c r="BU5" s="6" t="s">
        <v>50</v>
      </c>
      <c r="BV5" s="6" t="s">
        <v>50</v>
      </c>
      <c r="BW5" s="6" t="s">
        <v>50</v>
      </c>
      <c r="BX5" s="6" t="s">
        <v>50</v>
      </c>
      <c r="BY5" s="6" t="s">
        <v>50</v>
      </c>
      <c r="BZ5" s="6" t="s">
        <v>50</v>
      </c>
      <c r="CA5" s="6" t="s">
        <v>50</v>
      </c>
      <c r="CB5" s="6" t="s">
        <v>50</v>
      </c>
      <c r="CC5" s="6" t="s">
        <v>50</v>
      </c>
      <c r="CD5" s="6" t="s">
        <v>50</v>
      </c>
      <c r="CE5" s="6" t="s">
        <v>50</v>
      </c>
      <c r="CF5" s="6" t="s">
        <v>50</v>
      </c>
      <c r="CG5" s="6" t="s">
        <v>50</v>
      </c>
      <c r="CH5" s="6" t="s">
        <v>50</v>
      </c>
      <c r="CI5" s="6" t="s">
        <v>50</v>
      </c>
      <c r="CJ5" s="6" t="s">
        <v>50</v>
      </c>
      <c r="CK5" s="6" t="s">
        <v>50</v>
      </c>
      <c r="CL5" s="6" t="s">
        <v>50</v>
      </c>
      <c r="CM5" s="6" t="s">
        <v>50</v>
      </c>
      <c r="CN5" s="6" t="s">
        <v>50</v>
      </c>
      <c r="CO5" s="6" t="s">
        <v>50</v>
      </c>
      <c r="CP5" s="6" t="s">
        <v>50</v>
      </c>
      <c r="CQ5" s="6" t="s">
        <v>50</v>
      </c>
      <c r="CR5" s="6" t="s">
        <v>50</v>
      </c>
      <c r="CS5" s="6" t="s">
        <v>50</v>
      </c>
      <c r="CT5" s="6" t="s">
        <v>50</v>
      </c>
      <c r="CU5" s="6" t="s">
        <v>50</v>
      </c>
      <c r="CV5" s="6" t="s">
        <v>50</v>
      </c>
      <c r="CW5" s="6" t="s">
        <v>50</v>
      </c>
      <c r="CX5" s="6" t="s">
        <v>50</v>
      </c>
      <c r="CY5" s="6" t="s">
        <v>50</v>
      </c>
      <c r="CZ5" s="6" t="s">
        <v>50</v>
      </c>
      <c r="DA5" s="6" t="s">
        <v>50</v>
      </c>
      <c r="DB5" s="6" t="s">
        <v>50</v>
      </c>
      <c r="DC5" s="6" t="s">
        <v>50</v>
      </c>
      <c r="DD5" s="6" t="s">
        <v>50</v>
      </c>
      <c r="DE5" s="6" t="s">
        <v>50</v>
      </c>
    </row>
    <row r="6" spans="1:109" s="2" customFormat="1" ht="54.6" hidden="1" customHeight="1" x14ac:dyDescent="0.25">
      <c r="A6" s="4" t="s">
        <v>33</v>
      </c>
      <c r="B6" s="5" t="s">
        <v>29</v>
      </c>
      <c r="C6" s="7" t="str">
        <f>CONCATENATE(C2,", ",C4,", ","in ",C5)</f>
        <v>UK, Imports, in pound/ton</v>
      </c>
      <c r="D6" s="7" t="str">
        <f>CONCATENATE(D2,", ",D4,", ","in ",D5)</f>
        <v>UK, Retail, in pound/ton</v>
      </c>
      <c r="E6" s="7" t="str">
        <f t="shared" ref="E6:BP6" si="0">CONCATENATE(E2,", ",E4,", ","in ",E5)</f>
        <v>US, Exports, in pound/ton</v>
      </c>
      <c r="F6" s="7" t="str">
        <f t="shared" si="0"/>
        <v>Baghdad, Imports, in pound/ton</v>
      </c>
      <c r="G6" s="7" t="str">
        <f t="shared" si="0"/>
        <v>Baghdad, Exports, in pound/ton</v>
      </c>
      <c r="H6" s="7" t="str">
        <f t="shared" si="0"/>
        <v>Baghdad, Bazaar (Local), in pound/ton</v>
      </c>
      <c r="I6" s="7" t="str">
        <f t="shared" si="0"/>
        <v>Basrah, Imports, in pound/ton</v>
      </c>
      <c r="J6" s="7" t="str">
        <f t="shared" si="0"/>
        <v>Basrah, Exports, in pound/ton</v>
      </c>
      <c r="K6" s="7" t="str">
        <f t="shared" si="0"/>
        <v>Basrah, Bazaar (Local), in pound/ton</v>
      </c>
      <c r="L6" s="7" t="str">
        <f t="shared" si="0"/>
        <v>Mosul, Imports, in pound/ton</v>
      </c>
      <c r="M6" s="7" t="str">
        <f t="shared" si="0"/>
        <v>Mosul, Exports, in pound/ton</v>
      </c>
      <c r="N6" s="7" t="str">
        <f t="shared" si="0"/>
        <v>Mosul, Bazaar (Local), in pound/ton</v>
      </c>
      <c r="O6" s="7" t="str">
        <f t="shared" si="0"/>
        <v>Egypt, Imports, in pound/ton</v>
      </c>
      <c r="P6" s="7" t="str">
        <f t="shared" si="0"/>
        <v>Egypt, Exports, in pound/ton</v>
      </c>
      <c r="Q6" s="7" t="str">
        <f t="shared" si="0"/>
        <v>Egypt, Bazaar (Local), in pound/ton</v>
      </c>
      <c r="R6" s="7" t="str">
        <f t="shared" si="0"/>
        <v>Aleppo, , in pound/ton</v>
      </c>
      <c r="S6" s="7" t="str">
        <f t="shared" si="0"/>
        <v>Jaffa, Imports, in pound/ton</v>
      </c>
      <c r="T6" s="7" t="str">
        <f t="shared" si="0"/>
        <v>Palestine, Exports, in pound/ton</v>
      </c>
      <c r="U6" s="7" t="str">
        <f t="shared" si="0"/>
        <v>Palestine, Bazaar (Local), in pound/ton</v>
      </c>
      <c r="V6" s="7" t="str">
        <f t="shared" si="0"/>
        <v>Damascus, Imports, in pound/ton</v>
      </c>
      <c r="W6" s="7" t="str">
        <f t="shared" si="0"/>
        <v>Damascus, Exports, in pound/ton</v>
      </c>
      <c r="X6" s="7" t="str">
        <f t="shared" si="0"/>
        <v>Damascus, Bazaar (Local), in pound/ton</v>
      </c>
      <c r="Y6" s="7" t="str">
        <f t="shared" si="0"/>
        <v>Beirut, Imports, in pound/ton</v>
      </c>
      <c r="Z6" s="7" t="str">
        <f t="shared" si="0"/>
        <v>Beirut, Exports, in pound/ton</v>
      </c>
      <c r="AA6" s="7" t="str">
        <f t="shared" si="0"/>
        <v>Beirut, Bazaar (Local), in pound/ton</v>
      </c>
      <c r="AB6" s="7" t="str">
        <f t="shared" si="0"/>
        <v>Alexandria, Exports, in pound/ton</v>
      </c>
      <c r="AC6" s="7" t="str">
        <f t="shared" si="0"/>
        <v>Istanbul (Rumeli), , in pound/ton</v>
      </c>
      <c r="AD6" s="7" t="str">
        <f t="shared" si="0"/>
        <v>Istanbul (Rumeli), Exports, in pound/ton</v>
      </c>
      <c r="AE6" s="7" t="str">
        <f t="shared" si="0"/>
        <v>Istanbul (Rumeli), Bazaar (Local), in pound/ton</v>
      </c>
      <c r="AF6" s="7" t="str">
        <f t="shared" si="0"/>
        <v>Istanbul (Anatolia), , in pound/ton</v>
      </c>
      <c r="AG6" s="7" t="str">
        <f t="shared" si="0"/>
        <v>Istanbul (Anatolia), Exports, in pound/ton</v>
      </c>
      <c r="AH6" s="7" t="str">
        <f t="shared" si="0"/>
        <v>Istanbul (Anatolia), Bazaar (Local), in pound/ton</v>
      </c>
      <c r="AI6" s="7" t="str">
        <f t="shared" si="0"/>
        <v>Istanbul (Nallrihan), Imports, in pound/ton</v>
      </c>
      <c r="AJ6" s="7" t="str">
        <f t="shared" si="0"/>
        <v>Istanbul (Nallrihan), Exports, in pound/ton</v>
      </c>
      <c r="AK6" s="7" t="str">
        <f t="shared" si="0"/>
        <v>Istanbul (Nallrihan), Bazaar (Local), in pound/ton</v>
      </c>
      <c r="AL6" s="7" t="str">
        <f t="shared" si="0"/>
        <v>Turkey, Imports, in pound/ton</v>
      </c>
      <c r="AM6" s="7" t="str">
        <f t="shared" si="0"/>
        <v>Turkey, Exports, in pound/ton</v>
      </c>
      <c r="AN6" s="7" t="str">
        <f t="shared" si="0"/>
        <v>Turkey, Bazaar (Local), in pound/ton</v>
      </c>
      <c r="AO6" s="7" t="str">
        <f t="shared" si="0"/>
        <v>Constantinople, Imports, in pound/ton</v>
      </c>
      <c r="AP6" s="7" t="str">
        <f t="shared" si="0"/>
        <v>Constantinople, Exports, in pound/ton</v>
      </c>
      <c r="AQ6" s="7" t="str">
        <f t="shared" si="0"/>
        <v>Constantinople, Bazaar (Local), in pound/ton</v>
      </c>
      <c r="AR6" s="7" t="str">
        <f t="shared" si="0"/>
        <v>Trebizond (Anatolia), Imports, in pound/ton</v>
      </c>
      <c r="AS6" s="7" t="str">
        <f t="shared" si="0"/>
        <v>Trebizond (Anatolia), Exports, in pound/ton</v>
      </c>
      <c r="AT6" s="7" t="str">
        <f t="shared" si="0"/>
        <v>Trebizond (Anatolia), Bazaar (Local), in pound/ton</v>
      </c>
      <c r="AU6" s="7" t="str">
        <f t="shared" si="0"/>
        <v>Trebizond (Persia), Imports, in pound/ton</v>
      </c>
      <c r="AV6" s="7" t="str">
        <f t="shared" si="0"/>
        <v>Trebizond (Persia), Exports, in pound/ton</v>
      </c>
      <c r="AW6" s="7" t="str">
        <f t="shared" si="0"/>
        <v>Trebizond (Persia), Bazaar (Local), in pound/ton</v>
      </c>
      <c r="AX6" s="7" t="str">
        <f t="shared" si="0"/>
        <v>Izmir, Imports, in pound/ton</v>
      </c>
      <c r="AY6" s="7" t="str">
        <f t="shared" si="0"/>
        <v>Izmir, Exports, in pound/ton</v>
      </c>
      <c r="AZ6" s="7" t="str">
        <f t="shared" si="0"/>
        <v>Izmir, Bazaar (Local), in pound/ton</v>
      </c>
      <c r="BA6" s="7" t="str">
        <f t="shared" si="0"/>
        <v>Alexandretta, Imports, in pound/ton</v>
      </c>
      <c r="BB6" s="7" t="str">
        <f t="shared" si="0"/>
        <v>Alexandretta, Exports, in pound/ton</v>
      </c>
      <c r="BC6" s="7" t="str">
        <f t="shared" si="0"/>
        <v>Alexandretta, Bazaar (Local), in pound/ton</v>
      </c>
      <c r="BD6" s="7" t="str">
        <f t="shared" si="0"/>
        <v>Ispahan, Imports, in pound/ton</v>
      </c>
      <c r="BE6" s="7" t="str">
        <f t="shared" si="0"/>
        <v>Ispahan, Exports, in pound/ton</v>
      </c>
      <c r="BF6" s="7" t="str">
        <f t="shared" si="0"/>
        <v>Ispahan, Bazaar (Local), in pound/ton</v>
      </c>
      <c r="BG6" s="7" t="str">
        <f t="shared" si="0"/>
        <v>Yezd, Imports, in pound/ton</v>
      </c>
      <c r="BH6" s="7" t="str">
        <f t="shared" si="0"/>
        <v>Yezd, Exports, in pound/ton</v>
      </c>
      <c r="BI6" s="7" t="str">
        <f t="shared" si="0"/>
        <v>Yezd, Bazaar (Local), in pound/ton</v>
      </c>
      <c r="BJ6" s="7" t="str">
        <f t="shared" si="0"/>
        <v>Khorasan, Imports, in pound/ton</v>
      </c>
      <c r="BK6" s="7" t="str">
        <f t="shared" si="0"/>
        <v>Khorasan, Exports, in pound/ton</v>
      </c>
      <c r="BL6" s="7" t="str">
        <f t="shared" si="0"/>
        <v>Khorasan, Bazaar (Local), in pound/ton</v>
      </c>
      <c r="BM6" s="7" t="str">
        <f t="shared" si="0"/>
        <v>Kermanshah, Imports, in pound/ton</v>
      </c>
      <c r="BN6" s="7" t="str">
        <f t="shared" si="0"/>
        <v>Kermanshah, Exports, in pound/ton</v>
      </c>
      <c r="BO6" s="7" t="str">
        <f t="shared" si="0"/>
        <v>Kermanshah, Bazaar (Local), in pound/ton</v>
      </c>
      <c r="BP6" s="7" t="str">
        <f t="shared" si="0"/>
        <v>Kerman, Imports, in pound/ton</v>
      </c>
      <c r="BQ6" s="7" t="str">
        <f t="shared" ref="BQ6:DE6" si="1">CONCATENATE(BQ2,", ",BQ4,", ","in ",BQ5)</f>
        <v>Kerman, Exports, in pound/ton</v>
      </c>
      <c r="BR6" s="7" t="str">
        <f t="shared" si="1"/>
        <v>Kerman, Bazaar (Local), in pound/ton</v>
      </c>
      <c r="BS6" s="7" t="str">
        <f t="shared" si="1"/>
        <v>Bam, Imports, in pound/ton</v>
      </c>
      <c r="BT6" s="7" t="str">
        <f t="shared" si="1"/>
        <v>Bam, Exports, in pound/ton</v>
      </c>
      <c r="BU6" s="7" t="str">
        <f t="shared" si="1"/>
        <v>Bam, Bazaar (Local), in pound/ton</v>
      </c>
      <c r="BV6" s="7" t="str">
        <f t="shared" si="1"/>
        <v>Resht, Imports, in pound/ton</v>
      </c>
      <c r="BW6" s="7" t="str">
        <f t="shared" si="1"/>
        <v>Resht, Exports, in pound/ton</v>
      </c>
      <c r="BX6" s="7" t="str">
        <f t="shared" si="1"/>
        <v>Resht, Bazaar (Local), in pound/ton</v>
      </c>
      <c r="BY6" s="7" t="str">
        <f t="shared" si="1"/>
        <v>Mazandaran, Imports, in pound/ton</v>
      </c>
      <c r="BZ6" s="7" t="str">
        <f t="shared" si="1"/>
        <v>Mazandaran, Exports, in pound/ton</v>
      </c>
      <c r="CA6" s="7" t="str">
        <f t="shared" si="1"/>
        <v>Mazandaran, Bazaar (Local), in pound/ton</v>
      </c>
      <c r="CB6" s="7" t="str">
        <f t="shared" si="1"/>
        <v>Ghilan &amp; Tunekabun, Imports, in pound/ton</v>
      </c>
      <c r="CC6" s="7" t="str">
        <f t="shared" si="1"/>
        <v>Ghilan &amp; Tunekabun, Exports, in pound/ton</v>
      </c>
      <c r="CD6" s="7" t="str">
        <f t="shared" si="1"/>
        <v>Ghilan &amp; Tunekabun, Bazaar (Local), in pound/ton</v>
      </c>
      <c r="CE6" s="7" t="str">
        <f t="shared" si="1"/>
        <v>Bender Gez &amp; Astarabad, Imports, in pound/ton</v>
      </c>
      <c r="CF6" s="7" t="str">
        <f t="shared" si="1"/>
        <v>Bender Gez &amp; Astarabad, Exports, in pound/ton</v>
      </c>
      <c r="CG6" s="7" t="str">
        <f t="shared" si="1"/>
        <v>Bender Gez &amp; Astarabad, Bazaar (Local), in pound/ton</v>
      </c>
      <c r="CH6" s="7" t="str">
        <f t="shared" si="1"/>
        <v>Astara, Imports, in pound/ton</v>
      </c>
      <c r="CI6" s="7" t="str">
        <f t="shared" si="1"/>
        <v>Astara, Exports, in pound/ton</v>
      </c>
      <c r="CJ6" s="7" t="str">
        <f t="shared" si="1"/>
        <v>Astara, Bazaar (Local), in pound/ton</v>
      </c>
      <c r="CK6" s="7" t="str">
        <f t="shared" si="1"/>
        <v>Sultanabad, Imports, in pound/ton</v>
      </c>
      <c r="CL6" s="7" t="str">
        <f t="shared" si="1"/>
        <v>Sultanabad, Exports, in pound/ton</v>
      </c>
      <c r="CM6" s="7" t="str">
        <f t="shared" si="1"/>
        <v>Sultanabad, Bazaar (Local), in pound/ton</v>
      </c>
      <c r="CN6" s="7" t="str">
        <f t="shared" si="1"/>
        <v>Bahrain, Imports, in pound/ton</v>
      </c>
      <c r="CO6" s="7" t="str">
        <f t="shared" si="1"/>
        <v>Bahrain, Exports, in pound/ton</v>
      </c>
      <c r="CP6" s="7" t="str">
        <f t="shared" si="1"/>
        <v>Bahrain, Bazaar (Local), in pound/ton</v>
      </c>
      <c r="CQ6" s="7" t="str">
        <f t="shared" si="1"/>
        <v>Muscat, Imports, in pound/ton</v>
      </c>
      <c r="CR6" s="7" t="str">
        <f t="shared" si="1"/>
        <v>Muscat, Exports, in pound/ton</v>
      </c>
      <c r="CS6" s="7" t="str">
        <f t="shared" si="1"/>
        <v>Muscat, Bazaar (Local), in pound/ton</v>
      </c>
      <c r="CT6" s="7" t="str">
        <f t="shared" si="1"/>
        <v>Mohammerah, Imports, in pound/ton</v>
      </c>
      <c r="CU6" s="7" t="str">
        <f t="shared" si="1"/>
        <v>Mohammerah, Exports, in pound/ton</v>
      </c>
      <c r="CV6" s="7" t="str">
        <f t="shared" si="1"/>
        <v>Mohammerah, Bazaar (Local), in pound/ton</v>
      </c>
      <c r="CW6" s="7" t="str">
        <f t="shared" si="1"/>
        <v>Lingah, Imports, in pound/ton</v>
      </c>
      <c r="CX6" s="7" t="str">
        <f t="shared" si="1"/>
        <v>Lingah, Exports, in pound/ton</v>
      </c>
      <c r="CY6" s="7" t="str">
        <f t="shared" si="1"/>
        <v>Lingah, Bazaar (Local), in pound/ton</v>
      </c>
      <c r="CZ6" s="7" t="str">
        <f t="shared" si="1"/>
        <v>Shiraz, Imports, in pound/ton</v>
      </c>
      <c r="DA6" s="7" t="str">
        <f t="shared" si="1"/>
        <v>Shiraz, Exports, in pound/ton</v>
      </c>
      <c r="DB6" s="7" t="str">
        <f t="shared" si="1"/>
        <v>Shiraz, Bazaar (Local), in pound/ton</v>
      </c>
      <c r="DC6" s="7" t="str">
        <f t="shared" si="1"/>
        <v>India, Imports, in pound/ton</v>
      </c>
      <c r="DD6" s="7" t="str">
        <f t="shared" si="1"/>
        <v>India, Exports, in pound/ton</v>
      </c>
      <c r="DE6" s="7" t="str">
        <f t="shared" si="1"/>
        <v>India, Bazaar (Local), in pound/ton</v>
      </c>
    </row>
    <row r="7" spans="1:109" x14ac:dyDescent="0.25">
      <c r="A7" s="8">
        <v>1840</v>
      </c>
      <c r="C7" s="17"/>
      <c r="D7" s="17"/>
      <c r="E7" s="1">
        <f>(1/240*2240)*1.34611852384894</f>
        <v>12.563772889256773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</row>
    <row r="8" spans="1:109" x14ac:dyDescent="0.25">
      <c r="A8" s="8">
        <f t="shared" ref="A8:A39" si="2">A7+1</f>
        <v>1841</v>
      </c>
      <c r="C8" s="17"/>
      <c r="D8" s="17"/>
      <c r="E8" s="1">
        <f>(1/240*2240)*1.28824800787039</f>
        <v>12.023648073456974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</row>
    <row r="9" spans="1:109" x14ac:dyDescent="0.25">
      <c r="A9" s="8">
        <f t="shared" si="2"/>
        <v>1842</v>
      </c>
      <c r="C9" s="17"/>
      <c r="D9" s="17"/>
      <c r="E9" s="1">
        <f>(1/240*2240)*1.44676289946382</f>
        <v>13.503120394995653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</row>
    <row r="10" spans="1:109" x14ac:dyDescent="0.25">
      <c r="A10" s="8">
        <f t="shared" si="2"/>
        <v>1843</v>
      </c>
      <c r="C10" s="17"/>
      <c r="D10" s="17"/>
      <c r="E10" s="1">
        <f>(1/240*2240)*1.12470089749622</f>
        <v>10.497208376631388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</row>
    <row r="11" spans="1:109" x14ac:dyDescent="0.25">
      <c r="A11" s="8">
        <f t="shared" si="2"/>
        <v>1844</v>
      </c>
      <c r="C11" s="17"/>
      <c r="D11" s="17"/>
      <c r="E11" s="1">
        <f>(1/240*2240)*1.18257141347477</f>
        <v>11.037333192431188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</row>
    <row r="12" spans="1:109" x14ac:dyDescent="0.25">
      <c r="A12" s="8">
        <f t="shared" si="2"/>
        <v>1845</v>
      </c>
      <c r="C12" s="17"/>
      <c r="D12" s="17"/>
      <c r="E12" s="1">
        <f>(1/240*2240)*1.13728144444808</f>
        <v>10.614626814848748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</row>
    <row r="13" spans="1:109" x14ac:dyDescent="0.25">
      <c r="A13" s="8">
        <f t="shared" si="2"/>
        <v>1846</v>
      </c>
      <c r="C13" s="17"/>
      <c r="D13" s="17"/>
      <c r="E13" s="1">
        <f>(1/240*2240)*1.28069967969927</f>
        <v>11.953197010526521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</row>
    <row r="14" spans="1:109" x14ac:dyDescent="0.25">
      <c r="A14" s="8">
        <f t="shared" si="2"/>
        <v>1847</v>
      </c>
      <c r="C14" s="17"/>
      <c r="D14" s="17"/>
      <c r="E14" s="1">
        <f>(1/240*2240)*1.49960119666163</f>
        <v>13.996277835508549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7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</row>
    <row r="15" spans="1:109" x14ac:dyDescent="0.25">
      <c r="A15" s="8">
        <f t="shared" si="2"/>
        <v>1848</v>
      </c>
      <c r="C15" s="17"/>
      <c r="D15" s="17"/>
      <c r="E15" s="1">
        <f>(1/240*2240)*1.56502004081129</f>
        <v>14.606853714238708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7"/>
      <c r="S15" s="1"/>
      <c r="T15" s="1"/>
      <c r="U15" s="1"/>
      <c r="V15" s="1"/>
      <c r="W15" s="1"/>
      <c r="X15" s="1"/>
      <c r="Y15" s="1"/>
      <c r="Z15" s="1"/>
      <c r="AA15" s="1"/>
      <c r="AB15" s="17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</row>
    <row r="16" spans="1:109" x14ac:dyDescent="0.25">
      <c r="A16" s="8">
        <f t="shared" si="2"/>
        <v>1849</v>
      </c>
      <c r="C16" s="17"/>
      <c r="D16" s="17"/>
      <c r="E16" s="1">
        <f>(1/240*2240)*1.34611852384894</f>
        <v>12.563772889256773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7"/>
      <c r="S16" s="1"/>
      <c r="T16" s="1"/>
      <c r="U16" s="1"/>
      <c r="V16" s="17"/>
      <c r="W16" s="1"/>
      <c r="X16" s="1"/>
      <c r="Y16" s="1"/>
      <c r="Z16" s="1"/>
      <c r="AA16" s="1"/>
      <c r="AB16" s="17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</row>
    <row r="17" spans="1:103" x14ac:dyDescent="0.25">
      <c r="A17" s="8">
        <f t="shared" si="2"/>
        <v>1850</v>
      </c>
      <c r="C17" s="17"/>
      <c r="D17" s="17"/>
      <c r="E17" s="1">
        <f>(1/240*2240)*1.28824800787039</f>
        <v>12.023648073456974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7"/>
      <c r="S17" s="1"/>
      <c r="T17" s="1"/>
      <c r="U17" s="1"/>
      <c r="V17" s="17"/>
      <c r="W17" s="1"/>
      <c r="X17" s="1"/>
      <c r="Y17" s="1"/>
      <c r="Z17" s="1"/>
      <c r="AA17" s="1"/>
      <c r="AB17" s="17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</row>
    <row r="18" spans="1:103" x14ac:dyDescent="0.25">
      <c r="A18" s="8">
        <f t="shared" si="2"/>
        <v>1851</v>
      </c>
      <c r="C18" s="17"/>
      <c r="D18" s="17"/>
      <c r="E18" s="1">
        <f>(1/240*2240)*1.20270028859775</f>
        <v>11.225202693579002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7"/>
      <c r="S18" s="1"/>
      <c r="T18" s="1"/>
      <c r="U18" s="1"/>
      <c r="V18" s="17"/>
      <c r="W18" s="1"/>
      <c r="X18" s="1"/>
      <c r="Y18" s="1"/>
      <c r="Z18" s="1"/>
      <c r="AA18" s="1"/>
      <c r="AB18" s="17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</row>
    <row r="19" spans="1:103" x14ac:dyDescent="0.25">
      <c r="A19" s="8">
        <f t="shared" si="2"/>
        <v>1852</v>
      </c>
      <c r="C19" s="17"/>
      <c r="D19" s="17"/>
      <c r="E19" s="1">
        <f>(1/240*2240)*1.06683038151767</f>
        <v>9.9570835608315882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7"/>
      <c r="S19" s="1"/>
      <c r="T19" s="1"/>
      <c r="U19" s="1"/>
      <c r="V19" s="17"/>
      <c r="W19" s="1"/>
      <c r="X19" s="1"/>
      <c r="Y19" s="1"/>
      <c r="Z19" s="1"/>
      <c r="AA19" s="1"/>
      <c r="AB19" s="17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</row>
    <row r="20" spans="1:103" x14ac:dyDescent="0.25">
      <c r="A20" s="8">
        <f t="shared" si="2"/>
        <v>1853</v>
      </c>
      <c r="C20" s="17"/>
      <c r="D20" s="17"/>
      <c r="E20" s="1">
        <f>(1/240*2240)*1.27315135152816</f>
        <v>11.882745947596161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7"/>
      <c r="S20" s="1"/>
      <c r="T20" s="1"/>
      <c r="U20" s="1"/>
      <c r="V20" s="17"/>
      <c r="W20" s="1"/>
      <c r="X20" s="1"/>
      <c r="Y20" s="1"/>
      <c r="Z20" s="1"/>
      <c r="AA20" s="1"/>
      <c r="AB20" s="17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3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</row>
    <row r="21" spans="1:103" x14ac:dyDescent="0.25">
      <c r="A21" s="8">
        <f t="shared" si="2"/>
        <v>1854</v>
      </c>
      <c r="C21" s="17">
        <f>(1/240*2240)*2.33328057570586</f>
        <v>21.777285373254696</v>
      </c>
      <c r="D21" s="17"/>
      <c r="E21" s="1">
        <f>(1/240*2240)*1.73359936996621</f>
        <v>16.180260786351294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7"/>
      <c r="S21" s="1"/>
      <c r="T21" s="1"/>
      <c r="U21" s="1"/>
      <c r="V21" s="17"/>
      <c r="W21" s="10"/>
      <c r="X21" s="1"/>
      <c r="Y21" s="1"/>
      <c r="Z21" s="1"/>
      <c r="AA21" s="1"/>
      <c r="AB21" s="17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6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</row>
    <row r="22" spans="1:103" x14ac:dyDescent="0.25">
      <c r="A22" s="8">
        <f t="shared" si="2"/>
        <v>1855</v>
      </c>
      <c r="C22" s="17">
        <f>(1/240*2240)*2.59285147125548</f>
        <v>24.199947065051148</v>
      </c>
      <c r="D22" s="17"/>
      <c r="E22" s="1">
        <f>(1/240*2240)*2.27607255453038</f>
        <v>21.243343842283547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7"/>
      <c r="S22" s="1"/>
      <c r="T22" s="1"/>
      <c r="U22" s="1"/>
      <c r="V22" s="17"/>
      <c r="W22" s="1"/>
      <c r="X22" s="1"/>
      <c r="Y22" s="1"/>
      <c r="Z22" s="1"/>
      <c r="AA22" s="1"/>
      <c r="AB22" s="17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6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</row>
    <row r="23" spans="1:103" x14ac:dyDescent="0.25">
      <c r="A23" s="8">
        <f t="shared" si="2"/>
        <v>1856</v>
      </c>
      <c r="C23" s="17">
        <f>(1/240*2240)*2.20094923841429</f>
        <v>20.542192891866708</v>
      </c>
      <c r="D23" s="17"/>
      <c r="E23" s="1">
        <f>(1/240*2240)*2.09843523157013</f>
        <v>19.585395494654549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7"/>
      <c r="S23" s="1"/>
      <c r="T23" s="1"/>
      <c r="U23" s="1"/>
      <c r="V23" s="17"/>
      <c r="W23" s="1"/>
      <c r="X23" s="1"/>
      <c r="Y23" s="1"/>
      <c r="Z23" s="1"/>
      <c r="AA23" s="1"/>
      <c r="AB23" s="17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6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</row>
    <row r="24" spans="1:103" x14ac:dyDescent="0.25">
      <c r="A24" s="8">
        <f t="shared" si="2"/>
        <v>1857</v>
      </c>
      <c r="C24" s="17">
        <f>(1/240*2240)*1.93180694267397</f>
        <v>18.03019813162372</v>
      </c>
      <c r="D24" s="17"/>
      <c r="E24" s="1">
        <f>(1/240*2240)*1.75448307790629</f>
        <v>16.375175393792041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7"/>
      <c r="S24" s="1"/>
      <c r="T24" s="1"/>
      <c r="U24" s="1"/>
      <c r="V24" s="17"/>
      <c r="W24" s="1"/>
      <c r="X24" s="1"/>
      <c r="Y24" s="1"/>
      <c r="Z24" s="1"/>
      <c r="AA24" s="1"/>
      <c r="AB24" s="17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6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</row>
    <row r="25" spans="1:103" x14ac:dyDescent="0.25">
      <c r="A25" s="8">
        <f t="shared" si="2"/>
        <v>1858</v>
      </c>
      <c r="C25" s="17">
        <f>(1/240*2240)*1.77248682051039</f>
        <v>16.543210324763642</v>
      </c>
      <c r="D25" s="17"/>
      <c r="E25" s="1">
        <f>(1/240*2240)*1.13325566942348</f>
        <v>10.577052914619149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7"/>
      <c r="S25" s="1"/>
      <c r="T25" s="1"/>
      <c r="U25" s="3"/>
      <c r="V25" s="17"/>
      <c r="W25" s="1"/>
      <c r="X25" s="1"/>
      <c r="Y25" s="1"/>
      <c r="Z25" s="1"/>
      <c r="AA25" s="1"/>
      <c r="AB25" s="17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6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</row>
    <row r="26" spans="1:103" x14ac:dyDescent="0.25">
      <c r="A26" s="8">
        <f t="shared" si="2"/>
        <v>1859</v>
      </c>
      <c r="C26" s="17">
        <f>(1/240*2240)*1.54021856903698</f>
        <v>14.375373311011815</v>
      </c>
      <c r="D26" s="17"/>
      <c r="E26" s="1">
        <f>(1/240*2240)*1.4933109231857</f>
        <v>13.937568616399867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7"/>
      <c r="S26" s="1"/>
      <c r="T26" s="1"/>
      <c r="V26" s="17"/>
      <c r="W26" s="1"/>
      <c r="X26" s="1"/>
      <c r="Y26" s="1"/>
      <c r="Z26" s="1"/>
      <c r="AA26" s="1"/>
      <c r="AB26" s="17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6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</row>
    <row r="27" spans="1:103" x14ac:dyDescent="0.25">
      <c r="A27" s="8">
        <f t="shared" si="2"/>
        <v>1860</v>
      </c>
      <c r="C27" s="17">
        <f>(1/240*2240)*1.82027882620661</f>
        <v>16.98926904459503</v>
      </c>
      <c r="D27" s="17"/>
      <c r="E27" s="1">
        <f>(1/240*2240)*1.48827870440495</f>
        <v>13.890601241112867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7"/>
      <c r="S27" s="1"/>
      <c r="T27" s="1"/>
      <c r="V27" s="17"/>
      <c r="W27" s="1"/>
      <c r="X27" s="1"/>
      <c r="Y27" s="1"/>
      <c r="Z27" s="1"/>
      <c r="AA27" s="1"/>
      <c r="AB27" s="17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6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</row>
    <row r="28" spans="1:103" x14ac:dyDescent="0.25">
      <c r="A28" s="8">
        <f t="shared" si="2"/>
        <v>1861</v>
      </c>
      <c r="C28" s="17">
        <f>(1/240*2240)*1.72239494136204</f>
        <v>16.075686119379043</v>
      </c>
      <c r="D28" s="17"/>
      <c r="E28" s="1">
        <f>(1/240*2240)*1.43443396345099</f>
        <v>13.388050325542574</v>
      </c>
      <c r="F28" s="1"/>
      <c r="G28" s="1"/>
      <c r="H28" s="17"/>
      <c r="I28" s="1"/>
      <c r="J28" s="1"/>
      <c r="K28" s="1">
        <f>2240*0.00763888888888888</f>
        <v>17.111111111111089</v>
      </c>
      <c r="L28" s="1"/>
      <c r="M28" s="1"/>
      <c r="N28" s="1"/>
      <c r="O28" s="1"/>
      <c r="P28" s="1"/>
      <c r="Q28" s="1"/>
      <c r="R28" s="17"/>
      <c r="S28" s="1"/>
      <c r="T28" s="1"/>
      <c r="V28" s="17"/>
      <c r="W28" s="1"/>
      <c r="X28" s="1"/>
      <c r="Y28" s="1"/>
      <c r="Z28" s="1"/>
      <c r="AA28" s="1"/>
      <c r="AB28" s="17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6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</row>
    <row r="29" spans="1:103" x14ac:dyDescent="0.25">
      <c r="A29" s="8">
        <f t="shared" si="2"/>
        <v>1862</v>
      </c>
      <c r="C29" s="17">
        <f>(1/240*2240)*1.6017164471504</f>
        <v>14.949353506737067</v>
      </c>
      <c r="D29" s="17"/>
      <c r="E29" s="1">
        <f>(1/240*2240)*1.25250282097946</f>
        <v>11.690026329141627</v>
      </c>
      <c r="F29" s="1"/>
      <c r="G29" s="1"/>
      <c r="H29" s="17"/>
      <c r="I29" s="1"/>
      <c r="J29" s="1"/>
      <c r="K29" s="1">
        <f>2240*0.00625</f>
        <v>14</v>
      </c>
      <c r="L29" s="1"/>
      <c r="M29" s="1"/>
      <c r="N29" s="1"/>
      <c r="O29" s="1"/>
      <c r="P29" s="1"/>
      <c r="Q29" s="1"/>
      <c r="R29" s="17"/>
      <c r="S29" s="1"/>
      <c r="T29" s="1"/>
      <c r="U29" s="1"/>
      <c r="V29" s="17"/>
      <c r="W29" s="1"/>
      <c r="X29" s="1"/>
      <c r="Y29" s="1"/>
      <c r="Z29" s="1"/>
      <c r="AA29" s="1"/>
      <c r="AB29" s="17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6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</row>
    <row r="30" spans="1:103" x14ac:dyDescent="0.25">
      <c r="A30" s="8">
        <f t="shared" si="2"/>
        <v>1863</v>
      </c>
      <c r="C30" s="17">
        <f>(1/240*2240)*1.44647846831723</f>
        <v>13.500465704294148</v>
      </c>
      <c r="D30" s="17"/>
      <c r="E30" s="1">
        <f>(1/240*2240)*1.1195993644072</f>
        <v>10.449594067800534</v>
      </c>
      <c r="F30" s="1"/>
      <c r="G30" s="1"/>
      <c r="H30" s="17"/>
      <c r="I30" s="1"/>
      <c r="J30" s="1"/>
      <c r="K30" s="1">
        <f>2240*0.00555555555555555</f>
        <v>12.444444444444432</v>
      </c>
      <c r="L30" s="1"/>
      <c r="M30" s="1"/>
      <c r="N30" s="1"/>
      <c r="O30" s="1"/>
      <c r="P30" s="1"/>
      <c r="Q30" s="1"/>
      <c r="R30" s="17"/>
      <c r="S30" s="1"/>
      <c r="T30" s="1"/>
      <c r="U30" s="1"/>
      <c r="V30" s="17"/>
      <c r="W30" s="1"/>
      <c r="X30" s="1"/>
      <c r="Y30" s="1"/>
      <c r="Z30" s="1"/>
      <c r="AA30" s="1"/>
      <c r="AB30" s="17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6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</row>
    <row r="31" spans="1:103" x14ac:dyDescent="0.25">
      <c r="A31" s="8">
        <f t="shared" si="2"/>
        <v>1864</v>
      </c>
      <c r="C31" s="17">
        <f>(1/240*2240)*1.34496323567705</f>
        <v>12.552990199652468</v>
      </c>
      <c r="D31" s="17"/>
      <c r="E31" s="1">
        <f>(1/240*2240)*0.89022994810353</f>
        <v>8.30881284896628</v>
      </c>
      <c r="G31" s="1"/>
      <c r="H31" s="17"/>
      <c r="I31" s="1"/>
      <c r="J31" s="1"/>
      <c r="K31" s="1">
        <f>2240*0.00520833333333333</f>
        <v>11.666666666666659</v>
      </c>
      <c r="L31" s="1"/>
      <c r="M31" s="1"/>
      <c r="N31" s="1"/>
      <c r="O31" s="1"/>
      <c r="P31" s="1"/>
      <c r="Q31" s="1"/>
      <c r="R31" s="17"/>
      <c r="S31" s="1"/>
      <c r="U31" s="1"/>
      <c r="V31" s="19"/>
      <c r="W31" s="1"/>
      <c r="X31" s="1"/>
      <c r="Y31" s="1"/>
      <c r="Z31" s="1"/>
      <c r="AA31" s="1"/>
      <c r="AB31" s="17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3"/>
      <c r="AY31" s="3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</row>
    <row r="32" spans="1:103" x14ac:dyDescent="0.25">
      <c r="A32" s="8">
        <f t="shared" si="2"/>
        <v>1865</v>
      </c>
      <c r="C32" s="17">
        <f>(1/240*2240)*1.44</f>
        <v>13.44</v>
      </c>
      <c r="D32" s="17"/>
      <c r="E32" s="1">
        <f>(1/240*2240)*1.66546287174519</f>
        <v>15.544320136288441</v>
      </c>
      <c r="F32" s="18"/>
      <c r="G32" s="17"/>
      <c r="H32" s="17"/>
      <c r="I32" s="1"/>
      <c r="J32" s="1"/>
      <c r="K32" s="1">
        <f>2240*0.00555555555555555</f>
        <v>12.444444444444432</v>
      </c>
      <c r="L32" s="1"/>
      <c r="M32" s="1"/>
      <c r="N32" s="1"/>
      <c r="O32" s="1"/>
      <c r="P32" s="1"/>
      <c r="Q32" s="1"/>
      <c r="R32" s="17"/>
      <c r="S32" s="1"/>
      <c r="U32" s="1"/>
      <c r="V32" s="17"/>
      <c r="W32" s="1"/>
      <c r="X32" s="1"/>
      <c r="Y32" s="1"/>
      <c r="Z32" s="1"/>
      <c r="AA32" s="1"/>
      <c r="AB32" s="17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1"/>
      <c r="AT32" s="1"/>
      <c r="AU32" s="1"/>
      <c r="AV32" s="1"/>
      <c r="AW32" s="1"/>
      <c r="AX32" s="3"/>
      <c r="AY32" s="3">
        <v>5.7517564402810306</v>
      </c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</row>
    <row r="33" spans="1:103" x14ac:dyDescent="0.25">
      <c r="A33" s="8">
        <f t="shared" si="2"/>
        <v>1866</v>
      </c>
      <c r="C33" s="17">
        <f>(1/240*2240)*1.63607142857143</f>
        <v>15.270000000000014</v>
      </c>
      <c r="D33" s="17"/>
      <c r="E33" s="1">
        <f>(1/240*2240)*1.50484413290728</f>
        <v>14.045211907134613</v>
      </c>
      <c r="F33" s="17"/>
      <c r="G33" s="17"/>
      <c r="H33" s="17"/>
      <c r="I33" s="1"/>
      <c r="J33" s="1"/>
      <c r="K33" s="3">
        <f>2240*0.00625</f>
        <v>14</v>
      </c>
      <c r="L33" s="1"/>
      <c r="M33" s="1"/>
      <c r="N33" s="1"/>
      <c r="O33" s="1"/>
      <c r="P33" s="1"/>
      <c r="Q33" s="1"/>
      <c r="R33" s="17"/>
      <c r="S33" s="1"/>
      <c r="V33" s="17"/>
      <c r="W33" s="1"/>
      <c r="X33" s="1"/>
      <c r="Y33" s="1"/>
      <c r="Z33" s="1"/>
      <c r="AA33" s="1"/>
      <c r="AB33" s="17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3"/>
      <c r="AY33" s="3">
        <v>6.0210889570552144</v>
      </c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</row>
    <row r="34" spans="1:103" x14ac:dyDescent="0.25">
      <c r="A34" s="8">
        <f t="shared" si="2"/>
        <v>1867</v>
      </c>
      <c r="C34" s="17">
        <f>(1/240*2240)*2.09892857142857</f>
        <v>19.589999999999989</v>
      </c>
      <c r="D34" s="17"/>
      <c r="E34" s="1">
        <f>(1/240*2240)*1.61107467405214</f>
        <v>15.036696957819974</v>
      </c>
      <c r="F34" s="17"/>
      <c r="G34" s="17"/>
      <c r="H34" s="17"/>
      <c r="I34" s="1"/>
      <c r="J34" s="1"/>
      <c r="K34" s="3"/>
      <c r="L34" s="1"/>
      <c r="M34" s="1"/>
      <c r="N34" s="1"/>
      <c r="O34" s="1"/>
      <c r="P34" s="1"/>
      <c r="Q34" s="1"/>
      <c r="R34" s="17"/>
      <c r="S34" s="1"/>
      <c r="V34" s="17"/>
      <c r="W34" s="1"/>
      <c r="X34" s="1"/>
      <c r="Y34" s="1"/>
      <c r="Z34" s="1"/>
      <c r="AA34" s="1"/>
      <c r="AB34" s="17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4"/>
      <c r="AY34" s="3">
        <v>5.2576956904133683</v>
      </c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</row>
    <row r="35" spans="1:103" x14ac:dyDescent="0.25">
      <c r="A35" s="8">
        <f t="shared" si="2"/>
        <v>1868</v>
      </c>
      <c r="C35" s="17">
        <f>(1/240*2240)*1.96178571428571</f>
        <v>18.30999999999996</v>
      </c>
      <c r="D35" s="17"/>
      <c r="E35" s="1">
        <f>(1/240*2240)*1.81350790634604</f>
        <v>16.926073792563042</v>
      </c>
      <c r="F35" s="17"/>
      <c r="G35" s="17"/>
      <c r="H35" s="17"/>
      <c r="I35" s="1"/>
      <c r="J35" s="1"/>
      <c r="K35" s="3">
        <f>2240*0.00625</f>
        <v>14</v>
      </c>
      <c r="L35" s="1"/>
      <c r="M35" s="1"/>
      <c r="N35" s="1"/>
      <c r="O35" s="1"/>
      <c r="P35" s="1"/>
      <c r="Q35" s="1"/>
      <c r="R35" s="17"/>
      <c r="S35" s="1"/>
      <c r="V35" s="17"/>
      <c r="W35" s="1"/>
      <c r="X35" s="1"/>
      <c r="Y35" s="1"/>
      <c r="Z35" s="1"/>
      <c r="AA35" s="1"/>
      <c r="AB35" s="17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3"/>
      <c r="AY35" s="3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</row>
    <row r="36" spans="1:103" x14ac:dyDescent="0.25">
      <c r="A36" s="8">
        <f t="shared" si="2"/>
        <v>1869</v>
      </c>
      <c r="C36" s="17">
        <f>(1/240*2240)*1.50428571428571</f>
        <v>14.039999999999962</v>
      </c>
      <c r="D36" s="17"/>
      <c r="E36" s="1">
        <f>(1/240*2240)*1.46021172122406</f>
        <v>13.628642731424561</v>
      </c>
      <c r="F36" s="17"/>
      <c r="G36" s="17"/>
      <c r="H36" s="17"/>
      <c r="I36" s="1"/>
      <c r="J36" s="1"/>
      <c r="K36" s="1">
        <f>2240*0.00833333333333333</f>
        <v>18.666666666666657</v>
      </c>
      <c r="L36" s="1"/>
      <c r="M36" s="1"/>
      <c r="N36" s="1"/>
      <c r="O36" s="1"/>
      <c r="P36" s="1"/>
      <c r="Q36" s="1"/>
      <c r="R36" s="17"/>
      <c r="S36" s="1"/>
      <c r="V36" s="17"/>
      <c r="W36" s="1"/>
      <c r="X36" s="1"/>
      <c r="Y36" s="1"/>
      <c r="Z36" s="1"/>
      <c r="AA36" s="1"/>
      <c r="AB36" s="17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3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</row>
    <row r="37" spans="1:103" x14ac:dyDescent="0.25">
      <c r="A37" s="8">
        <f t="shared" si="2"/>
        <v>1870</v>
      </c>
      <c r="C37" s="17">
        <f>(1/240*2240)*1.50964285714286</f>
        <v>14.090000000000027</v>
      </c>
      <c r="D37" s="17"/>
      <c r="E37" s="1">
        <f>(1/240*2240)*1.33842128755029</f>
        <v>12.491932017136042</v>
      </c>
      <c r="F37" s="17"/>
      <c r="G37" s="17"/>
      <c r="H37" s="17"/>
      <c r="I37" s="1"/>
      <c r="J37" s="1"/>
      <c r="K37" s="1"/>
      <c r="L37" s="1"/>
      <c r="M37" s="1"/>
      <c r="N37" s="1"/>
      <c r="O37" s="1"/>
      <c r="P37" s="1"/>
      <c r="Q37" s="1"/>
      <c r="R37" s="17"/>
      <c r="S37" s="1"/>
      <c r="T37" s="1"/>
      <c r="V37" s="17"/>
      <c r="W37" s="1"/>
      <c r="X37" s="1"/>
      <c r="Y37" s="1"/>
      <c r="Z37" s="1"/>
      <c r="AA37" s="1"/>
      <c r="AB37" s="17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4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</row>
    <row r="38" spans="1:103" x14ac:dyDescent="0.25">
      <c r="A38" s="8">
        <f t="shared" si="2"/>
        <v>1871</v>
      </c>
      <c r="C38" s="17">
        <f>(1/240*2240)*1.88464285714286</f>
        <v>17.590000000000028</v>
      </c>
      <c r="D38" s="17"/>
      <c r="E38" s="1">
        <f>(1/240*2240)*1.48533798747646</f>
        <v>13.863154549780294</v>
      </c>
      <c r="F38" s="17"/>
      <c r="G38" s="17"/>
      <c r="H38" s="17"/>
      <c r="I38" s="1"/>
      <c r="J38" s="1"/>
      <c r="L38" s="1"/>
      <c r="M38" s="1"/>
      <c r="N38" s="1"/>
      <c r="O38" s="1"/>
      <c r="P38" s="1"/>
      <c r="Q38" s="1"/>
      <c r="R38" s="17"/>
      <c r="S38" s="1"/>
      <c r="T38" s="1"/>
      <c r="V38" s="17"/>
      <c r="W38" s="1"/>
      <c r="X38" s="1"/>
      <c r="Y38" s="1"/>
      <c r="Z38" s="1"/>
      <c r="AA38" s="1"/>
      <c r="AB38" s="17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3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</row>
    <row r="39" spans="1:103" x14ac:dyDescent="0.25">
      <c r="A39" s="8">
        <f t="shared" si="2"/>
        <v>1872</v>
      </c>
      <c r="C39" s="17">
        <f>(1/240*2240)*1.99607142857143</f>
        <v>18.630000000000013</v>
      </c>
      <c r="D39" s="17"/>
      <c r="E39" s="1">
        <f>(1/240*2240)*1.59137203346562</f>
        <v>14.852805645679121</v>
      </c>
      <c r="F39" s="17"/>
      <c r="G39" s="17"/>
      <c r="H39" s="17"/>
      <c r="I39" s="1"/>
      <c r="J39" s="1"/>
      <c r="K39" s="1"/>
      <c r="L39" s="1"/>
      <c r="M39" s="1"/>
      <c r="N39" s="1"/>
      <c r="O39" s="1"/>
      <c r="P39" s="1"/>
      <c r="Q39" s="1"/>
      <c r="R39" s="17"/>
      <c r="T39" s="1"/>
      <c r="V39" s="17"/>
      <c r="W39" s="1"/>
      <c r="X39" s="1"/>
      <c r="Y39" s="1"/>
      <c r="Z39" s="1"/>
      <c r="AA39" s="1"/>
      <c r="AB39" s="17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3"/>
      <c r="AZ39" s="23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</row>
    <row r="40" spans="1:103" x14ac:dyDescent="0.25">
      <c r="A40" s="8">
        <f t="shared" ref="A40:A71" si="3">A39+1</f>
        <v>1873</v>
      </c>
      <c r="C40" s="17">
        <f>(1/240*2240)*2.0175</f>
        <v>18.830000000000002</v>
      </c>
      <c r="D40" s="17"/>
      <c r="E40" s="1">
        <f>(1/240*2240)*1.65934982203346</f>
        <v>15.487265005645627</v>
      </c>
      <c r="F40" s="17"/>
      <c r="G40" s="17"/>
      <c r="H40" s="17"/>
      <c r="I40" s="3"/>
      <c r="J40" s="1"/>
      <c r="K40" s="1">
        <f>2240*0.00833333333333333</f>
        <v>18.666666666666657</v>
      </c>
      <c r="L40" s="1"/>
      <c r="M40" s="1"/>
      <c r="N40" s="1"/>
      <c r="O40" s="1"/>
      <c r="P40" s="1"/>
      <c r="Q40" s="1"/>
      <c r="R40" s="17"/>
      <c r="T40" s="1"/>
      <c r="U40" s="1"/>
      <c r="V40" s="17"/>
      <c r="W40" s="1"/>
      <c r="X40" s="1"/>
      <c r="Y40" s="1"/>
      <c r="Z40" s="1"/>
      <c r="AA40" s="1"/>
      <c r="AB40" s="17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4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W40" s="1">
        <f>2240*0.00261538461538462</f>
        <v>5.8584615384615493</v>
      </c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</row>
    <row r="41" spans="1:103" x14ac:dyDescent="0.25">
      <c r="A41" s="8">
        <f t="shared" si="3"/>
        <v>1874</v>
      </c>
      <c r="C41" s="17">
        <f>(1/240*2240)*1.95321428571429</f>
        <v>18.23000000000004</v>
      </c>
      <c r="D41" s="17"/>
      <c r="E41" s="1">
        <f>(1/240*2240)*1.60967645711379</f>
        <v>15.023646933062041</v>
      </c>
      <c r="F41" s="17"/>
      <c r="G41" s="17"/>
      <c r="H41" s="17"/>
      <c r="J41" s="1"/>
      <c r="K41" s="1"/>
      <c r="L41" s="1"/>
      <c r="M41" s="1"/>
      <c r="N41" s="1"/>
      <c r="O41" s="1"/>
      <c r="P41" s="1"/>
      <c r="Q41" s="1"/>
      <c r="R41" s="17"/>
      <c r="T41" s="1"/>
      <c r="U41" s="1"/>
      <c r="V41" s="17"/>
      <c r="W41" s="1"/>
      <c r="X41" s="1"/>
      <c r="Y41" s="1"/>
      <c r="Z41" s="1"/>
      <c r="AA41" s="1"/>
      <c r="AB41" s="17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3"/>
      <c r="AZ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W41" s="1">
        <f>2240*0.00261651676206051</f>
        <v>5.8609975470155424</v>
      </c>
      <c r="BX41" s="1">
        <f>2240*0.0125490196078431</f>
        <v>28.109803921568545</v>
      </c>
      <c r="BY41" s="3"/>
      <c r="BZ41" s="3"/>
      <c r="CA41" s="3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Q41" s="1"/>
      <c r="CR41" s="1"/>
      <c r="CS41" s="20"/>
      <c r="CT41" s="1"/>
      <c r="CU41" s="1"/>
      <c r="CV41" s="1"/>
      <c r="CW41" s="1"/>
      <c r="CX41" s="1"/>
      <c r="CY41" s="1"/>
    </row>
    <row r="42" spans="1:103" x14ac:dyDescent="0.25">
      <c r="A42" s="8">
        <f t="shared" si="3"/>
        <v>1875</v>
      </c>
      <c r="C42" s="17">
        <f>(1/240*2240)*1.70035714285714</f>
        <v>15.869999999999974</v>
      </c>
      <c r="D42" s="17"/>
      <c r="E42" s="1">
        <f>(1/240*2240)*1.24776251578232</f>
        <v>11.645783480634988</v>
      </c>
      <c r="F42" s="17"/>
      <c r="G42" s="17"/>
      <c r="H42" s="17"/>
      <c r="J42" s="1"/>
      <c r="L42" s="1"/>
      <c r="M42" s="1"/>
      <c r="N42" s="1"/>
      <c r="O42" s="1"/>
      <c r="P42" s="1"/>
      <c r="Q42" s="1"/>
      <c r="R42" s="17"/>
      <c r="S42" s="1"/>
      <c r="T42" s="1"/>
      <c r="U42" s="1"/>
      <c r="V42" s="17"/>
      <c r="W42" s="1"/>
      <c r="X42" s="1"/>
      <c r="Y42" s="1"/>
      <c r="Z42" s="1"/>
      <c r="AA42" s="1"/>
      <c r="AB42" s="17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3"/>
      <c r="AZ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W42" s="1">
        <f>2240*0.00301960784313725</f>
        <v>6.7639215686274392</v>
      </c>
      <c r="BX42" s="1"/>
      <c r="BY42" s="1"/>
      <c r="BZ42" s="1"/>
      <c r="CA42" s="1"/>
      <c r="CB42" s="1"/>
      <c r="CC42" s="1"/>
      <c r="CD42" s="3"/>
      <c r="CE42" s="1"/>
      <c r="CF42" s="1"/>
      <c r="CG42" s="1">
        <f>2240*0.00357142857142857</f>
        <v>7.9999999999999964</v>
      </c>
      <c r="CH42" s="1"/>
      <c r="CI42" s="1"/>
      <c r="CJ42" s="1"/>
      <c r="CK42" s="1"/>
      <c r="CL42" s="1"/>
      <c r="CM42" s="1"/>
      <c r="CN42" s="1"/>
      <c r="CO42" s="1"/>
      <c r="CQ42" s="1"/>
      <c r="CR42" s="1"/>
      <c r="CS42" s="1"/>
      <c r="CT42" s="1"/>
      <c r="CU42" s="1"/>
      <c r="CV42" s="1"/>
      <c r="CW42" s="1"/>
      <c r="CX42" s="1"/>
      <c r="CY42" s="1"/>
    </row>
    <row r="43" spans="1:103" x14ac:dyDescent="0.25">
      <c r="A43" s="8">
        <f t="shared" si="3"/>
        <v>1876</v>
      </c>
      <c r="C43" s="17">
        <f>(1/240*2240)*1.70464285714286</f>
        <v>15.910000000000029</v>
      </c>
      <c r="D43" s="17"/>
      <c r="E43" s="1">
        <f>(1/240*2240)*1.40270277762793</f>
        <v>13.091892591194014</v>
      </c>
      <c r="F43" s="17"/>
      <c r="G43" s="17"/>
      <c r="H43" s="17"/>
      <c r="J43" s="1"/>
      <c r="L43" s="1"/>
      <c r="M43" s="1"/>
      <c r="N43" s="1"/>
      <c r="O43" s="1"/>
      <c r="P43" s="1"/>
      <c r="Q43" s="1"/>
      <c r="R43" s="17"/>
      <c r="S43" s="1"/>
      <c r="T43" s="1"/>
      <c r="U43" s="1"/>
      <c r="V43" s="17"/>
      <c r="W43" s="1"/>
      <c r="X43" s="1"/>
      <c r="Y43" s="1"/>
      <c r="Z43" s="1"/>
      <c r="AA43" s="1"/>
      <c r="AB43" s="17"/>
      <c r="AC43" s="17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3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W43" s="1"/>
      <c r="BY43" s="1"/>
      <c r="BZ43" s="1"/>
      <c r="CA43" s="1"/>
      <c r="CB43" s="1"/>
      <c r="CC43" s="1"/>
      <c r="CD43" s="3"/>
      <c r="CE43" s="1"/>
      <c r="CF43" s="1"/>
      <c r="CG43" s="1">
        <f>2240*0.00223214285714286</f>
        <v>5.0000000000000062</v>
      </c>
      <c r="CH43" s="1"/>
      <c r="CI43" s="1"/>
      <c r="CJ43" s="1"/>
      <c r="CK43" s="1"/>
      <c r="CL43" s="1"/>
      <c r="CM43" s="1"/>
      <c r="CN43" s="1"/>
      <c r="CO43" s="1"/>
      <c r="CQ43" s="1"/>
      <c r="CR43" s="1"/>
      <c r="CS43" s="1"/>
      <c r="CT43" s="1"/>
      <c r="CU43" s="1"/>
      <c r="CV43" s="1"/>
      <c r="CW43" s="1"/>
      <c r="CX43" s="1"/>
      <c r="CY43" s="1"/>
    </row>
    <row r="44" spans="1:103" x14ac:dyDescent="0.25">
      <c r="A44" s="8">
        <f t="shared" si="3"/>
        <v>1877</v>
      </c>
      <c r="C44" s="17">
        <f>(1/240*2240)*1.97785714285714</f>
        <v>18.459999999999976</v>
      </c>
      <c r="D44" s="17"/>
      <c r="E44" s="1">
        <f>(1/240*2240)*1.5576829890012</f>
        <v>14.538374564011201</v>
      </c>
      <c r="F44" s="17"/>
      <c r="G44" s="17"/>
      <c r="H44" s="17"/>
      <c r="J44" s="1"/>
      <c r="L44" s="1"/>
      <c r="M44" s="1"/>
      <c r="N44" s="1"/>
      <c r="O44" s="1"/>
      <c r="P44" s="1"/>
      <c r="Q44" s="1"/>
      <c r="R44" s="17"/>
      <c r="S44" s="1"/>
      <c r="T44" s="1"/>
      <c r="U44" s="1"/>
      <c r="V44" s="17"/>
      <c r="W44" s="1"/>
      <c r="X44" s="1"/>
      <c r="Y44" s="1"/>
      <c r="Z44" s="1"/>
      <c r="AA44" s="1"/>
      <c r="AB44" s="17"/>
      <c r="AC44" s="17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>
        <f>(1/112*2240)*1.11190592846644</f>
        <v>22.238118569328801</v>
      </c>
      <c r="AY44" s="3"/>
      <c r="AZ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3"/>
      <c r="CO44" s="3"/>
      <c r="CP44" s="3"/>
      <c r="CQ44" s="1"/>
      <c r="CR44" s="1"/>
      <c r="CS44" s="1"/>
      <c r="CT44" s="1"/>
      <c r="CU44" s="1"/>
      <c r="CV44" s="1"/>
      <c r="CW44" s="1"/>
      <c r="CX44" s="1"/>
      <c r="CY44" s="1"/>
    </row>
    <row r="45" spans="1:103" x14ac:dyDescent="0.25">
      <c r="A45" s="8">
        <f t="shared" si="3"/>
        <v>1878</v>
      </c>
      <c r="C45" s="17">
        <f>(1/240*2240)*1.85678571428571</f>
        <v>17.329999999999963</v>
      </c>
      <c r="D45" s="17">
        <f>(1/240*2240)*2.5</f>
        <v>23.333333333333336</v>
      </c>
      <c r="E45" s="1">
        <f>(1/240*2240)*1.58704598253812</f>
        <v>14.812429170355788</v>
      </c>
      <c r="F45" s="1"/>
      <c r="G45" s="17"/>
      <c r="H45" s="17"/>
      <c r="J45" s="1"/>
      <c r="L45" s="1"/>
      <c r="M45" s="1"/>
      <c r="N45" s="1"/>
      <c r="O45" s="1"/>
      <c r="P45" s="1"/>
      <c r="Q45" s="1"/>
      <c r="R45" s="17"/>
      <c r="S45" s="1"/>
      <c r="T45" s="1"/>
      <c r="U45" s="1"/>
      <c r="V45" s="17"/>
      <c r="W45" s="1"/>
      <c r="X45" s="1"/>
      <c r="Y45" s="1"/>
      <c r="Z45" s="1"/>
      <c r="AA45" s="1"/>
      <c r="AB45" s="17"/>
      <c r="AC45" s="17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>
        <f>(1/112*2240)*1.05212044994061</f>
        <v>21.042408998812199</v>
      </c>
      <c r="AY45" s="3"/>
      <c r="AZ45" s="1"/>
      <c r="BA45" s="1">
        <v>26.56084656084656</v>
      </c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W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3"/>
      <c r="CO45" s="3"/>
      <c r="CP45" s="3"/>
      <c r="CQ45" s="1"/>
      <c r="CR45" s="1"/>
      <c r="CS45" s="1"/>
      <c r="CT45" s="1"/>
      <c r="CU45" s="1"/>
      <c r="CV45" s="1"/>
      <c r="CW45" s="1"/>
      <c r="CX45" s="1"/>
      <c r="CY45" s="1"/>
    </row>
    <row r="46" spans="1:103" x14ac:dyDescent="0.25">
      <c r="A46" s="8">
        <f t="shared" si="3"/>
        <v>1879</v>
      </c>
      <c r="C46" s="17">
        <f>(1/240*2240)*1.69821428571429</f>
        <v>15.850000000000041</v>
      </c>
      <c r="D46" s="17">
        <f>(1/240*2240)*1.85714285714286</f>
        <v>17.333333333333361</v>
      </c>
      <c r="E46" s="1">
        <f>(1/240*2240)*1.3214606518233</f>
        <v>12.333632750350802</v>
      </c>
      <c r="G46" s="17"/>
      <c r="H46" s="17"/>
      <c r="J46" s="1"/>
      <c r="L46" s="1"/>
      <c r="M46" s="1"/>
      <c r="N46" s="1"/>
      <c r="O46" s="1"/>
      <c r="P46" s="1"/>
      <c r="Q46" s="1"/>
      <c r="R46" s="17"/>
      <c r="S46" s="1">
        <f>2240*0.0068013468013468</f>
        <v>15.235016835016832</v>
      </c>
      <c r="T46" s="1"/>
      <c r="U46" s="1"/>
      <c r="V46" s="17"/>
      <c r="W46" s="1"/>
      <c r="X46" s="1"/>
      <c r="Y46" s="1"/>
      <c r="Z46" s="1"/>
      <c r="AA46" s="1"/>
      <c r="AB46" s="17"/>
      <c r="AC46" s="17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>
        <f>(1/112*2240)*1.23649956667467</f>
        <v>24.729991333493402</v>
      </c>
      <c r="AY46" s="3"/>
      <c r="AZ46" s="1"/>
      <c r="BA46" s="1">
        <v>21.448275862068968</v>
      </c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W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3"/>
      <c r="CO46" s="3"/>
      <c r="CP46" s="3"/>
      <c r="CQ46" s="1"/>
      <c r="CR46" s="1"/>
      <c r="CS46" s="1"/>
      <c r="CT46" s="1"/>
      <c r="CU46" s="1"/>
      <c r="CV46" s="1"/>
      <c r="CW46" s="1"/>
      <c r="CX46" s="1"/>
      <c r="CY46" s="1"/>
    </row>
    <row r="47" spans="1:103" x14ac:dyDescent="0.25">
      <c r="A47" s="8">
        <f t="shared" si="3"/>
        <v>1880</v>
      </c>
      <c r="C47" s="17">
        <f>(1/240*2240)*1.76678571428571</f>
        <v>16.489999999999959</v>
      </c>
      <c r="D47" s="17">
        <f>(1/240*2240)*2.35714285714286</f>
        <v>22.000000000000028</v>
      </c>
      <c r="E47" s="1">
        <f>(1/240*2240)*1.47896909966058</f>
        <v>13.80371159683208</v>
      </c>
      <c r="G47" s="17"/>
      <c r="H47" s="17"/>
      <c r="J47" s="1"/>
      <c r="L47" s="1"/>
      <c r="M47" s="1"/>
      <c r="N47" s="1"/>
      <c r="O47" s="1"/>
      <c r="P47" s="1"/>
      <c r="Q47" s="1"/>
      <c r="R47" s="17"/>
      <c r="S47" s="1"/>
      <c r="T47" s="1"/>
      <c r="U47" s="3"/>
      <c r="V47" s="17"/>
      <c r="W47" s="1"/>
      <c r="X47" s="1"/>
      <c r="Y47" s="1"/>
      <c r="Z47" s="1"/>
      <c r="AA47" s="1"/>
      <c r="AB47" s="17"/>
      <c r="AC47" s="17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>
        <f>(1/112*2240)*0.693267111381327</f>
        <v>13.86534222762654</v>
      </c>
      <c r="AY47" s="3"/>
      <c r="AZ47" s="1"/>
      <c r="BA47" s="21">
        <v>21.431372549019606</v>
      </c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Q47" s="1">
        <v>11.58154502512766</v>
      </c>
      <c r="CR47" s="1"/>
      <c r="CS47" s="1"/>
      <c r="CT47" s="1"/>
      <c r="CU47" s="1"/>
      <c r="CV47" s="1"/>
      <c r="CW47" s="1"/>
      <c r="CX47" s="1"/>
      <c r="CY47" s="1"/>
    </row>
    <row r="48" spans="1:103" x14ac:dyDescent="0.25">
      <c r="A48" s="8">
        <f t="shared" si="3"/>
        <v>1881</v>
      </c>
      <c r="C48" s="17">
        <f>(1/240*2240)*1.73678571428571</f>
        <v>16.209999999999962</v>
      </c>
      <c r="D48" s="17">
        <f>(1/240*2240)*2.07142857142857</f>
        <v>19.333333333333321</v>
      </c>
      <c r="E48" s="1">
        <f>(1/240*2240)*1.42613080246277</f>
        <v>13.310554156319187</v>
      </c>
      <c r="G48" s="17"/>
      <c r="H48" s="17"/>
      <c r="J48" s="1"/>
      <c r="K48" s="1"/>
      <c r="L48" s="1"/>
      <c r="M48" s="1"/>
      <c r="N48" s="1"/>
      <c r="O48" s="1"/>
      <c r="P48" s="1"/>
      <c r="Q48" s="1"/>
      <c r="R48" s="17"/>
      <c r="S48" s="1"/>
      <c r="T48" s="1"/>
      <c r="U48" s="1"/>
      <c r="V48" s="17"/>
      <c r="W48" s="1"/>
      <c r="X48" s="1"/>
      <c r="Y48" s="1"/>
      <c r="Z48" s="1"/>
      <c r="AA48" s="1"/>
      <c r="AB48" s="17"/>
      <c r="AC48" s="17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>
        <f>(1/112*2240)*0.695135109534907</f>
        <v>13.90270219069814</v>
      </c>
      <c r="AY48" s="3"/>
      <c r="AZ48" s="1"/>
      <c r="BA48" s="1">
        <v>21.56451612903226</v>
      </c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Q48" s="1">
        <v>12.006792759686659</v>
      </c>
      <c r="CR48" s="1"/>
      <c r="CS48" s="1"/>
      <c r="CT48" s="1"/>
      <c r="CU48" s="1"/>
      <c r="CV48" s="1"/>
      <c r="CW48" s="1"/>
      <c r="CX48" s="1"/>
      <c r="CY48" s="1"/>
    </row>
    <row r="49" spans="1:110" x14ac:dyDescent="0.25">
      <c r="A49" s="8">
        <f t="shared" si="3"/>
        <v>1882</v>
      </c>
      <c r="C49" s="17">
        <f>(1/240*2240)*1.74964285714286</f>
        <v>16.330000000000027</v>
      </c>
      <c r="D49" s="17">
        <f>(1/240*2240)*2.14285714285714</f>
        <v>19.999999999999975</v>
      </c>
      <c r="E49" s="1">
        <f>(1/240*2240)*1.54715566413965</f>
        <v>14.440119531970067</v>
      </c>
      <c r="G49" s="17"/>
      <c r="H49" s="17"/>
      <c r="J49" s="1"/>
      <c r="K49" s="1"/>
      <c r="L49" s="1"/>
      <c r="M49" s="1"/>
      <c r="N49" s="1"/>
      <c r="O49" s="1"/>
      <c r="P49" s="1"/>
      <c r="Q49" s="1"/>
      <c r="R49" s="17"/>
      <c r="S49" s="1"/>
      <c r="T49" s="1"/>
      <c r="U49" s="1"/>
      <c r="V49" s="17"/>
      <c r="W49" s="1"/>
      <c r="X49" s="1"/>
      <c r="Y49" s="1"/>
      <c r="Z49" s="1"/>
      <c r="AA49" s="1"/>
      <c r="AB49" s="17"/>
      <c r="AC49" s="17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1"/>
      <c r="AT49" s="1"/>
      <c r="AU49" s="1"/>
      <c r="AV49" s="1"/>
      <c r="AW49" s="1"/>
      <c r="AX49" s="1">
        <f>(1/112*2240)*0.738458773992567</f>
        <v>14.76917547985134</v>
      </c>
      <c r="AY49" s="3"/>
      <c r="AZ49" s="1"/>
      <c r="BA49" s="1">
        <v>21.932773109243698</v>
      </c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Q49" s="1">
        <v>13.431347179977401</v>
      </c>
      <c r="CR49" s="1"/>
      <c r="CS49" s="1"/>
      <c r="CT49" s="1"/>
      <c r="CU49" s="1"/>
      <c r="CV49" s="1"/>
      <c r="CW49" s="1"/>
      <c r="CX49" s="1"/>
      <c r="CY49" s="1"/>
    </row>
    <row r="50" spans="1:110" x14ac:dyDescent="0.25">
      <c r="A50" s="8">
        <f t="shared" si="3"/>
        <v>1883</v>
      </c>
      <c r="C50" s="17">
        <f>(1/240*2240)*1.62</f>
        <v>15.120000000000003</v>
      </c>
      <c r="D50" s="17">
        <f>(1/240*2240)*2.14285714285714</f>
        <v>19.999999999999975</v>
      </c>
      <c r="E50" s="1">
        <f>(1/240*2240)*1.49834314196644</f>
        <v>13.984535991686773</v>
      </c>
      <c r="G50" s="17"/>
      <c r="H50" s="17"/>
      <c r="J50" s="1"/>
      <c r="K50" s="1"/>
      <c r="L50" s="1"/>
      <c r="M50" s="1"/>
      <c r="N50" s="1"/>
      <c r="O50" s="1"/>
      <c r="P50" s="1"/>
      <c r="Q50" s="1"/>
      <c r="R50" s="17"/>
      <c r="S50" s="1"/>
      <c r="T50" s="1"/>
      <c r="U50" s="1"/>
      <c r="V50" s="17"/>
      <c r="W50" s="1"/>
      <c r="X50" s="1"/>
      <c r="Y50" s="1"/>
      <c r="Z50" s="1"/>
      <c r="AA50" s="1"/>
      <c r="AB50" s="17"/>
      <c r="AC50" s="17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>
        <v>12.5</v>
      </c>
      <c r="AS50" s="1"/>
      <c r="AT50" s="1"/>
      <c r="AU50" s="1"/>
      <c r="AV50" s="1"/>
      <c r="AW50" s="1"/>
      <c r="AX50" s="1">
        <f>(1/112*2240)*0.738538699221159</f>
        <v>14.77077398442318</v>
      </c>
      <c r="AY50" s="3"/>
      <c r="AZ50" s="1"/>
      <c r="BA50" s="1">
        <v>21.833333333333336</v>
      </c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Q50" s="1">
        <v>8.319700767027939</v>
      </c>
      <c r="CR50" s="1"/>
      <c r="CS50" s="1"/>
      <c r="CT50" s="1"/>
      <c r="CU50" s="1"/>
      <c r="CV50" s="1"/>
      <c r="CW50" s="1"/>
      <c r="CX50" s="1"/>
      <c r="CY50" s="1"/>
    </row>
    <row r="51" spans="1:110" x14ac:dyDescent="0.25">
      <c r="A51" s="8">
        <f t="shared" si="3"/>
        <v>1884</v>
      </c>
      <c r="C51" s="17">
        <f>(1/240*2240)*1.44321428571429</f>
        <v>13.470000000000041</v>
      </c>
      <c r="D51" s="17">
        <f>(1/240*2240)*1.85714285714286</f>
        <v>17.333333333333361</v>
      </c>
      <c r="E51" s="1">
        <f>(1/240*2240)*1.40600192733979</f>
        <v>13.122684655171373</v>
      </c>
      <c r="G51" s="17"/>
      <c r="H51" s="17"/>
      <c r="J51" s="1"/>
      <c r="K51" s="1"/>
      <c r="L51" s="3"/>
      <c r="M51" s="3"/>
      <c r="N51" s="3"/>
      <c r="O51" s="3"/>
      <c r="P51" s="3"/>
      <c r="Q51" s="3"/>
      <c r="R51" s="17"/>
      <c r="S51" s="1"/>
      <c r="T51" s="1"/>
      <c r="V51" s="17">
        <f>(1/240*2240)*0.811286434437453</f>
        <v>7.5720067214162281</v>
      </c>
      <c r="W51" s="17"/>
      <c r="X51" s="1"/>
      <c r="Y51" s="1"/>
      <c r="Z51" s="3"/>
      <c r="AA51" s="3"/>
      <c r="AB51" s="17"/>
      <c r="AC51" s="17"/>
      <c r="AD51" s="1"/>
      <c r="AE51" s="1"/>
      <c r="AF51" s="1"/>
      <c r="AG51" s="1"/>
      <c r="AH51" s="1"/>
      <c r="AI51" s="1"/>
      <c r="AJ51" s="1"/>
      <c r="AK51" s="1"/>
      <c r="AL51" s="3"/>
      <c r="AM51" s="1"/>
      <c r="AN51" s="3"/>
      <c r="AO51" s="1"/>
      <c r="AQ51" s="1"/>
      <c r="AR51" s="1">
        <v>11</v>
      </c>
      <c r="AS51" s="1"/>
      <c r="AT51" s="3"/>
      <c r="AU51" s="3"/>
      <c r="AV51" s="3"/>
      <c r="AW51" s="3"/>
      <c r="AX51" s="1">
        <f>(1/112*2240)*0.861557146360547</f>
        <v>17.231142927210939</v>
      </c>
      <c r="AY51" s="3"/>
      <c r="AZ51" s="1"/>
      <c r="BA51" s="1"/>
      <c r="BB51" s="1"/>
      <c r="BC51" s="3"/>
      <c r="BD51" s="3"/>
      <c r="BE51" s="3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3"/>
      <c r="BQ51" s="3"/>
      <c r="BR51" s="1"/>
      <c r="BS51" s="3"/>
      <c r="BT51" s="1"/>
      <c r="BU51" s="3"/>
      <c r="BW51" s="3"/>
      <c r="BX51" s="1"/>
      <c r="BY51" s="1"/>
      <c r="BZ51" s="1"/>
      <c r="CA51" s="1"/>
      <c r="CB51" s="1"/>
      <c r="CC51" s="3"/>
      <c r="CD51" s="1"/>
      <c r="CE51" s="3"/>
      <c r="CF51" s="1"/>
      <c r="CG51" s="3"/>
      <c r="CH51" s="3"/>
      <c r="CI51" s="1"/>
      <c r="CJ51" s="3"/>
      <c r="CK51" s="3"/>
      <c r="CL51" s="1"/>
      <c r="CM51" s="3"/>
      <c r="CN51" s="1"/>
      <c r="CO51" s="1"/>
      <c r="CQ51" s="1">
        <v>17.818149088245541</v>
      </c>
      <c r="CR51" s="1"/>
      <c r="CS51" s="1"/>
      <c r="CT51" s="1"/>
      <c r="CU51" s="1"/>
      <c r="CV51" s="3"/>
      <c r="CW51" s="1"/>
      <c r="CX51" s="3"/>
      <c r="CY51" s="3"/>
    </row>
    <row r="52" spans="1:110" x14ac:dyDescent="0.25">
      <c r="A52" s="8">
        <f t="shared" si="3"/>
        <v>1885</v>
      </c>
      <c r="C52" s="17">
        <f>(1/240*2240)*1.30607142857143</f>
        <v>12.190000000000015</v>
      </c>
      <c r="D52" s="17">
        <f>(1/240*2240)*1.5</f>
        <v>14</v>
      </c>
      <c r="E52" s="1">
        <f>(1/240*2240)*1.2321387684651</f>
        <v>11.4999618390076</v>
      </c>
      <c r="G52" s="17"/>
      <c r="H52" s="17"/>
      <c r="J52" s="1"/>
      <c r="K52" s="1"/>
      <c r="L52" s="1"/>
      <c r="M52" s="1"/>
      <c r="N52" s="1"/>
      <c r="O52" s="1">
        <v>12.333075805202867</v>
      </c>
      <c r="P52" s="1"/>
      <c r="Q52" s="1"/>
      <c r="R52" s="17"/>
      <c r="S52" s="1"/>
      <c r="T52" s="1"/>
      <c r="V52" s="17">
        <f>(1/240*2240)*1.16936419164455</f>
        <v>10.914065788682468</v>
      </c>
      <c r="W52" s="17"/>
      <c r="X52" s="1"/>
      <c r="Y52" s="1"/>
      <c r="Z52" s="1"/>
      <c r="AA52" s="1"/>
      <c r="AB52" s="17"/>
      <c r="AC52" s="17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>
        <v>10</v>
      </c>
      <c r="AS52" s="1"/>
      <c r="AT52" s="1"/>
      <c r="AU52" s="1"/>
      <c r="AV52" s="1"/>
      <c r="AW52" s="1"/>
      <c r="AX52" s="1"/>
      <c r="AY52" s="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Q52" s="1">
        <v>19.976537379421217</v>
      </c>
      <c r="CR52" s="1"/>
      <c r="CS52" s="1"/>
      <c r="CT52" s="1"/>
      <c r="CU52" s="1"/>
      <c r="CV52" s="1"/>
      <c r="CW52" s="1"/>
      <c r="CX52" s="1"/>
      <c r="CY52" s="1"/>
    </row>
    <row r="53" spans="1:110" x14ac:dyDescent="0.25">
      <c r="A53" s="8">
        <f t="shared" si="3"/>
        <v>1886</v>
      </c>
      <c r="C53" s="17">
        <f>(1/240*2240)*1.2</f>
        <v>11.200000000000001</v>
      </c>
      <c r="D53" s="17">
        <f>(1/240*2240)*1.5</f>
        <v>14</v>
      </c>
      <c r="E53" s="1">
        <f>(1/240*2240)*1.18231980253573</f>
        <v>11.034984823666814</v>
      </c>
      <c r="G53" s="17"/>
      <c r="H53" s="17"/>
      <c r="J53" s="1"/>
      <c r="K53" s="1"/>
      <c r="L53" s="1"/>
      <c r="M53" s="1"/>
      <c r="N53" s="1"/>
      <c r="O53" s="1">
        <v>10.332462287057377</v>
      </c>
      <c r="P53" s="1"/>
      <c r="Q53" s="1"/>
      <c r="R53" s="17"/>
      <c r="S53" s="1">
        <f>(1/240*2240)*1.15773408</f>
        <v>10.805518080000001</v>
      </c>
      <c r="T53" s="1"/>
      <c r="V53" s="17">
        <f>(1/240*2240)*0.942418808527595</f>
        <v>8.7959088795908862</v>
      </c>
      <c r="W53" s="17"/>
      <c r="X53" s="1"/>
      <c r="Y53" s="1"/>
      <c r="Z53" s="1"/>
      <c r="AA53" s="1"/>
      <c r="AB53" s="17"/>
      <c r="AC53" s="18"/>
      <c r="AD53" s="1"/>
      <c r="AE53" s="1"/>
      <c r="AF53" s="17"/>
      <c r="AG53" s="1"/>
      <c r="AH53" s="1"/>
      <c r="AI53" s="1"/>
      <c r="AJ53" s="1"/>
      <c r="AK53" s="1"/>
      <c r="AL53" s="1"/>
      <c r="AM53" s="1"/>
      <c r="AN53" s="1"/>
      <c r="AP53" s="1"/>
      <c r="AQ53" s="1"/>
      <c r="AR53" s="1">
        <v>10</v>
      </c>
      <c r="AS53" s="1"/>
      <c r="AT53" s="1"/>
      <c r="AU53" s="1"/>
      <c r="AV53" s="1"/>
      <c r="AW53" s="1"/>
      <c r="AX53" s="1"/>
      <c r="AY53" s="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Q53" s="1">
        <v>17.567375138114681</v>
      </c>
      <c r="CR53" s="1"/>
      <c r="CS53" s="1"/>
      <c r="CT53" s="1"/>
      <c r="CU53" s="1"/>
      <c r="CV53" s="1"/>
      <c r="CW53" s="1"/>
      <c r="CX53" s="1"/>
      <c r="CY53" s="1"/>
    </row>
    <row r="54" spans="1:110" x14ac:dyDescent="0.25">
      <c r="A54" s="8">
        <f t="shared" si="3"/>
        <v>1887</v>
      </c>
      <c r="C54" s="17">
        <f>(1/240*2240)*1.18928571428571</f>
        <v>11.099999999999961</v>
      </c>
      <c r="D54" s="17">
        <f>(1/240*2240)*1.57142857142857</f>
        <v>14.666666666666655</v>
      </c>
      <c r="E54" s="1">
        <f>(1/240*2240)*1.13476533505771</f>
        <v>10.591143127205294</v>
      </c>
      <c r="F54" s="1"/>
      <c r="G54" s="17"/>
      <c r="H54" s="17"/>
      <c r="I54" s="1"/>
      <c r="J54" s="1"/>
      <c r="K54" s="1"/>
      <c r="L54" s="1"/>
      <c r="M54" s="1"/>
      <c r="N54" s="1"/>
      <c r="O54" s="1">
        <v>10.63051676560211</v>
      </c>
      <c r="P54" s="1"/>
      <c r="Q54" s="1"/>
      <c r="R54" s="17"/>
      <c r="S54" s="1">
        <f>(1/240*2240)*1.0909092</f>
        <v>10.181819200000001</v>
      </c>
      <c r="T54" s="1"/>
      <c r="U54" s="1"/>
      <c r="V54" s="17">
        <f>(1/240*2240)*0.942846567747426</f>
        <v>8.7999012989759766</v>
      </c>
      <c r="W54" s="17"/>
      <c r="X54" s="1"/>
      <c r="Y54" s="1"/>
      <c r="Z54" s="1"/>
      <c r="AC54" s="17">
        <v>8.2758620689655178</v>
      </c>
      <c r="AD54" s="1"/>
      <c r="AE54" s="1"/>
      <c r="AG54" s="1">
        <v>9.7612732095490724</v>
      </c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>
        <v>8.0019709288001977</v>
      </c>
      <c r="AS54" s="1"/>
      <c r="AT54" s="1"/>
      <c r="AU54" s="1"/>
      <c r="AV54" s="1"/>
      <c r="AW54" s="1"/>
      <c r="AX54" s="1"/>
      <c r="AY54" s="14"/>
      <c r="AZ54" s="1"/>
      <c r="BA54" s="1">
        <v>19.570754716981131</v>
      </c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Q54" s="1">
        <v>15.57108250878346</v>
      </c>
      <c r="CR54" s="1"/>
      <c r="CS54" s="1"/>
      <c r="CT54" s="1"/>
      <c r="CU54" s="1"/>
      <c r="CV54" s="1"/>
      <c r="CY54" s="1"/>
      <c r="CZ54" s="1"/>
    </row>
    <row r="55" spans="1:110" x14ac:dyDescent="0.25">
      <c r="A55" s="8">
        <f t="shared" si="3"/>
        <v>1888</v>
      </c>
      <c r="C55" s="17">
        <f>(1/240*2240)*1.2075</f>
        <v>11.270000000000001</v>
      </c>
      <c r="D55" s="17">
        <f>(1/240*2240)*1.5</f>
        <v>14</v>
      </c>
      <c r="E55" s="1">
        <f>(1/240*2240)*1.15212648985127</f>
        <v>10.753180571945187</v>
      </c>
      <c r="F55" s="1"/>
      <c r="G55" s="17"/>
      <c r="H55" s="17"/>
      <c r="I55" s="1"/>
      <c r="J55" s="1"/>
      <c r="L55" s="1"/>
      <c r="M55" s="1"/>
      <c r="N55" s="1"/>
      <c r="O55" s="1">
        <v>10.026041075123716</v>
      </c>
      <c r="P55" s="1"/>
      <c r="Q55" s="1"/>
      <c r="R55" s="17"/>
      <c r="S55" s="1">
        <f>(1/240*2240)*1.36363632</f>
        <v>12.727272319999999</v>
      </c>
      <c r="T55" s="1"/>
      <c r="U55" s="1"/>
      <c r="V55" s="17">
        <f>(1/240*2240)*0.87673340053524</f>
        <v>8.182845071662241</v>
      </c>
      <c r="W55" s="17"/>
      <c r="X55" s="1"/>
      <c r="Y55" s="1"/>
      <c r="Z55" s="1"/>
      <c r="AC55" s="17"/>
      <c r="AD55" s="1"/>
      <c r="AE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>
        <v>8.0047770700636942</v>
      </c>
      <c r="AS55" s="1"/>
      <c r="AT55" s="1"/>
      <c r="AU55" s="1"/>
      <c r="AV55" s="1"/>
      <c r="AW55" s="1"/>
      <c r="AY55" s="3"/>
      <c r="AZ55" s="1"/>
      <c r="BA55" s="1">
        <v>20.2015503875969</v>
      </c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3"/>
      <c r="BM55" s="1"/>
      <c r="BN55" s="1"/>
      <c r="BO55" s="1"/>
      <c r="BP55" s="1"/>
      <c r="BQ55" s="1"/>
      <c r="BR55" s="1"/>
      <c r="BS55" s="1"/>
      <c r="BT55" s="1"/>
      <c r="BU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Q55" s="1">
        <v>13.83289640122438</v>
      </c>
      <c r="CR55" s="1"/>
      <c r="CS55" s="1"/>
      <c r="CT55" s="1"/>
      <c r="CU55" s="1"/>
      <c r="CV55" s="1"/>
      <c r="CY55" s="1"/>
      <c r="CZ55" s="1"/>
    </row>
    <row r="56" spans="1:110" x14ac:dyDescent="0.25">
      <c r="A56" s="8">
        <f t="shared" si="3"/>
        <v>1889</v>
      </c>
      <c r="C56" s="17">
        <f>(1/240*2240)*1.24821428571429</f>
        <v>11.650000000000039</v>
      </c>
      <c r="D56" s="17">
        <f>(1/240*2240)*1.64285714285714</f>
        <v>15.333333333333307</v>
      </c>
      <c r="E56" s="1">
        <f>(1/240*2240)*1.21578405742768</f>
        <v>11.347317869325014</v>
      </c>
      <c r="F56" s="1"/>
      <c r="G56" s="17"/>
      <c r="H56" s="17"/>
      <c r="I56" s="1"/>
      <c r="J56" s="1"/>
      <c r="L56" s="1"/>
      <c r="M56" s="1"/>
      <c r="N56" s="1"/>
      <c r="O56" s="1">
        <v>11.269857798387056</v>
      </c>
      <c r="P56" s="1"/>
      <c r="Q56" s="1"/>
      <c r="R56" s="17"/>
      <c r="S56" s="1">
        <f>(1/240*2240)*1.36576152</f>
        <v>12.74710752</v>
      </c>
      <c r="T56" s="1"/>
      <c r="U56" s="1"/>
      <c r="V56" s="17">
        <f>(1/240*2240)*0.693739459137703</f>
        <v>6.4749016186185617</v>
      </c>
      <c r="W56" s="17"/>
      <c r="X56" s="1"/>
      <c r="Y56" s="1"/>
      <c r="Z56" s="1"/>
      <c r="AC56" s="17">
        <v>7.8601398601398609</v>
      </c>
      <c r="AD56" s="1"/>
      <c r="AE56" s="1"/>
      <c r="AG56" s="1"/>
      <c r="AH56" s="1"/>
      <c r="AI56" s="1"/>
      <c r="AJ56" s="1"/>
      <c r="AK56" s="1"/>
      <c r="AL56" s="1"/>
      <c r="AM56" s="1"/>
      <c r="AN56" s="1"/>
      <c r="AO56" s="1">
        <v>11.072603163963485</v>
      </c>
      <c r="AP56" s="1">
        <v>9.6475453698626517</v>
      </c>
      <c r="AQ56" s="1"/>
      <c r="AR56" s="1">
        <v>7.9993895925530287</v>
      </c>
      <c r="AS56" s="1"/>
      <c r="AT56" s="1"/>
      <c r="AU56" s="1"/>
      <c r="AV56" s="1"/>
      <c r="AW56" s="1"/>
      <c r="AX56" s="1">
        <f>(1/112*2240)*0.738370564112041</f>
        <v>14.767411282240822</v>
      </c>
      <c r="AY56" s="18">
        <v>12.307692307692307</v>
      </c>
      <c r="AZ56" s="1"/>
      <c r="BA56" s="1">
        <v>22.246153846153849</v>
      </c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N56" s="1"/>
      <c r="BO56" s="1"/>
      <c r="BP56" s="1"/>
      <c r="BQ56" s="1"/>
      <c r="BR56" s="1"/>
      <c r="BS56" s="1"/>
      <c r="BT56" s="1"/>
      <c r="BU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Q56" s="1">
        <v>13.262250659364877</v>
      </c>
      <c r="CR56" s="1"/>
      <c r="CS56" s="1"/>
      <c r="CT56" s="1"/>
      <c r="CU56" s="1"/>
      <c r="CV56" s="1"/>
      <c r="CY56" s="1"/>
      <c r="CZ56" s="1"/>
    </row>
    <row r="57" spans="1:110" x14ac:dyDescent="0.25">
      <c r="A57" s="8">
        <f t="shared" si="3"/>
        <v>1890</v>
      </c>
      <c r="C57" s="17">
        <f>(1/240*2240)*1.23321428571429</f>
        <v>11.510000000000041</v>
      </c>
      <c r="D57" s="17">
        <f>(1/240*2240)*1.5</f>
        <v>14</v>
      </c>
      <c r="E57" s="1">
        <f>(1/240*2240)*1.17250697591328</f>
        <v>10.943398441857282</v>
      </c>
      <c r="F57" s="1"/>
      <c r="G57" s="17"/>
      <c r="H57" s="17"/>
      <c r="I57" s="1"/>
      <c r="J57" s="1"/>
      <c r="L57" s="1"/>
      <c r="M57" s="1"/>
      <c r="N57" s="1"/>
      <c r="O57" s="1">
        <v>11.179588965474187</v>
      </c>
      <c r="P57" s="1"/>
      <c r="Q57" s="1"/>
      <c r="R57" s="17"/>
      <c r="S57" s="1">
        <f>(1/240*2240)*1.2870276</f>
        <v>12.012257600000002</v>
      </c>
      <c r="T57" s="1"/>
      <c r="U57" s="1"/>
      <c r="V57" s="17">
        <f>(1/240*2240)*0.813844037361524</f>
        <v>7.5958776820408911</v>
      </c>
      <c r="W57" s="17"/>
      <c r="X57" s="1"/>
      <c r="Y57" s="1"/>
      <c r="Z57" s="1"/>
      <c r="AC57" s="17">
        <v>9.6223776223776234</v>
      </c>
      <c r="AD57" s="1"/>
      <c r="AE57" s="1"/>
      <c r="AG57" s="1">
        <v>9.8461538461538467</v>
      </c>
      <c r="AH57" s="1"/>
      <c r="AI57" s="1"/>
      <c r="AJ57" s="1"/>
      <c r="AK57" s="1"/>
      <c r="AL57" s="1"/>
      <c r="AM57" s="1"/>
      <c r="AN57" s="1"/>
      <c r="AO57" s="1">
        <v>13.714855640020089</v>
      </c>
      <c r="AP57" s="1">
        <v>10.903217981372604</v>
      </c>
      <c r="AQ57" s="1"/>
      <c r="AR57" s="1">
        <v>7.1013329050907341</v>
      </c>
      <c r="AS57" s="1"/>
      <c r="AT57" s="1"/>
      <c r="AU57" s="1"/>
      <c r="AV57" s="1"/>
      <c r="AW57" s="1"/>
      <c r="AX57" s="1">
        <f>(1/112*2240)*0.738481171086052</f>
        <v>14.769623421721041</v>
      </c>
      <c r="AY57" s="18"/>
      <c r="AZ57" s="1"/>
      <c r="BA57" s="1">
        <v>14.454545454545441</v>
      </c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W57" s="1"/>
      <c r="BX57" s="1">
        <f>2240*0.00277777777777778</f>
        <v>6.2222222222222276</v>
      </c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Q57" s="1">
        <v>8.1294868081041809</v>
      </c>
      <c r="CR57" s="1"/>
      <c r="CS57" s="1"/>
      <c r="CT57" s="1"/>
      <c r="CU57" s="1"/>
      <c r="CV57" s="1"/>
      <c r="CY57" s="1"/>
      <c r="CZ57" s="1"/>
    </row>
    <row r="58" spans="1:110" x14ac:dyDescent="0.25">
      <c r="A58" s="8">
        <f t="shared" si="3"/>
        <v>1891</v>
      </c>
      <c r="C58" s="17">
        <f>(1/240*2240)*1.305</f>
        <v>12.18</v>
      </c>
      <c r="D58" s="17">
        <f>(1/240*2240)*1.57142857142857</f>
        <v>14.666666666666655</v>
      </c>
      <c r="E58" s="1">
        <f>(1/240*2240)*1.21276472615923</f>
        <v>11.319137444152814</v>
      </c>
      <c r="F58" s="1"/>
      <c r="G58" s="17"/>
      <c r="H58" s="17"/>
      <c r="I58" s="1"/>
      <c r="J58" s="3"/>
      <c r="L58" s="1"/>
      <c r="M58" s="1"/>
      <c r="N58" s="1"/>
      <c r="O58" s="1">
        <v>12.020850963297178</v>
      </c>
      <c r="P58" s="1"/>
      <c r="Q58" s="1"/>
      <c r="R58" s="17"/>
      <c r="S58" s="1">
        <f>(1/240*2240)*1.38961032</f>
        <v>12.969696320000001</v>
      </c>
      <c r="T58" s="1"/>
      <c r="U58" s="1"/>
      <c r="V58" s="17">
        <f>(1/240*2240)*0.925028571428571</f>
        <v>8.6335999999999959</v>
      </c>
      <c r="W58" s="17"/>
      <c r="X58" s="1"/>
      <c r="Y58" s="1"/>
      <c r="Z58" s="1"/>
      <c r="AC58" s="17"/>
      <c r="AD58" s="1"/>
      <c r="AE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>
        <v>7.7952917093142275</v>
      </c>
      <c r="AS58" s="1"/>
      <c r="AT58" s="1"/>
      <c r="AU58" s="1"/>
      <c r="AV58" s="1"/>
      <c r="AW58" s="1"/>
      <c r="AX58" s="1">
        <f>(1/112*2240)*0.73841338630071</f>
        <v>14.7682677260142</v>
      </c>
      <c r="AY58" s="18"/>
      <c r="AZ58" s="1"/>
      <c r="BA58" s="1">
        <v>22.280612244897934</v>
      </c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>
        <f>2240*0.00317127472299886</f>
        <v>7.1036553795174466</v>
      </c>
      <c r="BW58" s="1"/>
      <c r="BX58" s="1">
        <f>2240*0.00343137254901961</f>
        <v>7.6862745098039262</v>
      </c>
      <c r="BY58" s="3"/>
      <c r="BZ58" s="3"/>
      <c r="CA58" s="3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N58" s="1"/>
      <c r="CO58" s="1"/>
      <c r="CQ58" s="1">
        <v>6.8890864275108594</v>
      </c>
      <c r="CR58" s="1"/>
      <c r="CS58" s="1"/>
      <c r="CT58" s="1"/>
      <c r="CU58" s="1"/>
      <c r="CV58" s="1"/>
      <c r="CW58" s="1"/>
      <c r="CY58" s="1"/>
      <c r="CZ58" s="1"/>
    </row>
    <row r="59" spans="1:110" x14ac:dyDescent="0.25">
      <c r="A59" s="8">
        <f t="shared" si="3"/>
        <v>1892</v>
      </c>
      <c r="C59" s="17">
        <f>(1/240*2240)*1.18928571428571</f>
        <v>11.099999999999961</v>
      </c>
      <c r="D59" s="17">
        <f>(1/240*2240)*1.71428571428571</f>
        <v>15.999999999999961</v>
      </c>
      <c r="E59" s="1">
        <f>(1/240*2240)*1.24799025762444</f>
        <v>11.64790907116144</v>
      </c>
      <c r="F59" s="1"/>
      <c r="G59" s="17"/>
      <c r="H59" s="17"/>
      <c r="I59" s="1"/>
      <c r="J59" s="3"/>
      <c r="L59" s="1"/>
      <c r="M59" s="1"/>
      <c r="N59" s="1"/>
      <c r="O59" s="1">
        <v>12.166657136079218</v>
      </c>
      <c r="P59" s="1"/>
      <c r="Q59" s="1"/>
      <c r="R59" s="17"/>
      <c r="S59" s="1">
        <f>(1/240*2240)*1.63636368</f>
        <v>15.272727680000003</v>
      </c>
      <c r="T59" s="1"/>
      <c r="U59" s="1"/>
      <c r="V59" s="17">
        <f>(1/240*2240)*0.8</f>
        <v>7.4666666666666677</v>
      </c>
      <c r="W59" s="17"/>
      <c r="X59" s="1"/>
      <c r="Y59" s="1"/>
      <c r="Z59" s="1"/>
      <c r="AC59" s="17">
        <v>9.6794521698945513</v>
      </c>
      <c r="AD59" s="1"/>
      <c r="AE59" s="1"/>
      <c r="AG59" s="1">
        <v>7.4478006973910844</v>
      </c>
      <c r="AH59" s="1"/>
      <c r="AI59" s="1"/>
      <c r="AJ59" s="1"/>
      <c r="AK59" s="1"/>
      <c r="AL59" s="1"/>
      <c r="AM59" s="1"/>
      <c r="AN59" s="1"/>
      <c r="AO59" s="1">
        <v>10</v>
      </c>
      <c r="AP59" s="1"/>
      <c r="AQ59" s="1"/>
      <c r="AR59" s="1">
        <v>8.6918467649633069</v>
      </c>
      <c r="AS59" s="1"/>
      <c r="AT59" s="1"/>
      <c r="AU59" s="1"/>
      <c r="AV59" s="1"/>
      <c r="AW59" s="1"/>
      <c r="AX59" s="1">
        <f>(1/112*2240)*0.738461538461538</f>
        <v>14.769230769230759</v>
      </c>
      <c r="AY59" s="18"/>
      <c r="AZ59" s="1"/>
      <c r="BA59" s="1">
        <v>22.883018867924505</v>
      </c>
      <c r="BB59" s="1"/>
      <c r="BC59" s="1"/>
      <c r="BD59" s="1"/>
      <c r="BE59" s="1"/>
      <c r="BF59" s="3"/>
      <c r="BG59" s="3"/>
      <c r="BH59" s="3"/>
      <c r="BI59" s="3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>
        <f>2240*0.00326797385620915</f>
        <v>7.3202614379084956</v>
      </c>
      <c r="BY59" s="3"/>
      <c r="BZ59" s="3"/>
      <c r="CA59" s="3"/>
      <c r="CB59" s="1"/>
      <c r="CC59" s="1"/>
      <c r="CD59" s="1"/>
      <c r="CE59" s="3"/>
      <c r="CG59" s="1"/>
      <c r="CH59" s="1"/>
      <c r="CI59" s="1"/>
      <c r="CJ59" s="1"/>
      <c r="CK59" s="1"/>
      <c r="CL59" s="1"/>
      <c r="CN59" s="1"/>
      <c r="CO59" s="1"/>
      <c r="CQ59" s="1">
        <v>6.4452176638671794</v>
      </c>
      <c r="CR59" s="1"/>
      <c r="CS59" s="1"/>
      <c r="CT59" s="1"/>
      <c r="CU59" s="1"/>
      <c r="CV59" s="1"/>
      <c r="CW59" s="1"/>
      <c r="CY59" s="1"/>
      <c r="CZ59" s="1"/>
      <c r="DD59" s="1"/>
    </row>
    <row r="60" spans="1:110" x14ac:dyDescent="0.25">
      <c r="A60" s="8">
        <f t="shared" si="3"/>
        <v>1893</v>
      </c>
      <c r="C60" s="17">
        <f>(1/240*2240)*1.02535714285714</f>
        <v>9.5699999999999736</v>
      </c>
      <c r="D60" s="17">
        <f>(1/240*2240)*1.28571428571429</f>
        <v>12.000000000000041</v>
      </c>
      <c r="E60" s="1">
        <f>(1/240*2240)*1.14231366322882</f>
        <v>10.661594190135654</v>
      </c>
      <c r="G60" s="17"/>
      <c r="H60" s="17"/>
      <c r="I60" s="1"/>
      <c r="J60" s="3"/>
      <c r="L60" s="1"/>
      <c r="M60" s="1"/>
      <c r="N60" s="1"/>
      <c r="O60" s="1">
        <v>9.2588459361477522</v>
      </c>
      <c r="P60" s="1"/>
      <c r="Q60" s="1"/>
      <c r="R60" s="17"/>
      <c r="S60" s="1">
        <f>(1/240*2240)*1.51688304</f>
        <v>14.157575040000001</v>
      </c>
      <c r="T60" s="1"/>
      <c r="U60" s="1"/>
      <c r="V60" s="17">
        <f>(1/240*2240)*0.617142857142857</f>
        <v>5.7599999999999989</v>
      </c>
      <c r="W60" s="17"/>
      <c r="X60" s="1"/>
      <c r="Y60" s="1"/>
      <c r="Z60" s="1"/>
      <c r="AC60" s="17">
        <v>7.6439801162692733</v>
      </c>
      <c r="AD60" s="1"/>
      <c r="AE60" s="1"/>
      <c r="AG60" s="1">
        <v>7.2794675204313766</v>
      </c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>
        <v>6.7858588584536497</v>
      </c>
      <c r="AS60" s="1"/>
      <c r="AT60" s="1"/>
      <c r="AU60" s="1"/>
      <c r="AV60" s="1"/>
      <c r="AW60" s="1"/>
      <c r="AX60" s="1">
        <f>(1/112*2240)*0.73840716385448</f>
        <v>14.7681432770896</v>
      </c>
      <c r="AY60" s="18"/>
      <c r="AZ60" s="1"/>
      <c r="BA60" s="1">
        <v>20.802588996763735</v>
      </c>
      <c r="BB60" s="1"/>
      <c r="BC60" s="1"/>
      <c r="BD60" s="1"/>
      <c r="BE60" s="1"/>
      <c r="BF60" s="3"/>
      <c r="BG60" s="3"/>
      <c r="BH60" s="3"/>
      <c r="BI60" s="3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3">
        <f>2240*0.00248660442134309</f>
        <v>5.5699939038085216</v>
      </c>
      <c r="BW60" s="3">
        <f>2240*0.00174046226677806</f>
        <v>3.8986354775828547</v>
      </c>
      <c r="BY60" s="3"/>
      <c r="BZ60" s="3"/>
      <c r="CA60" s="3"/>
      <c r="CB60" s="1"/>
      <c r="CC60" s="1"/>
      <c r="CD60" s="1"/>
      <c r="CE60" s="1"/>
      <c r="CG60" s="1"/>
      <c r="CH60" s="1"/>
      <c r="CI60" s="1"/>
      <c r="CJ60" s="1"/>
      <c r="CK60" s="1"/>
      <c r="CL60" s="1"/>
      <c r="CN60" s="1"/>
      <c r="CO60" s="1"/>
      <c r="CQ60" s="1">
        <v>7.4840964139999402</v>
      </c>
      <c r="CR60" s="1"/>
      <c r="CS60" s="1"/>
      <c r="CT60" s="1"/>
      <c r="CU60" s="1"/>
      <c r="CV60" s="1"/>
      <c r="CW60" s="1"/>
      <c r="CY60" s="1"/>
      <c r="CZ60" s="1"/>
    </row>
    <row r="61" spans="1:110" x14ac:dyDescent="0.25">
      <c r="A61" s="8">
        <f t="shared" si="3"/>
        <v>1894</v>
      </c>
      <c r="C61" s="17">
        <f>(1/240*2240)*0.895714285714286</f>
        <v>8.360000000000003</v>
      </c>
      <c r="D61" s="17">
        <f>(1/240*2240)*1.28571428571429</f>
        <v>12.000000000000041</v>
      </c>
      <c r="E61" s="1">
        <f>(1/240*2240)*1.03412095944283</f>
        <v>9.6517956214664142</v>
      </c>
      <c r="G61" s="17"/>
      <c r="H61" s="17"/>
      <c r="I61" s="1"/>
      <c r="J61" s="3"/>
      <c r="L61" s="1"/>
      <c r="M61" s="1"/>
      <c r="N61" s="1"/>
      <c r="O61" s="1">
        <v>6.7826977111871365</v>
      </c>
      <c r="P61" s="1"/>
      <c r="Q61" s="1"/>
      <c r="R61" s="17"/>
      <c r="S61" s="1">
        <f>(1/240*2240)*1.31050776</f>
        <v>12.231405759999999</v>
      </c>
      <c r="T61" s="1"/>
      <c r="U61" s="1"/>
      <c r="V61" s="17">
        <f>(1/240*2240)*0.514285714285714</f>
        <v>4.799999999999998</v>
      </c>
      <c r="W61" s="17"/>
      <c r="X61" s="1"/>
      <c r="Y61" s="1"/>
      <c r="Z61" s="1"/>
      <c r="AC61" s="17">
        <v>5.4871794871794872</v>
      </c>
      <c r="AD61" s="1"/>
      <c r="AE61" s="1"/>
      <c r="AG61" s="1">
        <v>4.9107692307692314</v>
      </c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>
        <v>7.2722790583014918</v>
      </c>
      <c r="AS61" s="1"/>
      <c r="AT61" s="1"/>
      <c r="AU61" s="1"/>
      <c r="AV61" s="3"/>
      <c r="AW61" s="1"/>
      <c r="AX61" s="1"/>
      <c r="AY61" s="18"/>
      <c r="AZ61" s="1"/>
      <c r="BA61" s="1">
        <v>21.868421052631557</v>
      </c>
      <c r="BB61" s="1"/>
      <c r="BC61" s="1"/>
      <c r="BD61" s="1"/>
      <c r="BE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G61" s="1"/>
      <c r="CH61" s="1"/>
      <c r="CI61" s="1"/>
      <c r="CJ61" s="1"/>
      <c r="CK61" s="1"/>
      <c r="CL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Y61" s="1"/>
      <c r="CZ61" s="1"/>
    </row>
    <row r="62" spans="1:110" x14ac:dyDescent="0.25">
      <c r="A62" s="8">
        <f t="shared" si="3"/>
        <v>1895</v>
      </c>
      <c r="C62" s="17">
        <f>(1/240*2240)*0.895714285714286</f>
        <v>8.360000000000003</v>
      </c>
      <c r="D62" s="17">
        <f>(1/240*2240)*1.21428571428571</f>
        <v>11.333333333333293</v>
      </c>
      <c r="E62" s="1">
        <f>(1/240*2240)*0.850444973945687</f>
        <v>7.9374864234930786</v>
      </c>
      <c r="G62" s="17"/>
      <c r="H62" s="17"/>
      <c r="I62" s="1"/>
      <c r="J62" s="3"/>
      <c r="L62" s="1"/>
      <c r="M62" s="1"/>
      <c r="N62" s="1"/>
      <c r="O62" s="1">
        <v>5.555666769477174</v>
      </c>
      <c r="P62" s="1"/>
      <c r="Q62" s="1"/>
      <c r="R62" s="17"/>
      <c r="S62" s="1">
        <f>(1/240*2240)*1.01348976</f>
        <v>9.4592377600000006</v>
      </c>
      <c r="T62" s="1"/>
      <c r="U62" s="1"/>
      <c r="V62" s="17"/>
      <c r="W62" s="17"/>
      <c r="X62" s="1"/>
      <c r="Y62" s="1">
        <v>12.444444444444445</v>
      </c>
      <c r="Z62" s="1"/>
      <c r="AC62" s="17">
        <v>5.8668192565845514</v>
      </c>
      <c r="AD62" s="1"/>
      <c r="AE62" s="1"/>
      <c r="AG62" s="1">
        <v>5.1385970277851776</v>
      </c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>
        <v>5.7287438722260289</v>
      </c>
      <c r="AS62" s="1"/>
      <c r="AT62" s="1"/>
      <c r="AU62" s="1"/>
      <c r="AV62" s="3"/>
      <c r="AW62" s="1"/>
      <c r="AX62" s="1"/>
      <c r="AY62" s="18"/>
      <c r="AZ62" s="1"/>
      <c r="BA62" s="1">
        <v>20.322916666666647</v>
      </c>
      <c r="BB62" s="1"/>
      <c r="BC62" s="1"/>
      <c r="BD62" s="1"/>
      <c r="BE62" s="1"/>
      <c r="BF62" s="3"/>
      <c r="BG62" s="3"/>
      <c r="BH62" s="3"/>
      <c r="BI62" s="3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>
        <f>2240*0.00247066554853156</f>
        <v>5.5342908287106942</v>
      </c>
      <c r="BW62" s="1"/>
      <c r="BX62" s="1"/>
      <c r="BY62" s="1"/>
      <c r="BZ62" s="1"/>
      <c r="CA62" s="1"/>
      <c r="CB62" s="1"/>
      <c r="CC62" s="1"/>
      <c r="CD62" s="1"/>
      <c r="CE62" s="1"/>
      <c r="CG62" s="1"/>
      <c r="CH62" s="1"/>
      <c r="CI62" s="1"/>
      <c r="CJ62" s="1"/>
      <c r="CK62" s="1"/>
      <c r="CL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Y62" s="1"/>
      <c r="CZ62" s="1"/>
      <c r="DC62" s="1">
        <v>4.1919776947698528</v>
      </c>
      <c r="DD62" s="1">
        <v>6.2620241338199847</v>
      </c>
      <c r="DE62" s="1"/>
      <c r="DF62" s="1"/>
    </row>
    <row r="63" spans="1:110" x14ac:dyDescent="0.25">
      <c r="A63" s="8">
        <f t="shared" si="3"/>
        <v>1896</v>
      </c>
      <c r="C63" s="17">
        <f>(1/240*2240)*0.927857142857143</f>
        <v>8.6600000000000019</v>
      </c>
      <c r="D63" s="17">
        <f>(1/240*2240)*1.28571428571429</f>
        <v>12.000000000000041</v>
      </c>
      <c r="E63" s="1">
        <f>(1/240*2240)*0.895734942972381</f>
        <v>8.3601928010755557</v>
      </c>
      <c r="G63" s="17"/>
      <c r="H63" s="17"/>
      <c r="I63" s="1"/>
      <c r="J63" s="3"/>
      <c r="L63" s="1"/>
      <c r="M63" s="1"/>
      <c r="N63" s="1"/>
      <c r="O63" s="1">
        <v>6.33732067769885</v>
      </c>
      <c r="P63" s="1"/>
      <c r="Q63" s="1"/>
      <c r="R63" s="17"/>
      <c r="S63" s="1">
        <f>(1/240*2240)*1.09166136</f>
        <v>10.188839360000001</v>
      </c>
      <c r="T63" s="1"/>
      <c r="U63" s="1"/>
      <c r="V63" s="17"/>
      <c r="W63" s="17"/>
      <c r="X63" s="1"/>
      <c r="Y63" s="1">
        <v>12.444444444444445</v>
      </c>
      <c r="Z63" s="1"/>
      <c r="AC63" s="17">
        <v>6.1806227637509048</v>
      </c>
      <c r="AD63" s="1"/>
      <c r="AE63" s="1"/>
      <c r="AG63" s="1">
        <v>5.4245121874224305</v>
      </c>
      <c r="AH63" s="1"/>
      <c r="AI63" s="1"/>
      <c r="AJ63" s="1"/>
      <c r="AK63" s="1"/>
      <c r="AL63" s="1"/>
      <c r="AM63" s="1"/>
      <c r="AN63" s="1"/>
      <c r="AO63" s="1">
        <f>AVERAGE(11.0457742419001,21.6450216450216)</f>
        <v>16.345397943460849</v>
      </c>
      <c r="AP63" s="1"/>
      <c r="AQ63" s="1"/>
      <c r="AR63" s="1">
        <v>5.9992475545522952</v>
      </c>
      <c r="AS63" s="1"/>
      <c r="AT63" s="1"/>
      <c r="AU63" s="1"/>
      <c r="AV63" s="3"/>
      <c r="AW63" s="1"/>
      <c r="AX63" s="1"/>
      <c r="AY63" s="18"/>
      <c r="AZ63" s="1"/>
      <c r="BA63" s="1">
        <v>41.872538860103582</v>
      </c>
      <c r="BB63" s="1"/>
      <c r="BC63" s="1"/>
      <c r="BD63" s="1"/>
      <c r="BF63" s="3"/>
      <c r="BG63" s="3"/>
      <c r="BH63" s="3"/>
      <c r="BI63" s="3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W63" s="1"/>
      <c r="BX63" s="1"/>
      <c r="BY63" s="1"/>
      <c r="BZ63" s="1"/>
      <c r="CA63" s="1"/>
      <c r="CB63" s="1"/>
      <c r="CC63" s="1"/>
      <c r="CD63" s="1"/>
      <c r="CE63" s="1"/>
      <c r="CG63" s="1"/>
      <c r="CH63" s="1"/>
      <c r="CI63" s="1"/>
      <c r="CJ63" s="1"/>
      <c r="CK63" s="1"/>
      <c r="CL63" s="1"/>
      <c r="CN63" s="1"/>
      <c r="CO63" s="1"/>
      <c r="CP63" s="1"/>
      <c r="CQ63" s="1"/>
      <c r="CR63" s="1"/>
      <c r="CS63" s="1"/>
      <c r="CT63" s="1"/>
      <c r="CU63" s="1">
        <f>(1/112*2240)*0.335680751173709</f>
        <v>6.7136150234741798</v>
      </c>
      <c r="CV63" s="1"/>
      <c r="CW63" s="1">
        <f>(1/112*2240)*0.588</f>
        <v>11.76</v>
      </c>
      <c r="CX63" s="1"/>
      <c r="CY63" s="1"/>
      <c r="CZ63" s="1"/>
      <c r="DC63" s="1">
        <v>4.7230508999952123</v>
      </c>
      <c r="DD63" s="1">
        <v>7.2153046811323982</v>
      </c>
      <c r="DE63" s="1"/>
      <c r="DF63" s="1"/>
    </row>
    <row r="64" spans="1:110" x14ac:dyDescent="0.25">
      <c r="A64" s="8">
        <f t="shared" si="3"/>
        <v>1897</v>
      </c>
      <c r="C64" s="17">
        <f>(1/240*2240)*1.10142857142857</f>
        <v>10.279999999999989</v>
      </c>
      <c r="D64" s="17">
        <f>(1/240*2240)*1.5</f>
        <v>14</v>
      </c>
      <c r="E64" s="1">
        <f>(1/240*2240)*0.966186005902793</f>
        <v>9.017736055092735</v>
      </c>
      <c r="F64" s="17">
        <f>2240*0.00534891375905201</f>
        <v>11.981566820276502</v>
      </c>
      <c r="H64" s="17"/>
      <c r="I64" s="1"/>
      <c r="J64" s="3"/>
      <c r="L64" s="1"/>
      <c r="M64" s="1"/>
      <c r="N64" s="1"/>
      <c r="O64" s="1">
        <v>7.0931797921745225</v>
      </c>
      <c r="P64" s="1"/>
      <c r="Q64" s="1"/>
      <c r="R64" s="17"/>
      <c r="S64" s="1">
        <f>(1/240*2240)*1.1629092</f>
        <v>10.853819200000002</v>
      </c>
      <c r="T64" s="1"/>
      <c r="U64" s="1"/>
      <c r="V64" s="17"/>
      <c r="W64" s="17"/>
      <c r="X64" s="1"/>
      <c r="Y64" s="1">
        <v>13.481481481481481</v>
      </c>
      <c r="Z64" s="1"/>
      <c r="AC64" s="17">
        <v>8.4163514776975159</v>
      </c>
      <c r="AD64" s="1"/>
      <c r="AE64" s="1"/>
      <c r="AG64" s="1">
        <v>8.5792486030723083</v>
      </c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>
        <v>6.7248556465690879</v>
      </c>
      <c r="AS64" s="1"/>
      <c r="AT64" s="1"/>
      <c r="AU64" s="1"/>
      <c r="AV64" s="3"/>
      <c r="AW64" s="1"/>
      <c r="AX64" s="1"/>
      <c r="AY64" s="18"/>
      <c r="AZ64" s="1"/>
      <c r="BA64" s="1">
        <v>24.150627615062739</v>
      </c>
      <c r="BB64" s="1"/>
      <c r="BC64" s="1"/>
      <c r="BD64" s="1"/>
      <c r="BG64" s="1"/>
      <c r="BH64" s="1"/>
      <c r="BI64" s="1"/>
      <c r="BJ64" s="1"/>
      <c r="BK64" s="1"/>
      <c r="BL64" s="1"/>
      <c r="BM64" s="1"/>
      <c r="BO64" s="1"/>
      <c r="BP64" s="1"/>
      <c r="BQ64" s="1"/>
      <c r="BR64" s="1"/>
      <c r="BS64" s="1"/>
      <c r="BT64" s="1"/>
      <c r="BU64" s="1"/>
      <c r="BV64" s="1"/>
      <c r="BW64" s="1"/>
      <c r="BX64" s="1">
        <f>2240*0.00574371162606457</f>
        <v>12.865914042384638</v>
      </c>
      <c r="BY64" s="3"/>
      <c r="BZ64" s="3"/>
      <c r="CA64" s="3"/>
      <c r="CB64" s="1"/>
      <c r="CC64" s="1"/>
      <c r="CD64" s="1"/>
      <c r="CE64" s="1"/>
      <c r="CG64" s="1"/>
      <c r="CH64" s="1"/>
      <c r="CI64" s="1"/>
      <c r="CJ64" s="1"/>
      <c r="CK64" s="1"/>
      <c r="CL64" s="1"/>
      <c r="CN64" s="1"/>
      <c r="CO64" s="1"/>
      <c r="CP64" s="1"/>
      <c r="CQ64" s="1"/>
      <c r="CR64" s="1"/>
      <c r="CS64" s="1"/>
      <c r="CT64" s="1"/>
      <c r="CU64" s="1">
        <f>(1/112*2240)*0.5</f>
        <v>10</v>
      </c>
      <c r="CV64" s="1"/>
      <c r="CW64" s="1">
        <f>(1/112*2240)*0.624444444444444</f>
        <v>12.48888888888888</v>
      </c>
      <c r="CX64" s="1"/>
      <c r="CY64" s="1"/>
      <c r="CZ64" s="1"/>
      <c r="DC64" s="1">
        <v>6.3161004233642988</v>
      </c>
      <c r="DD64" s="1">
        <v>8.822356347547192</v>
      </c>
      <c r="DE64" s="1"/>
      <c r="DF64" s="1"/>
    </row>
    <row r="65" spans="1:110" x14ac:dyDescent="0.25">
      <c r="A65" s="8">
        <f t="shared" si="3"/>
        <v>1898</v>
      </c>
      <c r="C65" s="17">
        <f>(1/240*2240)*1.1775</f>
        <v>10.99</v>
      </c>
      <c r="D65" s="17">
        <f>(1/240*2240)*1.78571428571429</f>
        <v>16.666666666666707</v>
      </c>
      <c r="E65" s="1">
        <f>(1/240*2240)*1.13476533505771</f>
        <v>10.591143127205294</v>
      </c>
      <c r="F65" s="17"/>
      <c r="H65" s="17"/>
      <c r="I65" s="1"/>
      <c r="J65" s="1"/>
      <c r="L65" s="1"/>
      <c r="M65" s="1"/>
      <c r="N65" s="1"/>
      <c r="O65" s="1">
        <v>9.2696740999568981</v>
      </c>
      <c r="P65" s="1"/>
      <c r="Q65" s="1"/>
      <c r="R65" s="17"/>
      <c r="S65" s="1">
        <f>(1/240*2240)*1.3090908</f>
        <v>12.218180800000003</v>
      </c>
      <c r="T65" s="1"/>
      <c r="U65" s="1"/>
      <c r="V65" s="17"/>
      <c r="W65" s="17"/>
      <c r="X65" s="1"/>
      <c r="Y65" s="1">
        <v>6.9091399999999989</v>
      </c>
      <c r="Z65" s="1"/>
      <c r="AB65" s="17"/>
      <c r="AD65" s="1"/>
      <c r="AE65" s="1"/>
      <c r="AF65" s="17"/>
      <c r="AG65" s="1">
        <v>8.3597175771088814</v>
      </c>
      <c r="AH65" s="1"/>
      <c r="AI65" s="1"/>
      <c r="AJ65" s="1"/>
      <c r="AK65" s="1"/>
      <c r="AL65" s="1"/>
      <c r="AM65" s="1"/>
      <c r="AN65" s="1"/>
      <c r="AO65" s="1">
        <f>AVERAGE(9.59183673469388,17.9166666666667)</f>
        <v>13.754251700680289</v>
      </c>
      <c r="AP65" s="1"/>
      <c r="AQ65" s="1"/>
      <c r="AR65" s="1">
        <v>8.146836061568532</v>
      </c>
      <c r="AS65" s="1"/>
      <c r="AT65" s="1"/>
      <c r="AU65" s="1"/>
      <c r="AV65" s="3"/>
      <c r="AW65" s="1"/>
      <c r="AX65" s="1"/>
      <c r="AY65" s="18"/>
      <c r="AZ65" s="1"/>
      <c r="BA65" s="1">
        <v>21.221896383186689</v>
      </c>
      <c r="BB65" s="1"/>
      <c r="BC65" s="1"/>
      <c r="BD65" s="1"/>
      <c r="BE65" s="1"/>
      <c r="BF65" s="3"/>
      <c r="BG65" s="3"/>
      <c r="BH65" s="3"/>
      <c r="BI65" s="3"/>
      <c r="BJ65" s="1"/>
      <c r="BK65" s="1"/>
      <c r="BL65" s="1"/>
      <c r="BM65" s="1"/>
      <c r="BO65" s="1"/>
      <c r="BP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G65" s="1"/>
      <c r="CH65" s="1"/>
      <c r="CI65" s="1"/>
      <c r="CJ65" s="1"/>
      <c r="CK65" s="1"/>
      <c r="CL65" s="1"/>
      <c r="CN65" s="1"/>
      <c r="CO65" s="1"/>
      <c r="CP65" s="1"/>
      <c r="CQ65" s="1"/>
      <c r="CR65" s="1"/>
      <c r="CS65" s="1"/>
      <c r="CT65" s="1"/>
      <c r="CU65" s="1">
        <f>(1/112*2240)*0.215962441314554</f>
        <v>4.31924882629108</v>
      </c>
      <c r="CV65" s="1"/>
      <c r="CW65" s="1">
        <f>(1/112*2240)*0.3125</f>
        <v>6.25</v>
      </c>
      <c r="CX65" s="1"/>
      <c r="CY65" s="1"/>
      <c r="CZ65" s="1"/>
      <c r="DC65" s="1">
        <v>6.9109026175786701</v>
      </c>
      <c r="DD65" s="1">
        <v>10.025843123984412</v>
      </c>
      <c r="DE65" s="1"/>
      <c r="DF65" s="1"/>
    </row>
    <row r="66" spans="1:110" x14ac:dyDescent="0.25">
      <c r="A66" s="8">
        <f t="shared" si="3"/>
        <v>1899</v>
      </c>
      <c r="C66" s="17">
        <f>(1/240*2240)*0.999642857142857</f>
        <v>9.33</v>
      </c>
      <c r="D66" s="17">
        <f>(1/240*2240)*1.35714285714286</f>
        <v>12.666666666666694</v>
      </c>
      <c r="E66" s="1">
        <f>(1/240*2240)*1.01650819371023</f>
        <v>9.4874098079621483</v>
      </c>
      <c r="F66" s="17"/>
      <c r="H66" s="17"/>
      <c r="I66" s="1"/>
      <c r="J66" s="1"/>
      <c r="L66" s="1"/>
      <c r="M66" s="1"/>
      <c r="N66" s="1"/>
      <c r="O66" s="1">
        <v>8.4916182397502684</v>
      </c>
      <c r="P66" s="1"/>
      <c r="Q66" s="1"/>
      <c r="R66" s="17"/>
      <c r="S66" s="1">
        <f>(1/240*2240)*1.0909092</f>
        <v>10.181819200000001</v>
      </c>
      <c r="T66" s="1"/>
      <c r="U66" s="1"/>
      <c r="V66" s="17"/>
      <c r="W66" s="17"/>
      <c r="X66" s="1"/>
      <c r="Y66" s="1">
        <v>11.039921143420404</v>
      </c>
      <c r="Z66" s="1"/>
      <c r="AB66" s="17"/>
      <c r="AD66" s="1"/>
      <c r="AE66" s="1"/>
      <c r="AF66" s="17"/>
      <c r="AG66" s="1">
        <v>7.742666325725394</v>
      </c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>
        <v>7.2265730488792865</v>
      </c>
      <c r="AS66" s="1"/>
      <c r="AT66" s="1"/>
      <c r="AU66" s="1"/>
      <c r="AV66" s="3"/>
      <c r="AW66" s="1"/>
      <c r="AX66" s="1"/>
      <c r="AY66" s="18"/>
      <c r="AZ66" s="1"/>
      <c r="BA66" s="1">
        <v>17.263723150357979</v>
      </c>
      <c r="BB66" s="1"/>
      <c r="BC66" s="1"/>
      <c r="BD66" s="1"/>
      <c r="BF66" s="1"/>
      <c r="BG66" s="1"/>
      <c r="BH66" s="1"/>
      <c r="BI66" s="1"/>
      <c r="BJ66" s="1"/>
      <c r="BK66" s="1"/>
      <c r="BL66" s="1"/>
      <c r="BM66" s="1"/>
      <c r="BO66" s="1"/>
      <c r="BP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G66" s="1"/>
      <c r="CH66" s="1"/>
      <c r="CI66" s="1"/>
      <c r="CJ66" s="1"/>
      <c r="CK66" s="1"/>
      <c r="CL66" s="1"/>
      <c r="CN66" s="1"/>
      <c r="CO66" s="1"/>
      <c r="CP66" s="1"/>
      <c r="CQ66" s="1"/>
      <c r="CR66" s="1"/>
      <c r="CS66" s="1"/>
      <c r="CT66" s="1"/>
      <c r="CU66" s="1">
        <f>(1/112*2240)*0.3001443001443</f>
        <v>6.002886002886</v>
      </c>
      <c r="CV66" s="1"/>
      <c r="CW66" s="1">
        <f>(1/112*2240)*0.3334</f>
        <v>6.6679999999999993</v>
      </c>
      <c r="CX66" s="1"/>
      <c r="CY66" s="1"/>
      <c r="CZ66" s="1"/>
      <c r="DC66" s="1">
        <v>7.0450051545520607</v>
      </c>
      <c r="DD66" s="1">
        <v>9.6959842498923337</v>
      </c>
      <c r="DE66" s="1"/>
      <c r="DF66" s="1"/>
    </row>
    <row r="67" spans="1:110" x14ac:dyDescent="0.25">
      <c r="A67" s="8">
        <f t="shared" si="3"/>
        <v>1900</v>
      </c>
      <c r="C67" s="17">
        <f>(1/240*2240)*1.005</f>
        <v>9.379999999999999</v>
      </c>
      <c r="D67" s="17">
        <f>(1/240*2240)*1.42857142857143</f>
        <v>13.333333333333346</v>
      </c>
      <c r="E67" s="1">
        <f>(1/240*2240)*0.910831599314612</f>
        <v>8.5010949269363785</v>
      </c>
      <c r="F67" s="17"/>
      <c r="H67" s="17"/>
      <c r="I67" s="1"/>
      <c r="J67" s="1"/>
      <c r="L67" s="1"/>
      <c r="M67" s="1"/>
      <c r="N67" s="1"/>
      <c r="O67" s="1">
        <v>8.0924366256441047</v>
      </c>
      <c r="P67" s="1"/>
      <c r="Q67" s="1"/>
      <c r="R67" s="17"/>
      <c r="S67" s="1">
        <f>(1/240*2240)*1.17363216</f>
        <v>10.95390016</v>
      </c>
      <c r="T67" s="1"/>
      <c r="U67" s="1"/>
      <c r="V67" s="17"/>
      <c r="W67" s="17"/>
      <c r="X67" s="1"/>
      <c r="Y67" s="1">
        <v>10.160499999999999</v>
      </c>
      <c r="Z67" s="1"/>
      <c r="AB67" s="17"/>
      <c r="AD67" s="1"/>
      <c r="AE67" s="1"/>
      <c r="AF67" s="17"/>
      <c r="AG67" s="1">
        <v>7.0387875688412676</v>
      </c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>
        <v>6.2217394256229213</v>
      </c>
      <c r="AS67" s="1"/>
      <c r="AT67" s="1"/>
      <c r="AU67" s="1"/>
      <c r="AV67" s="3"/>
      <c r="AW67" s="1"/>
      <c r="AX67" s="1"/>
      <c r="AY67" s="18"/>
      <c r="AZ67" s="1"/>
      <c r="BA67" s="1">
        <v>19.309045226130635</v>
      </c>
      <c r="BB67" s="1"/>
      <c r="BC67" s="1"/>
      <c r="BD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G67" s="1"/>
      <c r="CH67" s="1"/>
      <c r="CI67" s="1"/>
      <c r="CJ67" s="1"/>
      <c r="CK67" s="1"/>
      <c r="CL67" s="1"/>
      <c r="CN67" s="1"/>
      <c r="CO67" s="1"/>
      <c r="CP67" s="1"/>
      <c r="CQ67" s="1"/>
      <c r="CR67" s="1"/>
      <c r="CS67" s="1"/>
      <c r="CT67" s="1"/>
      <c r="CU67" s="1"/>
      <c r="CV67" s="1"/>
      <c r="CX67" s="1"/>
      <c r="CY67" s="1"/>
      <c r="CZ67" s="1"/>
      <c r="DC67" s="1">
        <v>6.4211715217859329</v>
      </c>
      <c r="DD67" s="1">
        <v>9.1997763015913421</v>
      </c>
      <c r="DE67" s="1"/>
      <c r="DF67" s="1"/>
    </row>
    <row r="68" spans="1:110" x14ac:dyDescent="0.25">
      <c r="A68" s="8">
        <f t="shared" si="3"/>
        <v>1901</v>
      </c>
      <c r="C68" s="17">
        <f>(1/240*2240)*0.981428571428571</f>
        <v>9.1599999999999966</v>
      </c>
      <c r="D68" s="17">
        <f>(1/240*2240)*1.5</f>
        <v>14</v>
      </c>
      <c r="E68" s="1">
        <f>(1/240*2240)*0.93599269321833</f>
        <v>8.7359318033710807</v>
      </c>
      <c r="F68" s="17"/>
      <c r="H68" s="17"/>
      <c r="I68" s="1"/>
      <c r="J68" s="1"/>
      <c r="L68" s="1"/>
      <c r="M68" s="1"/>
      <c r="N68" s="1"/>
      <c r="O68" s="1">
        <v>7.9781576023487473</v>
      </c>
      <c r="P68" s="1"/>
      <c r="Q68" s="1"/>
      <c r="R68" s="17"/>
      <c r="S68" s="1">
        <f>(1/240*2240)*1.04313912</f>
        <v>9.7359651200000012</v>
      </c>
      <c r="T68" s="1"/>
      <c r="U68" s="1"/>
      <c r="V68" s="17"/>
      <c r="W68" s="17"/>
      <c r="X68" s="1"/>
      <c r="Y68" s="1">
        <v>10.7532</v>
      </c>
      <c r="Z68" s="1"/>
      <c r="AB68" s="17"/>
      <c r="AD68" s="1"/>
      <c r="AE68" s="1"/>
      <c r="AF68" s="17"/>
      <c r="AG68" s="1">
        <v>6.5084552715309743</v>
      </c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>
        <v>6.361890126776796</v>
      </c>
      <c r="AS68" s="1"/>
      <c r="AT68" s="1"/>
      <c r="AU68" s="1"/>
      <c r="AV68" s="3"/>
      <c r="AW68" s="1"/>
      <c r="AX68" s="1"/>
      <c r="AY68" s="18"/>
      <c r="AZ68" s="1"/>
      <c r="BA68" s="1">
        <v>17.159340659340639</v>
      </c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G68" s="1"/>
      <c r="CH68" s="1"/>
      <c r="CI68" s="1"/>
      <c r="CJ68" s="1"/>
      <c r="CK68" s="1"/>
      <c r="CL68" s="1"/>
      <c r="CN68" s="1"/>
      <c r="CO68" s="1"/>
      <c r="CP68" s="1"/>
      <c r="CQ68" s="1"/>
      <c r="CR68" s="1"/>
      <c r="CS68" s="1"/>
      <c r="CT68" s="1"/>
      <c r="CU68" s="1"/>
      <c r="CV68" s="1"/>
      <c r="CX68" s="1"/>
      <c r="CY68" s="1"/>
      <c r="CZ68" s="1"/>
      <c r="DC68" s="1">
        <v>6.5403778333022178</v>
      </c>
      <c r="DD68" s="1">
        <v>9.6061092277810616</v>
      </c>
      <c r="DE68" s="1"/>
      <c r="DF68" s="1"/>
    </row>
    <row r="69" spans="1:110" x14ac:dyDescent="0.25">
      <c r="A69" s="8">
        <f t="shared" si="3"/>
        <v>1902</v>
      </c>
      <c r="C69" s="17">
        <f>(1/240*2240)*0.986785714285714</f>
        <v>9.2099999999999991</v>
      </c>
      <c r="D69" s="17">
        <f>(1/240*2240)*1.5</f>
        <v>14</v>
      </c>
      <c r="E69" s="1">
        <f>(1/240*2240)*0.930960474437587</f>
        <v>8.6889644280841463</v>
      </c>
      <c r="F69" s="17">
        <f>2240*0.00428571428571429</f>
        <v>9.6000000000000103</v>
      </c>
      <c r="H69" s="17"/>
      <c r="I69" s="1"/>
      <c r="J69" s="1"/>
      <c r="L69" s="1"/>
      <c r="M69" s="1"/>
      <c r="N69" s="1"/>
      <c r="O69" s="1">
        <v>7.9274179384710379</v>
      </c>
      <c r="P69" s="1"/>
      <c r="Q69" s="1"/>
      <c r="R69" s="17"/>
      <c r="S69" s="1">
        <f>(1/240*2240)*0.99448392</f>
        <v>9.2818499200000009</v>
      </c>
      <c r="T69" s="1"/>
      <c r="V69" s="17"/>
      <c r="W69" s="17"/>
      <c r="X69" s="1"/>
      <c r="Y69" s="1"/>
      <c r="Z69" s="1"/>
      <c r="AB69" s="17"/>
      <c r="AD69" s="1"/>
      <c r="AE69" s="1"/>
      <c r="AF69" s="17"/>
      <c r="AG69" s="1">
        <v>6.432215127867301</v>
      </c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6.0001507954459772</v>
      </c>
      <c r="AS69" s="1"/>
      <c r="AT69" s="1"/>
      <c r="AU69" s="1"/>
      <c r="AV69" s="3"/>
      <c r="AW69" s="1"/>
      <c r="AX69" s="1"/>
      <c r="AY69" s="18"/>
      <c r="AZ69" s="1"/>
      <c r="BA69" s="1">
        <v>17.082779991146509</v>
      </c>
      <c r="BB69" s="1"/>
      <c r="BC69" s="1"/>
      <c r="BD69" s="1"/>
      <c r="BE69" s="1"/>
      <c r="BF69" s="1"/>
      <c r="BG69" s="1"/>
      <c r="BH69" s="1"/>
      <c r="BI69" s="3"/>
      <c r="BJ69" s="1">
        <f>2240*0.00720922283334887</f>
        <v>16.148659146701469</v>
      </c>
      <c r="BK69" s="1"/>
      <c r="BL69" s="1"/>
      <c r="BM69" s="1"/>
      <c r="BN69" s="1"/>
      <c r="BO69" s="1"/>
      <c r="BP69" s="1"/>
      <c r="BR69" s="1"/>
      <c r="BS69" s="1"/>
      <c r="BT69" s="1"/>
      <c r="BU69" s="1"/>
      <c r="BV69" s="1">
        <f>2240*0.00398496172326596</f>
        <v>8.926314260115749</v>
      </c>
      <c r="BW69" s="1"/>
      <c r="BX69" s="1"/>
      <c r="BY69" s="1"/>
      <c r="BZ69" s="1"/>
      <c r="CA69" s="1"/>
      <c r="CB69" s="1"/>
      <c r="CC69" s="1"/>
      <c r="CD69" s="1"/>
      <c r="CE69" s="1"/>
      <c r="CG69" s="1"/>
      <c r="CH69" s="1"/>
      <c r="CI69" s="1"/>
      <c r="CJ69" s="1"/>
      <c r="CK69" s="1"/>
      <c r="CL69" s="1"/>
      <c r="CN69" s="1"/>
      <c r="CO69" s="1"/>
      <c r="CP69" s="1"/>
      <c r="CQ69" s="1"/>
      <c r="CR69" s="1"/>
      <c r="CS69" s="1"/>
      <c r="CT69" s="1"/>
      <c r="CU69" s="1"/>
      <c r="CV69" s="1"/>
      <c r="CX69" s="1"/>
      <c r="CY69" s="1"/>
      <c r="DC69" s="1">
        <v>6.8288650053147517</v>
      </c>
      <c r="DD69" s="1">
        <v>9.3524242057854483</v>
      </c>
      <c r="DE69" s="1"/>
      <c r="DF69" s="1"/>
    </row>
    <row r="70" spans="1:110" x14ac:dyDescent="0.25">
      <c r="A70" s="8">
        <f t="shared" si="3"/>
        <v>1903</v>
      </c>
      <c r="C70" s="17">
        <f>(1/240*2240)*1.01142857142857</f>
        <v>9.4399999999999871</v>
      </c>
      <c r="D70" s="17">
        <f>(1/240*2240)*1.46</f>
        <v>13.626666666666667</v>
      </c>
      <c r="E70" s="1">
        <f>(1/240*2240)*0.941024911999074</f>
        <v>8.7828991786580239</v>
      </c>
      <c r="G70" s="17"/>
      <c r="H70" s="17"/>
      <c r="I70" s="1"/>
      <c r="J70" s="1"/>
      <c r="L70" s="1"/>
      <c r="M70" s="1"/>
      <c r="N70" s="1"/>
      <c r="O70" s="1">
        <v>7.9902274581849158</v>
      </c>
      <c r="P70" s="1"/>
      <c r="Q70" s="1"/>
      <c r="R70" s="17"/>
      <c r="S70" s="1">
        <f>(1/240*2240)*0.97515024</f>
        <v>9.1014022400000005</v>
      </c>
      <c r="T70" s="1"/>
      <c r="V70" s="17"/>
      <c r="W70" s="17"/>
      <c r="X70" s="1"/>
      <c r="Y70" s="1"/>
      <c r="Z70" s="1"/>
      <c r="AB70" s="17"/>
      <c r="AD70" s="1"/>
      <c r="AE70" s="1"/>
      <c r="AF70" s="17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>
        <v>6.045316514832983</v>
      </c>
      <c r="AS70" s="1"/>
      <c r="AT70" s="1"/>
      <c r="AU70" s="1"/>
      <c r="AV70" s="3"/>
      <c r="AW70" s="1"/>
      <c r="AX70" s="1"/>
      <c r="AY70" s="18"/>
      <c r="AZ70" s="1"/>
      <c r="BA70" s="1">
        <v>18.706140350877174</v>
      </c>
      <c r="BB70" s="1"/>
      <c r="BC70" s="1"/>
      <c r="BD70" s="1"/>
      <c r="BF70" s="1"/>
      <c r="BG70" s="1"/>
      <c r="BH70" s="1"/>
      <c r="BI70" s="3"/>
      <c r="BJ70" s="1">
        <f>2240*0.00587221903191746</f>
        <v>13.15377063149511</v>
      </c>
      <c r="BK70" s="1"/>
      <c r="BL70" s="1"/>
      <c r="BM70" s="1"/>
      <c r="BN70" s="1"/>
      <c r="BP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G70" s="1"/>
      <c r="CH70" s="1"/>
      <c r="CI70" s="1"/>
      <c r="CJ70" s="1"/>
      <c r="CK70" s="1"/>
      <c r="CL70" s="1"/>
      <c r="CN70" s="1"/>
      <c r="CO70" s="1"/>
      <c r="CP70" s="1"/>
      <c r="CQ70" s="1"/>
      <c r="CR70" s="1"/>
      <c r="CS70" s="1"/>
      <c r="CT70" s="1"/>
      <c r="CU70" s="1"/>
      <c r="CV70" s="1"/>
      <c r="CX70" s="1"/>
      <c r="CY70" s="1"/>
      <c r="DC70" s="1">
        <v>6.8787404971154364</v>
      </c>
      <c r="DD70" s="1">
        <v>8.6427778636552901</v>
      </c>
      <c r="DE70" s="1"/>
      <c r="DF70" s="1"/>
    </row>
    <row r="71" spans="1:110" x14ac:dyDescent="0.25">
      <c r="A71" s="8">
        <f t="shared" si="3"/>
        <v>1904</v>
      </c>
      <c r="C71" s="17">
        <f>(1/240*2240)*1.05642857142857</f>
        <v>9.859999999999987</v>
      </c>
      <c r="D71" s="17">
        <f>(1/240*2240)*1.54</f>
        <v>14.373333333333335</v>
      </c>
      <c r="E71" s="1">
        <f>(1/240*2240)*1.0190243031006</f>
        <v>9.5108934956056022</v>
      </c>
      <c r="G71" s="17"/>
      <c r="H71" s="17"/>
      <c r="I71" s="1"/>
      <c r="J71" s="1"/>
      <c r="L71" s="1"/>
      <c r="M71" s="1"/>
      <c r="N71" s="1"/>
      <c r="O71" s="1">
        <v>8.0939469969975288</v>
      </c>
      <c r="P71" s="1"/>
      <c r="Q71" s="1"/>
      <c r="R71" s="17"/>
      <c r="S71" s="1">
        <f>(1/240*2240)*1.04636856</f>
        <v>9.766106559999999</v>
      </c>
      <c r="T71" s="1"/>
      <c r="V71" s="17"/>
      <c r="W71" s="17"/>
      <c r="X71" s="1"/>
      <c r="Y71" s="1"/>
      <c r="Z71" s="1"/>
      <c r="AB71" s="17"/>
      <c r="AD71" s="1"/>
      <c r="AE71" s="1"/>
      <c r="AF71" s="17"/>
      <c r="AG71" s="1">
        <v>6.660344542745233</v>
      </c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>
        <v>7.4933362949800086</v>
      </c>
      <c r="AS71" s="1"/>
      <c r="AT71" s="1"/>
      <c r="AU71" s="1"/>
      <c r="AV71" s="1"/>
      <c r="AW71" s="1"/>
      <c r="AX71" s="1"/>
      <c r="AY71" s="18"/>
      <c r="AZ71" s="1"/>
      <c r="BA71" s="1">
        <v>38.261384335154794</v>
      </c>
      <c r="BB71" s="1"/>
      <c r="BC71" s="1"/>
      <c r="BD71" s="1"/>
      <c r="BF71" s="1"/>
      <c r="BG71" s="1"/>
      <c r="BH71" s="1"/>
      <c r="BI71" s="3"/>
      <c r="BJ71" s="1">
        <f>2240*0.00425705189901533</f>
        <v>9.5357962537943379</v>
      </c>
      <c r="BK71" s="1"/>
      <c r="BL71" s="1"/>
      <c r="BM71" s="1"/>
      <c r="BN71" s="1"/>
      <c r="BO71" s="1"/>
      <c r="BP71" s="1"/>
      <c r="BQ71" s="12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G71" s="1"/>
      <c r="CH71" s="1"/>
      <c r="CI71" s="1"/>
      <c r="CJ71" s="1"/>
      <c r="CK71" s="1"/>
      <c r="CL71" s="1"/>
      <c r="CN71" s="1"/>
      <c r="CO71" s="1"/>
      <c r="CP71" s="1"/>
      <c r="CQ71" s="1"/>
      <c r="CR71" s="1"/>
      <c r="CS71" s="1"/>
      <c r="CT71" s="1"/>
      <c r="CU71" s="1"/>
      <c r="CV71" s="1"/>
      <c r="CX71" s="1"/>
      <c r="CY71" s="1"/>
      <c r="DC71" s="1">
        <v>6.6798812122079498</v>
      </c>
      <c r="DD71" s="1">
        <v>8.7178284893549289</v>
      </c>
      <c r="DE71" s="1"/>
      <c r="DF71" s="1"/>
    </row>
    <row r="72" spans="1:110" x14ac:dyDescent="0.25">
      <c r="A72" s="8">
        <f t="shared" ref="A72:A103" si="4">A71+1</f>
        <v>1905</v>
      </c>
      <c r="C72" s="17">
        <f>(1/240*2240)*1.08321428571429</f>
        <v>10.11000000000004</v>
      </c>
      <c r="D72" s="17">
        <f>(1/240*2240)*1.55</f>
        <v>14.466666666666669</v>
      </c>
      <c r="E72" s="1">
        <f>(1/240*2240)*1.14482977261919</f>
        <v>10.685077877779108</v>
      </c>
      <c r="F72" s="3">
        <f>2240*0.00821827744904668</f>
        <v>18.408941485864563</v>
      </c>
      <c r="G72" s="17"/>
      <c r="H72" s="17"/>
      <c r="I72" s="1"/>
      <c r="J72" s="1"/>
      <c r="L72" s="1"/>
      <c r="M72" s="1"/>
      <c r="N72" s="1"/>
      <c r="O72" s="1">
        <v>8.2758609465116599</v>
      </c>
      <c r="P72" s="1"/>
      <c r="Q72" s="1"/>
      <c r="R72" s="17"/>
      <c r="S72" s="1">
        <f>(1/240*2240)*1.0309092</f>
        <v>9.6218192000000009</v>
      </c>
      <c r="T72" s="1"/>
      <c r="U72" s="1"/>
      <c r="V72" s="17"/>
      <c r="W72" s="17"/>
      <c r="X72" s="1"/>
      <c r="Y72" s="1"/>
      <c r="Z72" s="1"/>
      <c r="AB72" s="17"/>
      <c r="AD72" s="1"/>
      <c r="AE72" s="1"/>
      <c r="AF72" s="17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>
        <v>7.5924219150025607</v>
      </c>
      <c r="AS72" s="1"/>
      <c r="AT72" s="1"/>
      <c r="AU72" s="1"/>
      <c r="AV72" s="1"/>
      <c r="AW72" s="1"/>
      <c r="AX72" s="1"/>
      <c r="AY72" s="18"/>
      <c r="AZ72" s="1"/>
      <c r="BA72" s="1">
        <v>39.03494347379236</v>
      </c>
      <c r="BB72" s="1"/>
      <c r="BC72" s="1"/>
      <c r="BD72" s="1"/>
      <c r="BE72" s="1"/>
      <c r="BF72" s="1"/>
      <c r="BG72" s="1"/>
      <c r="BH72" s="1"/>
      <c r="BI72" s="3"/>
      <c r="BJ72" s="1">
        <f>2240*0.00203202146179971</f>
        <v>4.5517280744313506</v>
      </c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F72" s="3"/>
      <c r="CG72" s="1"/>
      <c r="CH72" s="1"/>
      <c r="CI72" s="1"/>
      <c r="CJ72" s="1"/>
      <c r="CK72" s="1"/>
      <c r="CL72" s="1"/>
      <c r="CN72" s="1">
        <f>(1/240*2240)*1.14301948051948</f>
        <v>10.668181818181814</v>
      </c>
      <c r="CO72" s="1"/>
      <c r="CP72" s="1"/>
      <c r="CQ72" s="1"/>
      <c r="CR72" s="1"/>
      <c r="CS72" s="1"/>
      <c r="CT72" s="1"/>
      <c r="CU72" s="1"/>
      <c r="CV72" s="1"/>
      <c r="CX72" s="1"/>
      <c r="CY72" s="1"/>
      <c r="DC72" s="1">
        <v>6.7380679559432224</v>
      </c>
      <c r="DD72" s="1">
        <v>8.9470331896906927</v>
      </c>
      <c r="DE72" s="1"/>
      <c r="DF72" s="1"/>
    </row>
    <row r="73" spans="1:110" x14ac:dyDescent="0.25">
      <c r="A73" s="8">
        <f t="shared" si="4"/>
        <v>1906</v>
      </c>
      <c r="C73" s="17">
        <f>(1/240*2240)*1.02964285714286</f>
        <v>9.6100000000000279</v>
      </c>
      <c r="D73" s="17">
        <f>(1/240*2240)*1.54</f>
        <v>14.373333333333335</v>
      </c>
      <c r="E73" s="1">
        <f>(1/240*2240)*1.06934649090804</f>
        <v>9.9805672484750403</v>
      </c>
      <c r="F73" s="3">
        <f>2240*0.00824175824175824</f>
        <v>18.46153846153846</v>
      </c>
      <c r="G73" s="17"/>
      <c r="H73" s="17"/>
      <c r="I73" s="1"/>
      <c r="J73" s="1"/>
      <c r="L73" s="1"/>
      <c r="M73" s="1"/>
      <c r="N73" s="1"/>
      <c r="O73" s="1">
        <v>8.3462282807661072</v>
      </c>
      <c r="P73" s="1"/>
      <c r="Q73" s="1"/>
      <c r="R73" s="17"/>
      <c r="S73" s="1">
        <f>(1/240*2240)*1.06877016</f>
        <v>9.9751881600000001</v>
      </c>
      <c r="T73" s="1"/>
      <c r="U73" s="1"/>
      <c r="V73" s="17"/>
      <c r="W73" s="17"/>
      <c r="X73" s="1"/>
      <c r="Y73" s="1"/>
      <c r="Z73" s="1"/>
      <c r="AB73" s="17"/>
      <c r="AD73" s="1"/>
      <c r="AE73" s="1"/>
      <c r="AF73" s="17"/>
      <c r="AG73" s="1">
        <v>6.6025624906103699</v>
      </c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>
        <v>7.5457070122656784</v>
      </c>
      <c r="AS73" s="1"/>
      <c r="AT73" s="1"/>
      <c r="AU73" s="1"/>
      <c r="AV73" s="1"/>
      <c r="AW73" s="1"/>
      <c r="AX73" s="1"/>
      <c r="AY73" s="18"/>
      <c r="AZ73" s="1"/>
      <c r="BA73" s="1">
        <v>40.158192090395445</v>
      </c>
      <c r="BB73" s="1"/>
      <c r="BC73" s="1"/>
      <c r="BD73" s="1"/>
      <c r="BF73" s="1"/>
      <c r="BG73" s="1"/>
      <c r="BH73" s="1"/>
      <c r="BI73" s="3"/>
      <c r="BJ73" s="1">
        <f>2240*0.00708643539154647</f>
        <v>15.873615277064093</v>
      </c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>
        <f>2240*0.00339870431487593</f>
        <v>7.6130976653220825</v>
      </c>
      <c r="BZ73" s="1"/>
      <c r="CA73" s="3"/>
      <c r="CB73" s="3">
        <f>2240*0.00532924434640043</f>
        <v>11.937507335936964</v>
      </c>
      <c r="CC73" s="1"/>
      <c r="CD73" s="1"/>
      <c r="CE73" s="3">
        <f>2240*0.00559772659238394</f>
        <v>12.538907566940027</v>
      </c>
      <c r="CF73" s="3"/>
      <c r="CG73" s="3"/>
      <c r="CH73" s="1"/>
      <c r="CI73" s="1"/>
      <c r="CJ73" s="1"/>
      <c r="CK73" s="1"/>
      <c r="CL73" s="1"/>
      <c r="CN73" s="1">
        <f>(1/240*2240)*1.21427010148322</f>
        <v>11.333187613843387</v>
      </c>
      <c r="CO73" s="1"/>
      <c r="CP73" s="1"/>
      <c r="CQ73" s="1"/>
      <c r="CR73" s="1"/>
      <c r="CS73" s="1"/>
      <c r="CT73" s="1"/>
      <c r="CU73" s="1"/>
      <c r="CV73" s="1"/>
      <c r="CW73" s="1">
        <f>(1/112*2240)*0.326287262872629</f>
        <v>6.5257452574525798</v>
      </c>
      <c r="CX73" s="1">
        <f>(1/112*2240)*0.633928571428571</f>
        <v>12.67857142857142</v>
      </c>
      <c r="CY73" s="1"/>
      <c r="DC73" s="1">
        <v>6.5921502200136928</v>
      </c>
      <c r="DD73" s="1">
        <v>9.466618319659732</v>
      </c>
      <c r="DE73" s="1"/>
      <c r="DF73" s="1"/>
    </row>
    <row r="74" spans="1:110" x14ac:dyDescent="0.25">
      <c r="A74" s="8">
        <f t="shared" si="4"/>
        <v>1907</v>
      </c>
      <c r="C74" s="17">
        <f>(1/240*2240)*1.07892857142857</f>
        <v>10.069999999999986</v>
      </c>
      <c r="D74" s="17">
        <f>(1/240*2240)*1.61</f>
        <v>15.026666666666669</v>
      </c>
      <c r="E74" s="1">
        <f>(1/240*2240)*1.00392764675837</f>
        <v>9.3699913697447865</v>
      </c>
      <c r="F74" s="17">
        <f>2240*0.00357142857142857</f>
        <v>7.9999999999999964</v>
      </c>
      <c r="H74" s="17"/>
      <c r="I74" s="1"/>
      <c r="J74" s="3"/>
      <c r="K74" s="1"/>
      <c r="L74" s="1"/>
      <c r="M74" s="1"/>
      <c r="N74" s="1"/>
      <c r="O74" s="1">
        <v>8.8618295272685508</v>
      </c>
      <c r="P74" s="1"/>
      <c r="Q74" s="1"/>
      <c r="R74" s="17"/>
      <c r="S74" s="1">
        <f>(1/240*2240)*1.13487696</f>
        <v>10.592184960000001</v>
      </c>
      <c r="T74" s="1"/>
      <c r="U74" s="1"/>
      <c r="V74" s="17"/>
      <c r="W74" s="17"/>
      <c r="X74" s="1"/>
      <c r="Y74" s="1"/>
      <c r="Z74" s="1"/>
      <c r="AB74" s="17"/>
      <c r="AD74" s="1"/>
      <c r="AE74" s="1"/>
      <c r="AF74" s="17"/>
      <c r="AG74" s="1">
        <v>7.0015315850342263</v>
      </c>
      <c r="AH74" s="1"/>
      <c r="AI74" s="1"/>
      <c r="AJ74" s="1"/>
      <c r="AK74" s="1"/>
      <c r="AL74" s="1"/>
      <c r="AM74" s="1"/>
      <c r="AN74" s="1"/>
      <c r="AO74" s="1"/>
      <c r="AP74" s="1">
        <v>4.1033434650455929</v>
      </c>
      <c r="AQ74" s="1"/>
      <c r="AR74" s="1">
        <v>8.1914123124676657</v>
      </c>
      <c r="AS74" s="1"/>
      <c r="AT74" s="1"/>
      <c r="AU74" s="1"/>
      <c r="AV74" s="1"/>
      <c r="AW74" s="1"/>
      <c r="AX74" s="1"/>
      <c r="AY74" s="18"/>
      <c r="AZ74" s="1"/>
      <c r="BA74" s="1">
        <v>41.713586291309625</v>
      </c>
      <c r="BB74" s="1"/>
      <c r="BC74" s="1"/>
      <c r="BD74" s="1"/>
      <c r="BF74" s="1"/>
      <c r="BH74" s="1"/>
      <c r="BI74" s="3"/>
      <c r="BJ74" s="1">
        <f>2240*0.000745528065922455</f>
        <v>1.6699828676662991</v>
      </c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>
        <f>2240*0.00307398322384812</f>
        <v>6.8857224214197883</v>
      </c>
      <c r="BZ74" s="1"/>
      <c r="CA74" s="3"/>
      <c r="CB74" s="3">
        <f>2240*0.00567030934145818</f>
        <v>12.701492924866324</v>
      </c>
      <c r="CC74" s="1"/>
      <c r="CD74" s="1"/>
      <c r="CE74" s="3">
        <f>2240*0.00564374350903115</f>
        <v>12.641985460229776</v>
      </c>
      <c r="CF74" s="3"/>
      <c r="CG74" s="3"/>
      <c r="CH74" s="1"/>
      <c r="CI74" s="1"/>
      <c r="CJ74" s="1"/>
      <c r="CK74" s="1"/>
      <c r="CL74" s="1"/>
      <c r="CN74" s="1">
        <f>(1/240*2240)*1.14290767598161</f>
        <v>10.667138309161693</v>
      </c>
      <c r="CO74" s="1"/>
      <c r="CP74" s="1"/>
      <c r="CQ74" s="1"/>
      <c r="CR74" s="1"/>
      <c r="CS74" s="1"/>
      <c r="CT74" s="1"/>
      <c r="CU74" s="1"/>
      <c r="CV74" s="1"/>
      <c r="CW74" s="1">
        <f>(1/112*2240)*0.408606245239909</f>
        <v>8.1721249047981797</v>
      </c>
      <c r="CX74" s="1">
        <f>(1/112*2240)*0.598765432098765</f>
        <v>11.9753086419753</v>
      </c>
      <c r="CY74" s="1"/>
      <c r="DC74" s="1">
        <v>7.1776721918233779</v>
      </c>
      <c r="DD74" s="1">
        <v>9.5416525141057242</v>
      </c>
      <c r="DE74" s="1"/>
      <c r="DF74" s="1"/>
    </row>
    <row r="75" spans="1:110" x14ac:dyDescent="0.25">
      <c r="A75" s="8">
        <f t="shared" si="4"/>
        <v>1908</v>
      </c>
      <c r="C75" s="17">
        <f>(1/240*2240)*1.16892857142857</f>
        <v>10.909999999999988</v>
      </c>
      <c r="D75" s="17">
        <f>(1/240*2240)*1.71</f>
        <v>15.96</v>
      </c>
      <c r="E75" s="1">
        <f>(1/240*2240)*1.15992642896143</f>
        <v>10.825980003640014</v>
      </c>
      <c r="F75" s="17">
        <f>2240*0.00625</f>
        <v>14</v>
      </c>
      <c r="H75" s="17"/>
      <c r="I75" s="1"/>
      <c r="J75" s="3"/>
      <c r="K75" s="1"/>
      <c r="L75" s="1"/>
      <c r="M75" s="1"/>
      <c r="N75" s="1"/>
      <c r="O75" s="1">
        <v>10.435812798237089</v>
      </c>
      <c r="P75" s="1"/>
      <c r="Q75" s="1"/>
      <c r="R75" s="17"/>
      <c r="S75" s="1">
        <f>(1/240*2240)*1.27862064</f>
        <v>11.93379264</v>
      </c>
      <c r="T75" s="1"/>
      <c r="U75" s="1"/>
      <c r="V75" s="17"/>
      <c r="W75" s="17"/>
      <c r="X75" s="1"/>
      <c r="Y75" s="1"/>
      <c r="Z75" s="1"/>
      <c r="AA75" s="1"/>
      <c r="AB75" s="17"/>
      <c r="AC75" s="17"/>
      <c r="AD75" s="1"/>
      <c r="AE75" s="1"/>
      <c r="AF75" s="17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>
        <v>10.549022788095046</v>
      </c>
      <c r="AS75" s="1"/>
      <c r="AT75" s="1"/>
      <c r="AU75" s="1"/>
      <c r="AV75" s="1"/>
      <c r="AW75" s="1"/>
      <c r="AX75" s="1"/>
      <c r="AY75" s="22"/>
      <c r="AZ75" s="1"/>
      <c r="BA75" s="1">
        <v>41.028419182948447</v>
      </c>
      <c r="BB75" s="1"/>
      <c r="BC75" s="1"/>
      <c r="BD75" s="1"/>
      <c r="BF75" s="1"/>
      <c r="BG75" s="1"/>
      <c r="BI75" s="3"/>
      <c r="BJ75" s="1">
        <f>2240*0.0103737446940677</f>
        <v>23.237188114711646</v>
      </c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>
        <f>2240*0.00591422415260225</f>
        <v>13.247862101829041</v>
      </c>
      <c r="BZ75" s="1"/>
      <c r="CA75" s="3"/>
      <c r="CB75" s="3">
        <f>2240*0.00569623042050394</f>
        <v>12.759556141928826</v>
      </c>
      <c r="CC75" s="1"/>
      <c r="CD75" s="1"/>
      <c r="CE75" s="3">
        <f>2240*0.00565353899424883</f>
        <v>12.663927347117378</v>
      </c>
      <c r="CF75" s="3"/>
      <c r="CG75" s="3"/>
      <c r="CH75" s="1">
        <f>2240*0.00438309967235295</f>
        <v>9.8181432660706083</v>
      </c>
      <c r="CI75" s="3"/>
      <c r="CJ75" s="1"/>
      <c r="CK75" s="1"/>
      <c r="CL75" s="1"/>
      <c r="CN75" s="1">
        <f>(1/240*2240)*1.14285714285714</f>
        <v>10.666666666666639</v>
      </c>
      <c r="CO75" s="1"/>
      <c r="CP75" s="1"/>
      <c r="CQ75" s="1"/>
      <c r="CR75" s="1"/>
      <c r="CS75" s="1"/>
      <c r="CT75" s="1"/>
      <c r="CU75" s="1"/>
      <c r="CV75" s="1"/>
      <c r="CW75" s="1">
        <f>(1/112*2240)*0.482283464566929</f>
        <v>9.6456692913385798</v>
      </c>
      <c r="CX75" s="1">
        <f>(1/112*2240)*0.595541401273885</f>
        <v>11.9108280254777</v>
      </c>
      <c r="CY75" s="1"/>
      <c r="DC75" s="1">
        <v>8.3761163387510695</v>
      </c>
      <c r="DD75" s="1">
        <v>10.040140788307049</v>
      </c>
      <c r="DE75" s="1"/>
      <c r="DF75" s="1"/>
    </row>
    <row r="76" spans="1:110" x14ac:dyDescent="0.25">
      <c r="A76" s="8">
        <f t="shared" si="4"/>
        <v>1909</v>
      </c>
      <c r="C76" s="17">
        <f>(1/240*2240)*1.23535714285714</f>
        <v>11.529999999999973</v>
      </c>
      <c r="D76" s="17">
        <f>(1/240*2240)*1.81</f>
        <v>16.893333333333334</v>
      </c>
      <c r="E76" s="1">
        <f>(1/240*2240)*1.22282916372072</f>
        <v>11.413072194726722</v>
      </c>
      <c r="F76" s="17">
        <f>2240*0.00714285714285714</f>
        <v>15.999999999999993</v>
      </c>
      <c r="H76" s="17"/>
      <c r="I76" s="1"/>
      <c r="J76" s="1"/>
      <c r="K76" s="1"/>
      <c r="L76" s="1"/>
      <c r="M76" s="1"/>
      <c r="N76" s="1"/>
      <c r="O76" s="1">
        <v>10.686392414103759</v>
      </c>
      <c r="P76" s="1"/>
      <c r="Q76" s="1"/>
      <c r="R76" s="17"/>
      <c r="S76" s="1">
        <f>(1/240*2240)*1.46931696</f>
        <v>13.713624960000001</v>
      </c>
      <c r="T76" s="1"/>
      <c r="U76" s="1"/>
      <c r="V76" s="17"/>
      <c r="W76" s="17"/>
      <c r="X76" s="1"/>
      <c r="Y76" s="1"/>
      <c r="Z76" s="1"/>
      <c r="AA76" s="1"/>
      <c r="AB76" s="17"/>
      <c r="AC76" s="17"/>
      <c r="AD76" s="1"/>
      <c r="AE76" s="1"/>
      <c r="AF76" s="17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>
        <v>10.706521739130434</v>
      </c>
      <c r="AS76" s="1"/>
      <c r="AT76" s="1"/>
      <c r="AU76" s="1"/>
      <c r="AV76" s="1"/>
      <c r="AW76" s="1"/>
      <c r="AX76" s="1"/>
      <c r="AY76" s="22">
        <v>4.3719575847480909</v>
      </c>
      <c r="AZ76" s="1"/>
      <c r="BA76" s="1">
        <v>56.554385964912235</v>
      </c>
      <c r="BB76" s="1"/>
      <c r="BC76" s="1"/>
      <c r="BD76" s="1"/>
      <c r="BE76" s="1"/>
      <c r="BF76" s="1"/>
      <c r="BG76" s="1"/>
      <c r="BH76" s="1"/>
      <c r="BI76" s="3"/>
      <c r="BJ76" s="1">
        <f>2240*0.0105419206061604</f>
        <v>23.613902157799295</v>
      </c>
      <c r="BK76" s="1"/>
      <c r="BL76" s="1"/>
      <c r="BM76" s="1"/>
      <c r="BN76" s="1"/>
      <c r="BO76" s="1"/>
      <c r="BP76" s="1"/>
      <c r="BQ76" s="12"/>
      <c r="BR76" s="1"/>
      <c r="BS76" s="1"/>
      <c r="BT76" s="1"/>
      <c r="BU76" s="1"/>
      <c r="BV76" s="1"/>
      <c r="BW76" s="1"/>
      <c r="BX76" s="1"/>
      <c r="BY76" s="1">
        <f>2240*0.00584105887637016</f>
        <v>13.083971883069159</v>
      </c>
      <c r="BZ76" s="1"/>
      <c r="CA76" s="3"/>
      <c r="CB76" s="3">
        <f>2240*0.00578823223230033</f>
        <v>12.965640200352739</v>
      </c>
      <c r="CC76" s="1"/>
      <c r="CD76" s="1"/>
      <c r="CE76" s="3">
        <f>2240*0.00549919867988207</f>
        <v>12.318205042935837</v>
      </c>
      <c r="CF76" s="3"/>
      <c r="CG76" s="3"/>
      <c r="CH76" s="1">
        <f>2240*0.00445887102546296</f>
        <v>9.987871097037031</v>
      </c>
      <c r="CI76" s="3"/>
      <c r="CJ76" s="1"/>
      <c r="CK76" s="1"/>
      <c r="CL76" s="1"/>
      <c r="CN76" s="1"/>
      <c r="CO76" s="1"/>
      <c r="CP76" s="1"/>
      <c r="CQ76" s="1"/>
      <c r="CR76" s="1"/>
      <c r="CS76" s="1"/>
      <c r="CT76" s="1"/>
      <c r="CU76" s="1"/>
      <c r="CV76" s="1"/>
      <c r="CW76" s="1">
        <f>(1/112*2240)*0.48289193891359</f>
        <v>9.6578387782718007</v>
      </c>
      <c r="CX76" s="1">
        <f>(1/112*2240)*0.730146187277756</f>
        <v>14.60292374555512</v>
      </c>
      <c r="CY76" s="1"/>
      <c r="DC76" s="1">
        <v>8.6208024285013494</v>
      </c>
      <c r="DD76" s="1">
        <v>11.540624527684537</v>
      </c>
      <c r="DE76" s="1"/>
      <c r="DF76" s="1"/>
    </row>
    <row r="77" spans="1:110" x14ac:dyDescent="0.25">
      <c r="A77" s="8">
        <f t="shared" si="4"/>
        <v>1910</v>
      </c>
      <c r="C77" s="17">
        <f>(1/240*2240)*1.18607142857143</f>
        <v>11.070000000000014</v>
      </c>
      <c r="D77" s="17">
        <f>(1/240*2240)*1.66</f>
        <v>15.493333333333334</v>
      </c>
      <c r="E77" s="1">
        <f>(1/240*2240)*1.32598964872597</f>
        <v>12.375903388109053</v>
      </c>
      <c r="G77" s="17"/>
      <c r="H77" s="17"/>
      <c r="I77" s="1"/>
      <c r="J77" s="1"/>
      <c r="K77" s="1"/>
      <c r="L77" s="1"/>
      <c r="M77" s="1"/>
      <c r="N77" s="1"/>
      <c r="O77" s="1">
        <v>10.410808476293937</v>
      </c>
      <c r="P77" s="1"/>
      <c r="Q77" s="1"/>
      <c r="R77" s="17"/>
      <c r="S77" s="1">
        <f>(1/240*2240)*1.20563712</f>
        <v>11.252613120000001</v>
      </c>
      <c r="T77" s="1"/>
      <c r="U77" s="1"/>
      <c r="V77" s="17"/>
      <c r="W77" s="17"/>
      <c r="X77" s="1"/>
      <c r="Y77" s="1"/>
      <c r="Z77" s="1"/>
      <c r="AA77" s="1"/>
      <c r="AB77" s="17"/>
      <c r="AC77" s="1"/>
      <c r="AD77" s="1"/>
      <c r="AE77" s="1"/>
      <c r="AF77" s="17"/>
      <c r="AG77" s="1"/>
      <c r="AH77" s="1"/>
      <c r="AI77" s="1"/>
      <c r="AJ77" s="1"/>
      <c r="AK77" s="1"/>
      <c r="AL77" s="1">
        <v>9.5971948865916339</v>
      </c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3"/>
      <c r="AZ77" s="1"/>
      <c r="BA77" s="1">
        <v>35.046249999999972</v>
      </c>
      <c r="BB77" s="1"/>
      <c r="BC77" s="1"/>
      <c r="BD77" s="1"/>
      <c r="BE77" s="1"/>
      <c r="BF77" s="1"/>
      <c r="BG77" s="1"/>
      <c r="BH77" s="1"/>
      <c r="BI77" s="3"/>
      <c r="BJ77" s="1">
        <f>2240*0.00836621941594317</f>
        <v>18.740331491712702</v>
      </c>
      <c r="BK77" s="1"/>
      <c r="BL77" s="1"/>
      <c r="BM77" s="1"/>
      <c r="BN77" s="1"/>
      <c r="BO77" s="1"/>
      <c r="BP77" s="1"/>
      <c r="BQ77" s="1"/>
      <c r="BR77" s="3"/>
      <c r="BS77" s="1"/>
      <c r="BT77" s="1"/>
      <c r="BU77" s="1"/>
      <c r="BV77" s="1"/>
      <c r="BW77" s="1"/>
      <c r="BX77" s="1"/>
      <c r="BY77" s="1">
        <f>2240*0.00552954683545933</f>
        <v>12.386184911428899</v>
      </c>
      <c r="BZ77" s="1"/>
      <c r="CA77" s="3"/>
      <c r="CB77" s="3">
        <f>2240*0.0052310851663782</f>
        <v>11.717630772687169</v>
      </c>
      <c r="CC77" s="1"/>
      <c r="CD77" s="1"/>
      <c r="CE77" s="1">
        <f>2240*0.00545616616931238</f>
        <v>12.221812219259732</v>
      </c>
      <c r="CF77" s="3"/>
      <c r="CG77" s="3"/>
      <c r="CH77" s="1">
        <f>2240*0.0030216735903192</f>
        <v>6.768548842315008</v>
      </c>
      <c r="CI77" s="3"/>
      <c r="CJ77" s="1"/>
      <c r="CK77" s="1"/>
      <c r="CL77" s="3"/>
      <c r="CN77" s="1"/>
      <c r="CO77" s="1"/>
      <c r="CP77" s="1"/>
      <c r="CQ77" s="1">
        <f>(1/112*2240)*0.50500645994832</f>
        <v>10.100129198966401</v>
      </c>
      <c r="CR77" s="1"/>
      <c r="CS77" s="1"/>
      <c r="CT77" s="1"/>
      <c r="CU77" s="1"/>
      <c r="CV77" s="1"/>
      <c r="CW77" s="1">
        <f>(1/112*2240)*0.493492407809111</f>
        <v>9.8698481561822202</v>
      </c>
      <c r="CX77" s="1">
        <f>(1/112*2240)*0.828258221680877</f>
        <v>16.565164433617539</v>
      </c>
      <c r="CY77" s="1"/>
      <c r="DC77" s="1">
        <v>8.0629282420254906</v>
      </c>
      <c r="DD77" s="1">
        <v>11.293315189949249</v>
      </c>
      <c r="DE77" s="1"/>
      <c r="DF77" s="1"/>
    </row>
    <row r="78" spans="1:110" x14ac:dyDescent="0.25">
      <c r="A78" s="8">
        <f t="shared" si="4"/>
        <v>1911</v>
      </c>
      <c r="C78" s="17">
        <f>(1/240*2240)*1.12392857142857</f>
        <v>10.489999999999988</v>
      </c>
      <c r="D78" s="17">
        <f>(1/240*2240)*1.6</f>
        <v>14.933333333333335</v>
      </c>
      <c r="E78" s="1">
        <f>(1/240*2240)*1.22786138250147</f>
        <v>11.46003957001372</v>
      </c>
      <c r="F78" s="1"/>
      <c r="G78" s="17"/>
      <c r="H78" s="17"/>
      <c r="I78" s="1"/>
      <c r="J78" s="3"/>
      <c r="K78" s="1"/>
      <c r="L78" s="1"/>
      <c r="M78" s="1"/>
      <c r="N78" s="1"/>
      <c r="O78" s="1">
        <v>10.469004823439835</v>
      </c>
      <c r="P78" s="1"/>
      <c r="Q78" s="1"/>
      <c r="R78" s="17"/>
      <c r="S78" s="1">
        <f>(1/240*2240)*1.2000048</f>
        <v>11.200044800000002</v>
      </c>
      <c r="T78" s="1"/>
      <c r="U78" s="1"/>
      <c r="V78" s="17"/>
      <c r="W78" s="17"/>
      <c r="X78" s="1"/>
      <c r="Y78" s="1"/>
      <c r="Z78" s="1"/>
      <c r="AA78" s="1"/>
      <c r="AB78" s="17"/>
      <c r="AC78" s="1"/>
      <c r="AD78" s="1"/>
      <c r="AE78" s="1"/>
      <c r="AF78" s="17"/>
      <c r="AG78" s="1"/>
      <c r="AH78" s="1"/>
      <c r="AI78" s="1"/>
      <c r="AJ78" s="1"/>
      <c r="AK78" s="1"/>
      <c r="AL78" s="1">
        <v>9.6973443931145429</v>
      </c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>
        <v>32.30100755667506</v>
      </c>
      <c r="BB78" s="1"/>
      <c r="BC78" s="1"/>
      <c r="BD78" s="1"/>
      <c r="BE78" s="1"/>
      <c r="BF78" s="1"/>
      <c r="BG78" s="1"/>
      <c r="BH78" s="1"/>
      <c r="BI78" s="3"/>
      <c r="BJ78" s="1">
        <f>2240*0.0109008638420403</f>
        <v>24.417935006170275</v>
      </c>
      <c r="BK78" s="1"/>
      <c r="BL78" s="1"/>
      <c r="BM78" s="1"/>
      <c r="BN78" s="1"/>
      <c r="BO78" s="1"/>
      <c r="BP78" s="1"/>
      <c r="BQ78" s="1"/>
      <c r="BR78" s="3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G78" s="1"/>
      <c r="CH78" s="1"/>
      <c r="CI78" s="1"/>
      <c r="CJ78" s="1"/>
      <c r="CK78" s="1"/>
      <c r="CL78" s="3"/>
      <c r="CN78" s="1"/>
      <c r="CO78" s="1"/>
      <c r="CP78" s="1"/>
      <c r="CQ78" s="1">
        <f>(1/112*2240)*0.468085106382979</f>
        <v>9.36170212765958</v>
      </c>
      <c r="CR78" s="1"/>
      <c r="CS78" s="1"/>
      <c r="CT78" s="1"/>
      <c r="CU78" s="1"/>
      <c r="CV78" s="1"/>
      <c r="CW78" s="1">
        <f>(1/112*2240)*0.698905109489051</f>
        <v>13.978102189781021</v>
      </c>
      <c r="CX78" s="1">
        <f>(1/112*2240)*0.632938643702906</f>
        <v>12.658772874058119</v>
      </c>
      <c r="CY78" s="1"/>
      <c r="DC78" s="1">
        <v>8.7266719203352796</v>
      </c>
      <c r="DD78" s="1">
        <v>10.458600039501288</v>
      </c>
      <c r="DE78" s="1"/>
      <c r="DF78" s="1"/>
    </row>
    <row r="79" spans="1:110" x14ac:dyDescent="0.25">
      <c r="A79" s="8">
        <f t="shared" si="4"/>
        <v>1912</v>
      </c>
      <c r="C79" s="17">
        <f>(1/240*2240)*1.16035714285714</f>
        <v>10.829999999999973</v>
      </c>
      <c r="D79" s="17">
        <f>(1/240*2240)*1.69</f>
        <v>15.773333333333333</v>
      </c>
      <c r="E79" s="1">
        <f>(1/240*2240)*1.16495864774217</f>
        <v>10.872947378926922</v>
      </c>
      <c r="F79" s="1"/>
      <c r="G79" s="17"/>
      <c r="H79" s="17"/>
      <c r="I79" s="1"/>
      <c r="J79" s="3"/>
      <c r="K79" s="1"/>
      <c r="L79" s="1"/>
      <c r="M79" s="1"/>
      <c r="N79" s="1"/>
      <c r="O79" s="1">
        <v>11.008532626105549</v>
      </c>
      <c r="P79" s="1"/>
      <c r="Q79" s="1"/>
      <c r="R79" s="17"/>
      <c r="S79" s="1">
        <f>(1/240*2240)*1.39636368</f>
        <v>13.032727680000002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7"/>
      <c r="AG79" s="1"/>
      <c r="AH79" s="1"/>
      <c r="AI79" s="1"/>
      <c r="AJ79" s="1"/>
      <c r="AK79" s="1"/>
      <c r="AL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>
        <v>30.1100826446281</v>
      </c>
      <c r="BB79" s="1"/>
      <c r="BC79" s="1"/>
      <c r="BD79" s="1"/>
      <c r="BE79" s="1"/>
      <c r="BF79" s="1"/>
      <c r="BG79" s="1"/>
      <c r="BH79" s="1"/>
      <c r="BI79" s="1"/>
      <c r="BJ79" s="1">
        <f>2240*0.00904936966972777</f>
        <v>20.270588060190203</v>
      </c>
      <c r="BK79" s="1"/>
      <c r="BL79" s="1"/>
      <c r="BM79" s="1"/>
      <c r="BN79" s="1"/>
      <c r="BO79" s="1"/>
      <c r="BP79" s="1"/>
      <c r="BQ79" s="1"/>
      <c r="BR79" s="3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N79" s="1">
        <f>(1/240*2240)*0.975506756756757</f>
        <v>9.1047297297297334</v>
      </c>
      <c r="CO79" s="1"/>
      <c r="CP79" s="1"/>
      <c r="CQ79" s="1"/>
      <c r="CR79" s="1"/>
      <c r="CS79" s="1"/>
      <c r="CT79" s="1"/>
      <c r="CU79" s="1"/>
      <c r="CV79" s="1"/>
      <c r="CW79" s="1">
        <f>(1/112*2240)*0.540364583333333</f>
        <v>10.807291666666661</v>
      </c>
      <c r="CX79" s="1">
        <f>(1/112*2240)*0.567918088737201</f>
        <v>11.358361774744019</v>
      </c>
      <c r="CY79" s="1"/>
      <c r="DC79" s="1">
        <v>8.9123355340783341</v>
      </c>
      <c r="DD79" s="1">
        <v>10.298618217796811</v>
      </c>
      <c r="DE79" s="1"/>
      <c r="DF79" s="1"/>
    </row>
    <row r="80" spans="1:110" x14ac:dyDescent="0.25">
      <c r="A80" s="8">
        <f t="shared" si="4"/>
        <v>1913</v>
      </c>
      <c r="C80" s="17">
        <f>(1/240*2240)*1.13571428571429</f>
        <v>10.600000000000041</v>
      </c>
      <c r="D80" s="17">
        <f>(1/240*2240)*1.69</f>
        <v>15.773333333333333</v>
      </c>
      <c r="E80" s="1">
        <f>(1/240*2240)*1.17446392019802</f>
        <v>10.961663255181522</v>
      </c>
      <c r="F80" s="1"/>
      <c r="G80" s="17"/>
      <c r="H80" s="1"/>
      <c r="I80" s="1"/>
      <c r="J80" s="1"/>
      <c r="L80" s="1"/>
      <c r="M80" s="1"/>
      <c r="N80" s="1"/>
      <c r="O80" s="1">
        <v>10.961800789155768</v>
      </c>
      <c r="P80" s="1"/>
      <c r="Q80" s="1"/>
      <c r="R80" s="17"/>
      <c r="S80" s="1">
        <f>(1/240*2240)*1.411062</f>
        <v>13.169912000000002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7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>
        <v>28.538362068965519</v>
      </c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N80" s="1">
        <f>(1/240*2240)*1.238</f>
        <v>11.554666666666668</v>
      </c>
      <c r="CO80" s="1"/>
      <c r="CP80" s="1"/>
      <c r="CQ80" s="1"/>
      <c r="CR80" s="1"/>
      <c r="CS80" s="1"/>
      <c r="CT80" s="1"/>
      <c r="CU80" s="1"/>
      <c r="CV80" s="1"/>
      <c r="CX80" s="1"/>
      <c r="CY80" s="1"/>
      <c r="DC80" s="1">
        <v>9.4442518900418087</v>
      </c>
      <c r="DD80" s="1">
        <v>10.475692881134792</v>
      </c>
      <c r="DE80" s="1"/>
      <c r="DF80" s="1"/>
    </row>
    <row r="81" spans="1:110" x14ac:dyDescent="0.25">
      <c r="A81" s="8">
        <f t="shared" si="4"/>
        <v>1914</v>
      </c>
      <c r="C81" s="17">
        <f>(1/240*2240)*1.18178571428571</f>
        <v>11.02999999999996</v>
      </c>
      <c r="D81" s="17">
        <f>(1/240*2240)*1.58</f>
        <v>14.746666666666668</v>
      </c>
      <c r="E81" s="1"/>
      <c r="F81" s="1"/>
      <c r="G81" s="1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7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>
        <f>(1/240*2240)*1.15233430861214</f>
        <v>10.755120213713308</v>
      </c>
      <c r="CO81" s="1"/>
      <c r="CP81" s="1"/>
      <c r="CQ81" s="1"/>
      <c r="CR81" s="1"/>
      <c r="CS81" s="1"/>
      <c r="CT81" s="1"/>
      <c r="CU81" s="1"/>
      <c r="CV81" s="1"/>
      <c r="CX81" s="1"/>
      <c r="CY81" s="1"/>
      <c r="DC81" s="1">
        <v>10.072020126764061</v>
      </c>
      <c r="DD81" s="1">
        <v>10.503014333430924</v>
      </c>
      <c r="DE81" s="1"/>
      <c r="DF81" s="1"/>
    </row>
    <row r="82" spans="1:110" x14ac:dyDescent="0.25">
      <c r="A82" s="8">
        <f t="shared" si="4"/>
        <v>1915</v>
      </c>
      <c r="C82" s="17">
        <f>(1/240*2240)*1.69928571428571</f>
        <v>15.859999999999962</v>
      </c>
      <c r="D82" s="17"/>
      <c r="E82" s="1"/>
      <c r="F82" s="1"/>
      <c r="G82" s="1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7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X82" s="1"/>
      <c r="CY82" s="1"/>
      <c r="DC82" s="1">
        <v>8.0447582504297461</v>
      </c>
      <c r="DD82" s="1">
        <v>11.334953524471432</v>
      </c>
      <c r="DE82" s="1"/>
      <c r="DF82" s="1"/>
    </row>
    <row r="83" spans="1:110" x14ac:dyDescent="0.25">
      <c r="A83" s="8">
        <f t="shared" si="4"/>
        <v>1916</v>
      </c>
      <c r="C83" s="17">
        <f>(1/240*2240)*1.84392857142857</f>
        <v>17.209999999999987</v>
      </c>
      <c r="D83" s="17"/>
      <c r="E83" s="1"/>
      <c r="F83" s="1"/>
      <c r="G83" s="1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7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X83" s="1"/>
      <c r="CY83" s="1"/>
      <c r="DC83" s="1">
        <v>9.4970528113799286</v>
      </c>
      <c r="DD83" s="1">
        <v>12.742394654695698</v>
      </c>
      <c r="DE83" s="1"/>
      <c r="DF83" s="1"/>
    </row>
    <row r="84" spans="1:110" x14ac:dyDescent="0.25">
      <c r="A84" s="8">
        <f t="shared" si="4"/>
        <v>1917</v>
      </c>
      <c r="C84" s="17">
        <f>(1/240*2240)*2.76</f>
        <v>25.759999999999998</v>
      </c>
      <c r="D84" s="17"/>
      <c r="E84" s="1"/>
      <c r="F84" s="1"/>
      <c r="G84" s="1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7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X84" s="1"/>
      <c r="CY84" s="1"/>
      <c r="DC84" s="1">
        <v>9.5813583296886886</v>
      </c>
      <c r="DD84" s="1">
        <v>12.33375620046753</v>
      </c>
      <c r="DE84" s="1"/>
      <c r="DF84" s="1"/>
    </row>
    <row r="85" spans="1:110" x14ac:dyDescent="0.25">
      <c r="A85" s="8">
        <f t="shared" si="4"/>
        <v>1918</v>
      </c>
      <c r="C85" s="17">
        <f>(1/240*2240)*2.90035714285714</f>
        <v>27.069999999999975</v>
      </c>
      <c r="D85" s="17"/>
      <c r="E85" s="1"/>
      <c r="F85" s="1"/>
      <c r="G85" s="1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X85" s="1"/>
      <c r="CY85" s="1"/>
      <c r="DC85" s="1">
        <v>11.727041048511877</v>
      </c>
      <c r="DD85" s="1">
        <v>14.059883636444932</v>
      </c>
      <c r="DE85" s="1"/>
      <c r="DF85" s="1"/>
    </row>
    <row r="86" spans="1:110" x14ac:dyDescent="0.25">
      <c r="A86" s="8">
        <f t="shared" si="4"/>
        <v>1919</v>
      </c>
      <c r="C86" s="17">
        <f>(1/240*2240)*3.1125</f>
        <v>29.05</v>
      </c>
      <c r="D86" s="17"/>
      <c r="E86" s="1"/>
      <c r="F86" s="1"/>
      <c r="G86" s="1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X86" s="1"/>
      <c r="CY86" s="1"/>
      <c r="DC86" s="1">
        <v>12.592623103091459</v>
      </c>
      <c r="DD86" s="1">
        <v>17.549669623278429</v>
      </c>
      <c r="DE86" s="1"/>
      <c r="DF86" s="1"/>
    </row>
    <row r="87" spans="1:110" x14ac:dyDescent="0.25">
      <c r="A87" s="8">
        <f t="shared" si="4"/>
        <v>1920</v>
      </c>
      <c r="C87" s="17">
        <f>(1/240*2240)*3.80357142857143</f>
        <v>35.500000000000014</v>
      </c>
      <c r="D87" s="17"/>
      <c r="E87" s="1"/>
      <c r="F87" s="1"/>
      <c r="G87" s="1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X87" s="1"/>
      <c r="CY87" s="1"/>
      <c r="DC87" s="1">
        <v>18.448259799266868</v>
      </c>
      <c r="DD87" s="1">
        <v>30.703441494999865</v>
      </c>
      <c r="DE87" s="1"/>
      <c r="DF87" s="1"/>
    </row>
    <row r="88" spans="1:110" x14ac:dyDescent="0.25">
      <c r="A88" s="8">
        <f t="shared" si="4"/>
        <v>1921</v>
      </c>
      <c r="C88" s="17"/>
      <c r="D88" s="17"/>
      <c r="E88" s="1"/>
      <c r="F88" s="1"/>
      <c r="G88" s="1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DD88" s="1"/>
    </row>
    <row r="89" spans="1:110" x14ac:dyDescent="0.25">
      <c r="A89" s="8">
        <f t="shared" si="4"/>
        <v>1922</v>
      </c>
      <c r="C89" s="17"/>
      <c r="D89" s="17"/>
      <c r="E89" s="1"/>
      <c r="F89" s="1"/>
      <c r="G89" s="1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</row>
    <row r="90" spans="1:110" x14ac:dyDescent="0.25">
      <c r="A90" s="8">
        <f t="shared" si="4"/>
        <v>1923</v>
      </c>
      <c r="C90" s="17"/>
      <c r="D90" s="17"/>
      <c r="E90" s="1"/>
      <c r="F90" s="1"/>
      <c r="G90" s="1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</row>
    <row r="91" spans="1:110" x14ac:dyDescent="0.25">
      <c r="A91" s="8">
        <f t="shared" si="4"/>
        <v>1924</v>
      </c>
      <c r="C91" s="17"/>
      <c r="D91" s="17"/>
      <c r="E91" s="1"/>
      <c r="F91" s="1"/>
      <c r="G91" s="1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</row>
    <row r="92" spans="1:110" x14ac:dyDescent="0.25">
      <c r="A92" s="8">
        <f t="shared" si="4"/>
        <v>1925</v>
      </c>
      <c r="C92" s="17"/>
      <c r="D92" s="17"/>
      <c r="E92" s="1"/>
      <c r="F92" s="1"/>
      <c r="G92" s="1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</row>
    <row r="93" spans="1:110" x14ac:dyDescent="0.25">
      <c r="A93" s="8">
        <f t="shared" si="4"/>
        <v>1926</v>
      </c>
      <c r="C93" s="17"/>
      <c r="D93" s="17"/>
      <c r="E93" s="1"/>
      <c r="F93" s="1"/>
      <c r="G93" s="1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</row>
    <row r="94" spans="1:110" x14ac:dyDescent="0.25">
      <c r="A94" s="8">
        <f t="shared" si="4"/>
        <v>1927</v>
      </c>
      <c r="C94" s="17"/>
      <c r="D94" s="17"/>
      <c r="E94" s="1"/>
      <c r="F94" s="1"/>
      <c r="G94" s="1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</row>
    <row r="95" spans="1:110" x14ac:dyDescent="0.25">
      <c r="A95" s="8">
        <f t="shared" si="4"/>
        <v>1928</v>
      </c>
      <c r="C95" s="17"/>
      <c r="D95" s="17"/>
      <c r="E95" s="1"/>
      <c r="F95" s="1"/>
      <c r="G95" s="1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</row>
    <row r="96" spans="1:110" x14ac:dyDescent="0.25">
      <c r="A96" s="8">
        <f t="shared" si="4"/>
        <v>1929</v>
      </c>
      <c r="C96" s="17"/>
      <c r="D96" s="17"/>
      <c r="E96" s="1"/>
      <c r="F96" s="1"/>
      <c r="G96" s="1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</row>
    <row r="97" spans="1:103" x14ac:dyDescent="0.25">
      <c r="A97" s="8">
        <f t="shared" si="4"/>
        <v>1930</v>
      </c>
      <c r="C97" s="17"/>
      <c r="D97" s="17"/>
      <c r="E97" s="1"/>
      <c r="F97" s="1"/>
      <c r="G97" s="1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</row>
    <row r="98" spans="1:103" x14ac:dyDescent="0.25">
      <c r="A98" s="8">
        <f t="shared" si="4"/>
        <v>1931</v>
      </c>
      <c r="C98" s="17"/>
      <c r="D98" s="17"/>
      <c r="E98" s="1"/>
      <c r="F98" s="1"/>
      <c r="G98" s="1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</row>
    <row r="99" spans="1:103" x14ac:dyDescent="0.25">
      <c r="A99" s="8">
        <f t="shared" si="4"/>
        <v>1932</v>
      </c>
      <c r="C99" s="17"/>
      <c r="D99" s="17"/>
      <c r="E99" s="1"/>
      <c r="F99" s="1"/>
      <c r="G99" s="1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</row>
    <row r="100" spans="1:103" x14ac:dyDescent="0.25">
      <c r="A100" s="8">
        <f t="shared" si="4"/>
        <v>1933</v>
      </c>
      <c r="C100" s="17"/>
      <c r="D100" s="17"/>
      <c r="E100" s="1"/>
      <c r="F100" s="1"/>
      <c r="G100" s="1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</row>
    <row r="101" spans="1:103" x14ac:dyDescent="0.25">
      <c r="A101" s="8">
        <f t="shared" si="4"/>
        <v>1934</v>
      </c>
      <c r="C101" s="17"/>
      <c r="D101" s="17"/>
      <c r="E101" s="1"/>
      <c r="F101" s="1"/>
      <c r="G101" s="1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</row>
    <row r="102" spans="1:103" x14ac:dyDescent="0.25">
      <c r="A102" s="8">
        <f t="shared" si="4"/>
        <v>1935</v>
      </c>
      <c r="C102" s="17"/>
      <c r="D102" s="17"/>
      <c r="E102" s="1"/>
      <c r="F102" s="1"/>
      <c r="G102" s="1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</row>
    <row r="103" spans="1:103" x14ac:dyDescent="0.25">
      <c r="A103" s="8">
        <f t="shared" si="4"/>
        <v>1936</v>
      </c>
      <c r="C103" s="17"/>
      <c r="D103" s="17"/>
      <c r="E103" s="1"/>
      <c r="F103" s="1"/>
      <c r="G103" s="1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</row>
    <row r="104" spans="1:103" x14ac:dyDescent="0.25">
      <c r="A104" s="8">
        <f t="shared" ref="A104:A135" si="5">A103+1</f>
        <v>1937</v>
      </c>
      <c r="C104" s="17"/>
      <c r="D104" s="17"/>
      <c r="E104" s="1"/>
      <c r="F104" s="1"/>
      <c r="G104" s="1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</row>
    <row r="105" spans="1:103" x14ac:dyDescent="0.25">
      <c r="A105" s="8">
        <f t="shared" si="5"/>
        <v>1938</v>
      </c>
      <c r="C105" s="17"/>
      <c r="D105" s="17"/>
      <c r="E105" s="1"/>
      <c r="F105" s="1"/>
      <c r="G105" s="1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</row>
    <row r="106" spans="1:103" x14ac:dyDescent="0.25">
      <c r="A106" s="8">
        <f t="shared" si="5"/>
        <v>1939</v>
      </c>
      <c r="C106" s="17"/>
      <c r="D106" s="17"/>
      <c r="E106" s="1"/>
      <c r="F106" s="1"/>
      <c r="G106" s="1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</row>
    <row r="107" spans="1:103" x14ac:dyDescent="0.25">
      <c r="A107" s="8">
        <f t="shared" si="5"/>
        <v>1940</v>
      </c>
      <c r="C107" s="17"/>
      <c r="D107" s="1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</row>
    <row r="108" spans="1:103" x14ac:dyDescent="0.25">
      <c r="A108" s="8">
        <f t="shared" si="5"/>
        <v>1941</v>
      </c>
      <c r="C108" s="17"/>
      <c r="D108" s="1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</row>
    <row r="109" spans="1:103" x14ac:dyDescent="0.25">
      <c r="A109" s="8">
        <f t="shared" si="5"/>
        <v>1942</v>
      </c>
      <c r="C109" s="17"/>
      <c r="D109" s="1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</row>
    <row r="110" spans="1:103" x14ac:dyDescent="0.25">
      <c r="A110" s="8">
        <f t="shared" si="5"/>
        <v>1943</v>
      </c>
      <c r="C110" s="17"/>
      <c r="D110" s="1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</row>
    <row r="111" spans="1:103" x14ac:dyDescent="0.25">
      <c r="A111" s="8">
        <f t="shared" si="5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</row>
    <row r="112" spans="1:103" x14ac:dyDescent="0.25">
      <c r="A112" s="8">
        <f t="shared" si="5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</row>
    <row r="113" spans="1:103" x14ac:dyDescent="0.25">
      <c r="A113" s="8">
        <f t="shared" si="5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</row>
    <row r="114" spans="1:103" x14ac:dyDescent="0.25">
      <c r="A114" s="8">
        <f t="shared" si="5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</row>
    <row r="115" spans="1:103" x14ac:dyDescent="0.25">
      <c r="A115" s="8">
        <f t="shared" si="5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</row>
    <row r="116" spans="1:103" x14ac:dyDescent="0.25">
      <c r="A116" s="8">
        <f t="shared" si="5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</row>
    <row r="117" spans="1:103" x14ac:dyDescent="0.25">
      <c r="A117" s="8">
        <f t="shared" si="5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</row>
    <row r="118" spans="1:103" x14ac:dyDescent="0.25">
      <c r="A118" s="8">
        <f t="shared" si="5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</row>
    <row r="119" spans="1:103" x14ac:dyDescent="0.25">
      <c r="A119" s="8">
        <f t="shared" si="5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</row>
    <row r="120" spans="1:103" x14ac:dyDescent="0.25">
      <c r="A120" s="8">
        <f t="shared" si="5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</row>
    <row r="121" spans="1:103" x14ac:dyDescent="0.25">
      <c r="A121" s="8">
        <f t="shared" si="5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</row>
    <row r="122" spans="1:103" x14ac:dyDescent="0.25">
      <c r="A122" s="8">
        <f t="shared" si="5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</row>
    <row r="123" spans="1:103" x14ac:dyDescent="0.25">
      <c r="A123" s="8">
        <f t="shared" si="5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</row>
    <row r="124" spans="1:103" x14ac:dyDescent="0.25">
      <c r="A124" s="8">
        <f t="shared" si="5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</row>
    <row r="125" spans="1:103" x14ac:dyDescent="0.25">
      <c r="A125" s="8">
        <f t="shared" si="5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</row>
    <row r="126" spans="1:103" x14ac:dyDescent="0.25">
      <c r="A126" s="8">
        <f t="shared" si="5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</row>
    <row r="127" spans="1:103" x14ac:dyDescent="0.25">
      <c r="A127" s="8">
        <f t="shared" si="5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</row>
    <row r="128" spans="1:103" x14ac:dyDescent="0.25">
      <c r="A128" s="8">
        <f t="shared" si="5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</row>
    <row r="129" spans="1:103" x14ac:dyDescent="0.25">
      <c r="A129" s="8">
        <f t="shared" si="5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</row>
    <row r="130" spans="1:103" x14ac:dyDescent="0.25">
      <c r="A130" s="8">
        <f t="shared" si="5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</row>
    <row r="131" spans="1:103" x14ac:dyDescent="0.25">
      <c r="A131" s="8">
        <f t="shared" si="5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</row>
    <row r="132" spans="1:103" x14ac:dyDescent="0.25">
      <c r="A132" s="8">
        <f t="shared" si="5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</row>
    <row r="133" spans="1:103" x14ac:dyDescent="0.25">
      <c r="A133" s="8">
        <f t="shared" si="5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</row>
    <row r="134" spans="1:103" x14ac:dyDescent="0.25">
      <c r="A134" s="8">
        <f t="shared" si="5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</row>
    <row r="135" spans="1:103" x14ac:dyDescent="0.25">
      <c r="A135" s="8">
        <f t="shared" si="5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</row>
    <row r="136" spans="1:103" x14ac:dyDescent="0.25">
      <c r="A136" s="8">
        <f t="shared" ref="A136:A145" si="6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</row>
    <row r="137" spans="1:103" x14ac:dyDescent="0.25">
      <c r="A137" s="8">
        <f t="shared" si="6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</row>
    <row r="138" spans="1:103" x14ac:dyDescent="0.25">
      <c r="A138" s="8">
        <f t="shared" si="6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</row>
    <row r="139" spans="1:103" x14ac:dyDescent="0.25">
      <c r="A139" s="8">
        <f t="shared" si="6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</row>
    <row r="140" spans="1:103" x14ac:dyDescent="0.25">
      <c r="A140" s="8">
        <f t="shared" si="6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</row>
    <row r="141" spans="1:103" x14ac:dyDescent="0.25">
      <c r="A141" s="8">
        <f t="shared" si="6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</row>
    <row r="142" spans="1:103" x14ac:dyDescent="0.25">
      <c r="A142" s="8">
        <f t="shared" si="6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</row>
    <row r="143" spans="1:103" x14ac:dyDescent="0.25">
      <c r="A143" s="8">
        <f t="shared" si="6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</row>
    <row r="144" spans="1:103" x14ac:dyDescent="0.25">
      <c r="A144" s="8">
        <f t="shared" si="6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</row>
    <row r="145" spans="1:103" x14ac:dyDescent="0.25">
      <c r="A145" s="8">
        <f t="shared" si="6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</row>
    <row r="146" spans="1:103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103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103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103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103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103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103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103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103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</row>
    <row r="155" spans="1:103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</row>
    <row r="156" spans="1:103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</row>
    <row r="157" spans="1:103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</row>
    <row r="158" spans="1:103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</row>
    <row r="159" spans="1:103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</row>
    <row r="160" spans="1:103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</row>
    <row r="161" spans="3:87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</row>
    <row r="162" spans="3:87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</row>
    <row r="163" spans="3:87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</row>
    <row r="164" spans="3:87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</row>
    <row r="165" spans="3:87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</row>
    <row r="166" spans="3:87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</row>
    <row r="167" spans="3:87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</row>
    <row r="168" spans="3:87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</row>
    <row r="169" spans="3:87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</row>
    <row r="170" spans="3:87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</row>
    <row r="171" spans="3:87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</row>
    <row r="172" spans="3:87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</row>
    <row r="173" spans="3:87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</row>
    <row r="174" spans="3:87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</row>
    <row r="175" spans="3:87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</row>
    <row r="176" spans="3:87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</row>
    <row r="177" spans="3:102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</row>
    <row r="178" spans="3:102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</row>
    <row r="179" spans="3:102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3:102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3:102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3:102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spans="3:102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3:102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3:102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3:102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3:102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3:102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3:102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3:102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3:102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3:102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</row>
    <row r="193" spans="3:103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</row>
    <row r="194" spans="3:103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</row>
    <row r="195" spans="3:103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</row>
    <row r="196" spans="3:103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</row>
    <row r="197" spans="3:103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</row>
    <row r="198" spans="3:103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</row>
    <row r="199" spans="3:103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</row>
    <row r="200" spans="3:103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</row>
    <row r="201" spans="3:103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</row>
    <row r="202" spans="3:103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</row>
    <row r="203" spans="3:103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</row>
    <row r="204" spans="3:103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</row>
    <row r="205" spans="3:103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</row>
    <row r="206" spans="3:103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</row>
    <row r="207" spans="3:103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</row>
    <row r="208" spans="3:103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</row>
    <row r="209" spans="3:103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</row>
    <row r="210" spans="3:103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</row>
    <row r="211" spans="3:103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</row>
    <row r="212" spans="3:103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</row>
    <row r="213" spans="3:103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</row>
    <row r="214" spans="3:103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</row>
    <row r="215" spans="3:103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</row>
    <row r="216" spans="3:103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</row>
    <row r="217" spans="3:103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</row>
    <row r="218" spans="3:103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</row>
    <row r="219" spans="3:103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</row>
    <row r="220" spans="3:103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</row>
    <row r="221" spans="3:103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</row>
    <row r="222" spans="3:103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</row>
    <row r="223" spans="3:103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</row>
    <row r="224" spans="3:103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</row>
    <row r="225" spans="3:103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</row>
    <row r="226" spans="3:103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</row>
    <row r="227" spans="3:103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</row>
    <row r="228" spans="3:103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</row>
    <row r="229" spans="3:103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</row>
    <row r="230" spans="3:103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</row>
    <row r="231" spans="3:103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</row>
    <row r="232" spans="3:103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</row>
    <row r="233" spans="3:103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</row>
    <row r="234" spans="3:103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</row>
    <row r="235" spans="3:103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</row>
    <row r="236" spans="3:103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</row>
    <row r="237" spans="3:103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</row>
    <row r="238" spans="3:103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</row>
    <row r="239" spans="3:103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</row>
    <row r="240" spans="3:103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</row>
    <row r="241" spans="3:103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</row>
    <row r="242" spans="3:103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</row>
    <row r="243" spans="3:103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</row>
    <row r="244" spans="3:103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</row>
    <row r="245" spans="3:103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</row>
    <row r="246" spans="3:103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</row>
    <row r="247" spans="3:103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</row>
    <row r="248" spans="3:103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</row>
    <row r="249" spans="3:103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</row>
    <row r="250" spans="3:103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</row>
    <row r="251" spans="3:103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</row>
    <row r="252" spans="3:103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</row>
    <row r="253" spans="3:103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</row>
    <row r="254" spans="3:103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</row>
    <row r="255" spans="3:103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</row>
    <row r="256" spans="3:103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</row>
    <row r="257" spans="3:103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</row>
    <row r="258" spans="3:103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</row>
    <row r="259" spans="3:103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</row>
    <row r="260" spans="3:103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</row>
    <row r="261" spans="3:103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</row>
    <row r="262" spans="3:103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</row>
    <row r="263" spans="3:103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</row>
    <row r="264" spans="3:103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</row>
    <row r="265" spans="3:103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</row>
    <row r="266" spans="3:103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</row>
    <row r="267" spans="3:103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</row>
    <row r="268" spans="3:103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</row>
    <row r="269" spans="3:103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</row>
    <row r="270" spans="3:103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</row>
    <row r="271" spans="3:103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</row>
    <row r="272" spans="3:103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</row>
    <row r="273" spans="3:103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</row>
    <row r="274" spans="3:103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</row>
    <row r="275" spans="3:103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</row>
    <row r="276" spans="3:103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</row>
    <row r="277" spans="3:103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</row>
    <row r="278" spans="3:103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</row>
    <row r="279" spans="3:103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</row>
    <row r="280" spans="3:103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</row>
    <row r="281" spans="3:103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</row>
    <row r="282" spans="3:103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</row>
    <row r="283" spans="3:103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</row>
    <row r="284" spans="3:103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</row>
    <row r="285" spans="3:103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</row>
    <row r="286" spans="3:103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</row>
    <row r="287" spans="3:103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</row>
  </sheetData>
  <sortState ref="AG21:AH30">
    <sortCondition ref="AG154:AG163"/>
  </sortState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zoomScale="40" zoomScaleNormal="40" zoomScaleSheetLayoutView="30" workbookViewId="0">
      <selection activeCell="AT18" sqref="AT18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87"/>
  <sheetViews>
    <sheetView zoomScale="70" zoomScaleNormal="70" workbookViewId="0">
      <pane xSplit="2" ySplit="5" topLeftCell="C6" activePane="bottomRight" state="frozen"/>
      <selection activeCell="CE20" sqref="CE20"/>
      <selection pane="topRight" activeCell="CE20" sqref="CE20"/>
      <selection pane="bottomLeft" activeCell="CE20" sqref="CE20"/>
      <selection pane="bottomRight" activeCell="AD87" sqref="AD87"/>
    </sheetView>
  </sheetViews>
  <sheetFormatPr defaultRowHeight="13.2" x14ac:dyDescent="0.25"/>
  <cols>
    <col min="2" max="2" width="12.33203125" bestFit="1" customWidth="1"/>
    <col min="3" max="3" width="12" customWidth="1"/>
    <col min="4" max="5" width="14.77734375" customWidth="1"/>
    <col min="6" max="13" width="12" customWidth="1"/>
    <col min="14" max="14" width="14.33203125" customWidth="1"/>
    <col min="15" max="15" width="13.77734375" customWidth="1"/>
    <col min="16" max="16" width="13.44140625" customWidth="1"/>
    <col min="17" max="28" width="12" customWidth="1"/>
    <col min="29" max="29" width="13.88671875" customWidth="1"/>
    <col min="30" max="30" width="11" customWidth="1"/>
    <col min="31" max="31" width="11.5546875" customWidth="1"/>
  </cols>
  <sheetData>
    <row r="1" spans="1:31" s="14" customFormat="1" x14ac:dyDescent="0.25"/>
    <row r="2" spans="1:31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51</v>
      </c>
      <c r="F2" s="7" t="s">
        <v>0</v>
      </c>
      <c r="G2" s="7" t="s">
        <v>24</v>
      </c>
      <c r="H2" s="7" t="s">
        <v>41</v>
      </c>
      <c r="I2" s="7" t="s">
        <v>53</v>
      </c>
      <c r="J2" s="7" t="s">
        <v>2</v>
      </c>
      <c r="K2" s="7" t="s">
        <v>4</v>
      </c>
      <c r="L2" s="7" t="s">
        <v>46</v>
      </c>
      <c r="M2" s="7" t="s">
        <v>47</v>
      </c>
      <c r="N2" s="7" t="s">
        <v>42</v>
      </c>
      <c r="O2" s="7" t="s">
        <v>12</v>
      </c>
      <c r="P2" s="7" t="s">
        <v>28</v>
      </c>
      <c r="Q2" s="7" t="s">
        <v>3</v>
      </c>
      <c r="R2" s="7" t="s">
        <v>3</v>
      </c>
      <c r="S2" s="7" t="s">
        <v>9</v>
      </c>
      <c r="T2" s="7" t="s">
        <v>15</v>
      </c>
      <c r="U2" s="7" t="s">
        <v>56</v>
      </c>
      <c r="V2" s="7" t="s">
        <v>19</v>
      </c>
      <c r="W2" s="7" t="s">
        <v>21</v>
      </c>
      <c r="X2" s="7" t="s">
        <v>22</v>
      </c>
      <c r="Y2" s="7" t="s">
        <v>48</v>
      </c>
      <c r="Z2" s="7" t="s">
        <v>23</v>
      </c>
      <c r="AA2" s="7" t="s">
        <v>54</v>
      </c>
      <c r="AB2" s="7" t="s">
        <v>14</v>
      </c>
      <c r="AC2" s="7" t="s">
        <v>55</v>
      </c>
      <c r="AD2" s="7" t="s">
        <v>60</v>
      </c>
      <c r="AE2" s="7" t="s">
        <v>60</v>
      </c>
    </row>
    <row r="3" spans="1:31" x14ac:dyDescent="0.25">
      <c r="B3" s="5" t="s">
        <v>31</v>
      </c>
      <c r="C3" s="7" t="s">
        <v>49</v>
      </c>
      <c r="D3" s="7" t="s">
        <v>49</v>
      </c>
      <c r="E3" s="7" t="s">
        <v>49</v>
      </c>
      <c r="F3" s="7" t="s">
        <v>49</v>
      </c>
      <c r="G3" s="7" t="s">
        <v>49</v>
      </c>
      <c r="H3" s="7" t="s">
        <v>49</v>
      </c>
      <c r="I3" s="7" t="s">
        <v>49</v>
      </c>
      <c r="J3" s="7" t="s">
        <v>49</v>
      </c>
      <c r="K3" s="7" t="s">
        <v>49</v>
      </c>
      <c r="L3" s="7" t="s">
        <v>49</v>
      </c>
      <c r="M3" s="7" t="s">
        <v>49</v>
      </c>
      <c r="N3" s="7" t="s">
        <v>49</v>
      </c>
      <c r="O3" s="7" t="s">
        <v>49</v>
      </c>
      <c r="P3" s="7" t="s">
        <v>49</v>
      </c>
      <c r="Q3" s="7" t="s">
        <v>49</v>
      </c>
      <c r="R3" s="7" t="s">
        <v>49</v>
      </c>
      <c r="S3" s="7" t="s">
        <v>49</v>
      </c>
      <c r="T3" s="7" t="s">
        <v>49</v>
      </c>
      <c r="U3" s="7" t="s">
        <v>49</v>
      </c>
      <c r="V3" s="7" t="s">
        <v>49</v>
      </c>
      <c r="W3" s="7" t="s">
        <v>49</v>
      </c>
      <c r="X3" s="7" t="s">
        <v>49</v>
      </c>
      <c r="Y3" s="7" t="s">
        <v>49</v>
      </c>
      <c r="Z3" s="7" t="s">
        <v>49</v>
      </c>
      <c r="AA3" s="7" t="s">
        <v>49</v>
      </c>
      <c r="AB3" s="7" t="s">
        <v>49</v>
      </c>
      <c r="AC3" s="7" t="s">
        <v>49</v>
      </c>
      <c r="AD3" s="7" t="s">
        <v>49</v>
      </c>
      <c r="AE3" s="7" t="s">
        <v>49</v>
      </c>
    </row>
    <row r="4" spans="1:31" s="2" customFormat="1" ht="27" customHeight="1" x14ac:dyDescent="0.25">
      <c r="B4" s="5" t="s">
        <v>30</v>
      </c>
      <c r="C4" s="5" t="s">
        <v>8</v>
      </c>
      <c r="D4" s="5" t="s">
        <v>52</v>
      </c>
      <c r="E4" s="5" t="s">
        <v>7</v>
      </c>
      <c r="F4" s="5" t="s">
        <v>8</v>
      </c>
      <c r="G4" s="5" t="s">
        <v>10</v>
      </c>
      <c r="H4" s="5" t="s">
        <v>8</v>
      </c>
      <c r="I4" s="5" t="s">
        <v>8</v>
      </c>
      <c r="J4" s="5" t="s">
        <v>8</v>
      </c>
      <c r="K4" s="5" t="s">
        <v>8</v>
      </c>
      <c r="L4" s="5"/>
      <c r="M4" s="5" t="s">
        <v>7</v>
      </c>
      <c r="N4" s="5" t="s">
        <v>8</v>
      </c>
      <c r="O4" s="5" t="s">
        <v>7</v>
      </c>
      <c r="P4" s="5" t="s">
        <v>8</v>
      </c>
      <c r="Q4" s="5" t="s">
        <v>8</v>
      </c>
      <c r="R4" s="5" t="s">
        <v>7</v>
      </c>
      <c r="S4" s="5" t="s">
        <v>8</v>
      </c>
      <c r="T4" s="5" t="s">
        <v>8</v>
      </c>
      <c r="U4" s="5" t="s">
        <v>8</v>
      </c>
      <c r="V4" s="5" t="s">
        <v>7</v>
      </c>
      <c r="W4" s="5" t="s">
        <v>8</v>
      </c>
      <c r="X4" s="5" t="s">
        <v>8</v>
      </c>
      <c r="Y4" s="5" t="s">
        <v>10</v>
      </c>
      <c r="Z4" s="5" t="s">
        <v>8</v>
      </c>
      <c r="AA4" s="5" t="s">
        <v>8</v>
      </c>
      <c r="AB4" s="5" t="s">
        <v>8</v>
      </c>
      <c r="AC4" s="5" t="s">
        <v>7</v>
      </c>
      <c r="AD4" s="5" t="s">
        <v>8</v>
      </c>
      <c r="AE4" s="5" t="s">
        <v>7</v>
      </c>
    </row>
    <row r="5" spans="1:31" s="9" customFormat="1" x14ac:dyDescent="0.25">
      <c r="A5" s="4" t="s">
        <v>33</v>
      </c>
      <c r="B5" s="4" t="s">
        <v>32</v>
      </c>
      <c r="C5" s="6" t="s">
        <v>50</v>
      </c>
      <c r="D5" s="6" t="s">
        <v>50</v>
      </c>
      <c r="E5" s="6" t="s">
        <v>50</v>
      </c>
      <c r="F5" s="6" t="s">
        <v>50</v>
      </c>
      <c r="G5" s="6" t="s">
        <v>50</v>
      </c>
      <c r="H5" s="6" t="s">
        <v>50</v>
      </c>
      <c r="I5" s="6" t="s">
        <v>50</v>
      </c>
      <c r="J5" s="6" t="s">
        <v>50</v>
      </c>
      <c r="K5" s="6" t="s">
        <v>50</v>
      </c>
      <c r="L5" s="6" t="s">
        <v>50</v>
      </c>
      <c r="M5" s="6" t="s">
        <v>50</v>
      </c>
      <c r="N5" s="6" t="s">
        <v>50</v>
      </c>
      <c r="O5" s="6" t="s">
        <v>50</v>
      </c>
      <c r="P5" s="6" t="s">
        <v>50</v>
      </c>
      <c r="Q5" s="6" t="s">
        <v>50</v>
      </c>
      <c r="R5" s="6" t="s">
        <v>50</v>
      </c>
      <c r="S5" s="6" t="s">
        <v>50</v>
      </c>
      <c r="T5" s="6" t="s">
        <v>50</v>
      </c>
      <c r="U5" s="6" t="s">
        <v>50</v>
      </c>
      <c r="V5" s="6" t="s">
        <v>50</v>
      </c>
      <c r="W5" s="6" t="s">
        <v>50</v>
      </c>
      <c r="X5" s="6" t="s">
        <v>50</v>
      </c>
      <c r="Y5" s="6" t="s">
        <v>50</v>
      </c>
      <c r="Z5" s="6" t="s">
        <v>50</v>
      </c>
      <c r="AA5" s="6" t="s">
        <v>50</v>
      </c>
      <c r="AB5" s="6" t="s">
        <v>50</v>
      </c>
      <c r="AC5" s="6" t="s">
        <v>50</v>
      </c>
      <c r="AD5" s="6" t="s">
        <v>50</v>
      </c>
      <c r="AE5" s="6" t="s">
        <v>50</v>
      </c>
    </row>
    <row r="6" spans="1:31" s="2" customFormat="1" ht="54.6" hidden="1" customHeight="1" x14ac:dyDescent="0.25">
      <c r="A6" s="4" t="s">
        <v>33</v>
      </c>
      <c r="B6" s="5" t="s">
        <v>29</v>
      </c>
      <c r="C6" s="7" t="str">
        <f>CONCATENATE(C2,", ",C4,", ","in ",C5)</f>
        <v>UK, Imports, in pound/ton</v>
      </c>
      <c r="D6" s="7" t="str">
        <f>CONCATENATE(D2,", ",D4,", ","in ",D5)</f>
        <v>UK, Retail, in pound/ton</v>
      </c>
      <c r="E6" s="7" t="str">
        <f t="shared" ref="E6:T6" si="0">CONCATENATE(E2,", ",E4,", ","in ",E5)</f>
        <v>US, Exports, in pound/ton</v>
      </c>
      <c r="F6" s="7" t="str">
        <f t="shared" si="0"/>
        <v>Baghdad, Imports, in pound/ton</v>
      </c>
      <c r="G6" s="7" t="str">
        <f t="shared" si="0"/>
        <v>Basrah, Bazaar (Local), in pound/ton</v>
      </c>
      <c r="H6" s="7" t="str">
        <f t="shared" si="0"/>
        <v>Egypt, Imports, in pound/ton</v>
      </c>
      <c r="I6" s="7" t="str">
        <f t="shared" si="0"/>
        <v>Jaffa, Imports, in pound/ton</v>
      </c>
      <c r="J6" s="7" t="str">
        <f t="shared" si="0"/>
        <v>Damascus, Imports, in pound/ton</v>
      </c>
      <c r="K6" s="7" t="str">
        <f t="shared" si="0"/>
        <v>Beirut, Imports, in pound/ton</v>
      </c>
      <c r="L6" s="7" t="str">
        <f t="shared" si="0"/>
        <v>Istanbul (Rumeli), , in pound/ton</v>
      </c>
      <c r="M6" s="7" t="str">
        <f t="shared" si="0"/>
        <v>Istanbul (Anatolia), Exports, in pound/ton</v>
      </c>
      <c r="N6" s="7" t="str">
        <f t="shared" si="0"/>
        <v>Turkey &amp; Constantinople, Imports, in pound/ton</v>
      </c>
      <c r="O6" s="7" t="str">
        <f t="shared" si="0"/>
        <v>Constantinople, Exports, in pound/ton</v>
      </c>
      <c r="P6" s="7" t="str">
        <f t="shared" si="0"/>
        <v>Trebizond (Anatolia), Imports, in pound/ton</v>
      </c>
      <c r="Q6" s="7" t="str">
        <f t="shared" si="0"/>
        <v>Izmir, Imports, in pound/ton</v>
      </c>
      <c r="R6" s="7" t="str">
        <f t="shared" si="0"/>
        <v>Izmir, Exports, in pound/ton</v>
      </c>
      <c r="S6" s="7" t="str">
        <f t="shared" si="0"/>
        <v>Alexandretta, Imports, in pound/ton</v>
      </c>
      <c r="T6" s="7" t="str">
        <f t="shared" si="0"/>
        <v>Khorasan, Imports, in pound/ton</v>
      </c>
      <c r="U6" s="7" t="str">
        <f t="shared" ref="U6:AE6" si="1">CONCATENATE(U2,", ",U4,", ","in ",U5)</f>
        <v>Resht &amp; Mazandaran, Imports, in pound/ton</v>
      </c>
      <c r="V6" s="7" t="str">
        <f t="shared" si="1"/>
        <v>Resht, Exports, in pound/ton</v>
      </c>
      <c r="W6" s="7" t="str">
        <f t="shared" si="1"/>
        <v>Ghilan &amp; Tunekabun, Imports, in pound/ton</v>
      </c>
      <c r="X6" s="7" t="str">
        <f t="shared" si="1"/>
        <v>Bender Gez &amp; Astarabad, Imports, in pound/ton</v>
      </c>
      <c r="Y6" s="7" t="str">
        <f t="shared" si="1"/>
        <v>Resht &amp; Bender Gez &amp; Astarabad, Bazaar (Local), in pound/ton</v>
      </c>
      <c r="Z6" s="7" t="str">
        <f t="shared" si="1"/>
        <v>Astara, Imports, in pound/ton</v>
      </c>
      <c r="AA6" s="7" t="str">
        <f t="shared" si="1"/>
        <v>Muscat &amp; Bahrain, Imports, in pound/ton</v>
      </c>
      <c r="AB6" s="7" t="str">
        <f t="shared" si="1"/>
        <v>Lingah, Imports, in pound/ton</v>
      </c>
      <c r="AC6" s="7" t="str">
        <f t="shared" si="1"/>
        <v>Mohammerah &amp; Lingah, Exports, in pound/ton</v>
      </c>
      <c r="AD6" s="7" t="str">
        <f t="shared" si="1"/>
        <v>India, Imports, in pound/ton</v>
      </c>
      <c r="AE6" s="7" t="str">
        <f t="shared" si="1"/>
        <v>India, Exports, in pound/ton</v>
      </c>
    </row>
    <row r="7" spans="1:31" x14ac:dyDescent="0.25">
      <c r="A7" s="8">
        <v>1840</v>
      </c>
      <c r="C7" s="17"/>
      <c r="D7" s="17"/>
      <c r="E7" s="1">
        <f>(1/240*2240)*1.34611852384894</f>
        <v>12.563772889256773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1" x14ac:dyDescent="0.25">
      <c r="A8" s="8">
        <f t="shared" ref="A8:A71" si="2">A7+1</f>
        <v>1841</v>
      </c>
      <c r="C8" s="17"/>
      <c r="D8" s="17"/>
      <c r="E8" s="1">
        <f>(1/240*2240)*1.28824800787039</f>
        <v>12.023648073456974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31" x14ac:dyDescent="0.25">
      <c r="A9" s="8">
        <f t="shared" si="2"/>
        <v>1842</v>
      </c>
      <c r="C9" s="17"/>
      <c r="D9" s="17"/>
      <c r="E9" s="1">
        <f>(1/240*2240)*1.44676289946382</f>
        <v>13.503120394995653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31" x14ac:dyDescent="0.25">
      <c r="A10" s="8">
        <f t="shared" si="2"/>
        <v>1843</v>
      </c>
      <c r="C10" s="17"/>
      <c r="D10" s="17"/>
      <c r="E10" s="1">
        <f>(1/240*2240)*1.12470089749622</f>
        <v>10.497208376631388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31" x14ac:dyDescent="0.25">
      <c r="A11" s="8">
        <f t="shared" si="2"/>
        <v>1844</v>
      </c>
      <c r="C11" s="17"/>
      <c r="D11" s="17"/>
      <c r="E11" s="1">
        <f>(1/240*2240)*1.18257141347477</f>
        <v>11.037333192431188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31" x14ac:dyDescent="0.25">
      <c r="A12" s="8">
        <f t="shared" si="2"/>
        <v>1845</v>
      </c>
      <c r="C12" s="17"/>
      <c r="D12" s="17"/>
      <c r="E12" s="1">
        <f>(1/240*2240)*1.13728144444808</f>
        <v>10.614626814848748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31" x14ac:dyDescent="0.25">
      <c r="A13" s="8">
        <f t="shared" si="2"/>
        <v>1846</v>
      </c>
      <c r="C13" s="17"/>
      <c r="D13" s="17"/>
      <c r="E13" s="1">
        <f>(1/240*2240)*1.28069967969927</f>
        <v>11.953197010526521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1" x14ac:dyDescent="0.25">
      <c r="A14" s="8">
        <f t="shared" si="2"/>
        <v>1847</v>
      </c>
      <c r="C14" s="17"/>
      <c r="D14" s="17"/>
      <c r="E14" s="1">
        <f>(1/240*2240)*1.49960119666163</f>
        <v>13.996277835508549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31" x14ac:dyDescent="0.25">
      <c r="A15" s="8">
        <f t="shared" si="2"/>
        <v>1848</v>
      </c>
      <c r="C15" s="17"/>
      <c r="D15" s="17"/>
      <c r="E15" s="1">
        <f>(1/240*2240)*1.56502004081129</f>
        <v>14.606853714238708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31" x14ac:dyDescent="0.25">
      <c r="A16" s="8">
        <f t="shared" si="2"/>
        <v>1849</v>
      </c>
      <c r="C16" s="17"/>
      <c r="D16" s="17"/>
      <c r="E16" s="1">
        <f>(1/240*2240)*1.34611852384894</f>
        <v>12.563772889256773</v>
      </c>
      <c r="F16" s="1"/>
      <c r="G16" s="1"/>
      <c r="H16" s="1"/>
      <c r="I16" s="1"/>
      <c r="J16" s="1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8">
        <f t="shared" si="2"/>
        <v>1850</v>
      </c>
      <c r="C17" s="17"/>
      <c r="D17" s="17"/>
      <c r="E17" s="1">
        <f>(1/240*2240)*1.28824800787039</f>
        <v>12.023648073456974</v>
      </c>
      <c r="F17" s="1"/>
      <c r="G17" s="1"/>
      <c r="H17" s="1"/>
      <c r="I17" s="1"/>
      <c r="J17" s="1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8">
        <f t="shared" si="2"/>
        <v>1851</v>
      </c>
      <c r="C18" s="17"/>
      <c r="D18" s="17"/>
      <c r="E18" s="1">
        <f>(1/240*2240)*1.20270028859775</f>
        <v>11.225202693579002</v>
      </c>
      <c r="F18" s="1"/>
      <c r="G18" s="1"/>
      <c r="H18" s="1"/>
      <c r="I18" s="1"/>
      <c r="J18" s="1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8">
        <f t="shared" si="2"/>
        <v>1852</v>
      </c>
      <c r="C19" s="17"/>
      <c r="D19" s="17"/>
      <c r="E19" s="1">
        <f>(1/240*2240)*1.06683038151767</f>
        <v>9.9570835608315882</v>
      </c>
      <c r="F19" s="1"/>
      <c r="G19" s="1"/>
      <c r="H19" s="1"/>
      <c r="I19" s="1"/>
      <c r="J19" s="1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8">
        <f t="shared" si="2"/>
        <v>1853</v>
      </c>
      <c r="C20" s="17"/>
      <c r="D20" s="17"/>
      <c r="E20" s="1">
        <f>(1/240*2240)*1.27315135152816</f>
        <v>11.882745947596161</v>
      </c>
      <c r="F20" s="1"/>
      <c r="G20" s="1"/>
      <c r="H20" s="1"/>
      <c r="I20" s="1"/>
      <c r="J20" s="17"/>
      <c r="K20" s="1"/>
      <c r="L20" s="1"/>
      <c r="M20" s="1"/>
      <c r="N20" s="1"/>
      <c r="O20" s="1"/>
      <c r="P20" s="1"/>
      <c r="Q20" s="1"/>
      <c r="R20" s="1"/>
      <c r="S20" s="3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8">
        <f t="shared" si="2"/>
        <v>1854</v>
      </c>
      <c r="C21" s="17">
        <f>(1/240*2240)*2.33328057570586</f>
        <v>21.777285373254696</v>
      </c>
      <c r="D21" s="17"/>
      <c r="E21" s="1">
        <f>(1/240*2240)*1.73359936996621</f>
        <v>16.180260786351294</v>
      </c>
      <c r="F21" s="1"/>
      <c r="G21" s="1"/>
      <c r="H21" s="1"/>
      <c r="I21" s="1"/>
      <c r="J21" s="17"/>
      <c r="K21" s="1"/>
      <c r="L21" s="1"/>
      <c r="M21" s="1"/>
      <c r="N21" s="1"/>
      <c r="O21" s="1"/>
      <c r="P21" s="1"/>
      <c r="Q21" s="1"/>
      <c r="R21" s="1"/>
      <c r="S21" s="16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8">
        <f t="shared" si="2"/>
        <v>1855</v>
      </c>
      <c r="C22" s="17">
        <f>(1/240*2240)*2.59285147125548</f>
        <v>24.199947065051148</v>
      </c>
      <c r="D22" s="17"/>
      <c r="E22" s="1">
        <f>(1/240*2240)*2.27607255453038</f>
        <v>21.243343842283547</v>
      </c>
      <c r="F22" s="1"/>
      <c r="G22" s="1"/>
      <c r="H22" s="1"/>
      <c r="I22" s="1"/>
      <c r="J22" s="17"/>
      <c r="K22" s="1"/>
      <c r="L22" s="1"/>
      <c r="M22" s="1"/>
      <c r="N22" s="1"/>
      <c r="O22" s="1"/>
      <c r="P22" s="1"/>
      <c r="Q22" s="1"/>
      <c r="R22" s="1"/>
      <c r="S22" s="16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8">
        <f t="shared" si="2"/>
        <v>1856</v>
      </c>
      <c r="C23" s="17">
        <f>(1/240*2240)*2.20094923841429</f>
        <v>20.542192891866708</v>
      </c>
      <c r="D23" s="17"/>
      <c r="E23" s="1">
        <f>(1/240*2240)*2.09843523157013</f>
        <v>19.585395494654549</v>
      </c>
      <c r="F23" s="1"/>
      <c r="G23" s="1"/>
      <c r="H23" s="1"/>
      <c r="I23" s="1"/>
      <c r="J23" s="17"/>
      <c r="K23" s="1"/>
      <c r="L23" s="1"/>
      <c r="M23" s="1"/>
      <c r="N23" s="1"/>
      <c r="O23" s="1"/>
      <c r="P23" s="1"/>
      <c r="Q23" s="1"/>
      <c r="R23" s="1"/>
      <c r="S23" s="16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8">
        <f t="shared" si="2"/>
        <v>1857</v>
      </c>
      <c r="C24" s="17">
        <f>(1/240*2240)*1.93180694267397</f>
        <v>18.03019813162372</v>
      </c>
      <c r="D24" s="17"/>
      <c r="E24" s="1">
        <f>(1/240*2240)*1.75448307790629</f>
        <v>16.375175393792041</v>
      </c>
      <c r="F24" s="1"/>
      <c r="G24" s="1"/>
      <c r="H24" s="1"/>
      <c r="I24" s="1"/>
      <c r="J24" s="17"/>
      <c r="K24" s="1"/>
      <c r="L24" s="1"/>
      <c r="M24" s="1"/>
      <c r="N24" s="1"/>
      <c r="O24" s="1"/>
      <c r="P24" s="1"/>
      <c r="Q24" s="1"/>
      <c r="R24" s="1"/>
      <c r="S24" s="16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8">
        <f t="shared" si="2"/>
        <v>1858</v>
      </c>
      <c r="C25" s="17">
        <f>(1/240*2240)*1.77248682051039</f>
        <v>16.543210324763642</v>
      </c>
      <c r="D25" s="17"/>
      <c r="E25" s="1">
        <f>(1/240*2240)*1.13325566942348</f>
        <v>10.577052914619149</v>
      </c>
      <c r="F25" s="1"/>
      <c r="G25" s="1"/>
      <c r="H25" s="1"/>
      <c r="I25" s="1"/>
      <c r="J25" s="17"/>
      <c r="K25" s="1"/>
      <c r="L25" s="1"/>
      <c r="M25" s="1"/>
      <c r="N25" s="1"/>
      <c r="O25" s="1"/>
      <c r="P25" s="1"/>
      <c r="Q25" s="1"/>
      <c r="R25" s="1"/>
      <c r="S25" s="16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8">
        <f t="shared" si="2"/>
        <v>1859</v>
      </c>
      <c r="C26" s="17">
        <f>(1/240*2240)*1.54021856903698</f>
        <v>14.375373311011815</v>
      </c>
      <c r="D26" s="17"/>
      <c r="E26" s="1">
        <f>(1/240*2240)*1.4933109231857</f>
        <v>13.937568616399867</v>
      </c>
      <c r="F26" s="1"/>
      <c r="G26" s="1"/>
      <c r="H26" s="1"/>
      <c r="I26" s="1"/>
      <c r="J26" s="17"/>
      <c r="K26" s="1"/>
      <c r="L26" s="1"/>
      <c r="M26" s="1"/>
      <c r="N26" s="1"/>
      <c r="O26" s="1"/>
      <c r="P26" s="1"/>
      <c r="Q26" s="1"/>
      <c r="R26" s="1"/>
      <c r="S26" s="16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8">
        <f t="shared" si="2"/>
        <v>1860</v>
      </c>
      <c r="C27" s="17">
        <f>(1/240*2240)*1.82027882620661</f>
        <v>16.98926904459503</v>
      </c>
      <c r="D27" s="17"/>
      <c r="E27" s="1">
        <f>(1/240*2240)*1.48827870440495</f>
        <v>13.890601241112867</v>
      </c>
      <c r="F27" s="1"/>
      <c r="G27" s="1"/>
      <c r="H27" s="1"/>
      <c r="I27" s="1"/>
      <c r="J27" s="17"/>
      <c r="K27" s="1"/>
      <c r="L27" s="1"/>
      <c r="M27" s="1"/>
      <c r="N27" s="1"/>
      <c r="O27" s="1"/>
      <c r="P27" s="1"/>
      <c r="Q27" s="1"/>
      <c r="R27" s="1"/>
      <c r="S27" s="16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8">
        <f t="shared" si="2"/>
        <v>1861</v>
      </c>
      <c r="C28" s="17">
        <f>(1/240*2240)*1.72239494136204</f>
        <v>16.075686119379043</v>
      </c>
      <c r="D28" s="17"/>
      <c r="E28" s="1">
        <f>(1/240*2240)*1.43443396345099</f>
        <v>13.388050325542574</v>
      </c>
      <c r="F28" s="1"/>
      <c r="G28" s="1">
        <f>2240*0.00763888888888888</f>
        <v>17.111111111111089</v>
      </c>
      <c r="H28" s="1"/>
      <c r="I28" s="1"/>
      <c r="J28" s="17"/>
      <c r="K28" s="1"/>
      <c r="L28" s="1"/>
      <c r="M28" s="1"/>
      <c r="N28" s="1"/>
      <c r="O28" s="1"/>
      <c r="P28" s="1"/>
      <c r="Q28" s="1"/>
      <c r="R28" s="1"/>
      <c r="S28" s="16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8">
        <f t="shared" si="2"/>
        <v>1862</v>
      </c>
      <c r="C29" s="17">
        <f>(1/240*2240)*1.6017164471504</f>
        <v>14.949353506737067</v>
      </c>
      <c r="D29" s="17"/>
      <c r="E29" s="1">
        <f>(1/240*2240)*1.25250282097946</f>
        <v>11.690026329141627</v>
      </c>
      <c r="F29" s="1"/>
      <c r="G29" s="1">
        <f>2240*0.00625</f>
        <v>14</v>
      </c>
      <c r="H29" s="1"/>
      <c r="I29" s="1"/>
      <c r="J29" s="17"/>
      <c r="K29" s="1"/>
      <c r="L29" s="1"/>
      <c r="M29" s="1"/>
      <c r="N29" s="1"/>
      <c r="O29" s="1"/>
      <c r="P29" s="1"/>
      <c r="Q29" s="1"/>
      <c r="R29" s="1"/>
      <c r="S29" s="16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8">
        <f t="shared" si="2"/>
        <v>1863</v>
      </c>
      <c r="C30" s="17">
        <f>(1/240*2240)*1.44647846831723</f>
        <v>13.500465704294148</v>
      </c>
      <c r="D30" s="17"/>
      <c r="E30" s="1">
        <f>(1/240*2240)*1.1195993644072</f>
        <v>10.449594067800534</v>
      </c>
      <c r="F30" s="1"/>
      <c r="G30" s="1">
        <f>2240*0.00555555555555555</f>
        <v>12.444444444444432</v>
      </c>
      <c r="H30" s="1"/>
      <c r="I30" s="1"/>
      <c r="J30" s="17"/>
      <c r="K30" s="1"/>
      <c r="L30" s="1"/>
      <c r="M30" s="1"/>
      <c r="N30" s="1"/>
      <c r="O30" s="1"/>
      <c r="P30" s="1"/>
      <c r="Q30" s="1"/>
      <c r="R30" s="1"/>
      <c r="S30" s="16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8">
        <f t="shared" si="2"/>
        <v>1864</v>
      </c>
      <c r="C31" s="17">
        <f>(1/240*2240)*1.34496323567705</f>
        <v>12.552990199652468</v>
      </c>
      <c r="D31" s="17"/>
      <c r="E31" s="1">
        <f>(1/240*2240)*0.89022994810353</f>
        <v>8.30881284896628</v>
      </c>
      <c r="G31" s="1">
        <f>2240*0.00520833333333333</f>
        <v>11.666666666666659</v>
      </c>
      <c r="H31" s="1"/>
      <c r="I31" s="1"/>
      <c r="J31" s="19"/>
      <c r="K31" s="1"/>
      <c r="L31" s="1"/>
      <c r="M31" s="1"/>
      <c r="N31" s="1"/>
      <c r="O31" s="1"/>
      <c r="P31" s="1"/>
      <c r="Q31" s="3"/>
      <c r="R31" s="3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8">
        <f t="shared" si="2"/>
        <v>1865</v>
      </c>
      <c r="C32" s="17">
        <f>(1/240*2240)*1.44</f>
        <v>13.44</v>
      </c>
      <c r="D32" s="17"/>
      <c r="E32" s="1">
        <f>(1/240*2240)*1.66546287174519</f>
        <v>15.544320136288441</v>
      </c>
      <c r="F32" s="18"/>
      <c r="G32" s="1">
        <f>2240*0.00555555555555555</f>
        <v>12.444444444444432</v>
      </c>
      <c r="H32" s="1"/>
      <c r="I32" s="1"/>
      <c r="J32" s="17"/>
      <c r="K32" s="1"/>
      <c r="L32" s="1"/>
      <c r="M32" s="1"/>
      <c r="N32" s="1"/>
      <c r="P32" s="1"/>
      <c r="Q32" s="3"/>
      <c r="R32" s="3">
        <v>5.7517564402810306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8">
        <f t="shared" si="2"/>
        <v>1866</v>
      </c>
      <c r="C33" s="17">
        <f>(1/240*2240)*1.63607142857143</f>
        <v>15.270000000000014</v>
      </c>
      <c r="D33" s="17"/>
      <c r="E33" s="1">
        <f>(1/240*2240)*1.50484413290728</f>
        <v>14.045211907134613</v>
      </c>
      <c r="F33" s="17"/>
      <c r="G33" s="3">
        <f>2240*0.00625</f>
        <v>14</v>
      </c>
      <c r="H33" s="1"/>
      <c r="I33" s="1"/>
      <c r="J33" s="17"/>
      <c r="K33" s="1"/>
      <c r="L33" s="1"/>
      <c r="M33" s="1"/>
      <c r="N33" s="1"/>
      <c r="O33" s="1"/>
      <c r="P33" s="1"/>
      <c r="Q33" s="3"/>
      <c r="R33" s="3">
        <v>6.0210889570552144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8">
        <f t="shared" si="2"/>
        <v>1867</v>
      </c>
      <c r="C34" s="17">
        <f>(1/240*2240)*2.09892857142857</f>
        <v>19.589999999999989</v>
      </c>
      <c r="D34" s="17"/>
      <c r="E34" s="1">
        <f>(1/240*2240)*1.61107467405214</f>
        <v>15.036696957819974</v>
      </c>
      <c r="F34" s="17"/>
      <c r="G34" s="3"/>
      <c r="H34" s="1"/>
      <c r="I34" s="1"/>
      <c r="J34" s="17"/>
      <c r="K34" s="1"/>
      <c r="L34" s="1"/>
      <c r="M34" s="1"/>
      <c r="N34" s="1"/>
      <c r="O34" s="1"/>
      <c r="P34" s="1"/>
      <c r="Q34" s="14"/>
      <c r="R34" s="3">
        <v>5.2576956904133683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8">
        <f t="shared" si="2"/>
        <v>1868</v>
      </c>
      <c r="C35" s="17">
        <f>(1/240*2240)*1.96178571428571</f>
        <v>18.30999999999996</v>
      </c>
      <c r="D35" s="17"/>
      <c r="E35" s="1">
        <f>(1/240*2240)*1.81350790634604</f>
        <v>16.926073792563042</v>
      </c>
      <c r="F35" s="17"/>
      <c r="G35" s="3">
        <f>2240*0.00625</f>
        <v>14</v>
      </c>
      <c r="H35" s="1"/>
      <c r="I35" s="1"/>
      <c r="J35" s="17"/>
      <c r="K35" s="1"/>
      <c r="L35" s="1"/>
      <c r="M35" s="1"/>
      <c r="N35" s="1"/>
      <c r="O35" s="1"/>
      <c r="P35" s="1"/>
      <c r="Q35" s="3"/>
      <c r="R35" s="3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8">
        <f t="shared" si="2"/>
        <v>1869</v>
      </c>
      <c r="C36" s="17">
        <f>(1/240*2240)*1.50428571428571</f>
        <v>14.039999999999962</v>
      </c>
      <c r="D36" s="17"/>
      <c r="E36" s="1">
        <f>(1/240*2240)*1.46021172122406</f>
        <v>13.628642731424561</v>
      </c>
      <c r="F36" s="17"/>
      <c r="G36" s="1">
        <f>2240*0.00833333333333333</f>
        <v>18.666666666666657</v>
      </c>
      <c r="H36" s="1"/>
      <c r="I36" s="1"/>
      <c r="J36" s="17"/>
      <c r="K36" s="1"/>
      <c r="L36" s="1"/>
      <c r="M36" s="1"/>
      <c r="N36" s="1"/>
      <c r="O36" s="1"/>
      <c r="P36" s="1"/>
      <c r="Q36" s="1"/>
      <c r="R36" s="3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8">
        <f t="shared" si="2"/>
        <v>1870</v>
      </c>
      <c r="C37" s="17">
        <f>(1/240*2240)*1.50964285714286</f>
        <v>14.090000000000027</v>
      </c>
      <c r="D37" s="17"/>
      <c r="E37" s="1">
        <f>(1/240*2240)*1.33842128755029</f>
        <v>12.491932017136042</v>
      </c>
      <c r="F37" s="17"/>
      <c r="G37" s="1"/>
      <c r="H37" s="1"/>
      <c r="I37" s="1"/>
      <c r="J37" s="17"/>
      <c r="K37" s="1"/>
      <c r="L37" s="1"/>
      <c r="M37" s="1"/>
      <c r="N37" s="1"/>
      <c r="O37" s="1"/>
      <c r="P37" s="1"/>
      <c r="Q37" s="1"/>
      <c r="R37" s="14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8">
        <f t="shared" si="2"/>
        <v>1871</v>
      </c>
      <c r="C38" s="17">
        <f>(1/240*2240)*1.88464285714286</f>
        <v>17.590000000000028</v>
      </c>
      <c r="D38" s="17"/>
      <c r="E38" s="1">
        <f>(1/240*2240)*1.48533798747646</f>
        <v>13.863154549780294</v>
      </c>
      <c r="F38" s="17"/>
      <c r="H38" s="1"/>
      <c r="I38" s="1"/>
      <c r="J38" s="17"/>
      <c r="K38" s="1"/>
      <c r="L38" s="1"/>
      <c r="M38" s="1"/>
      <c r="N38" s="1"/>
      <c r="O38" s="1"/>
      <c r="P38" s="1"/>
      <c r="Q38" s="1"/>
      <c r="R38" s="3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8">
        <f t="shared" si="2"/>
        <v>1872</v>
      </c>
      <c r="C39" s="17">
        <f>(1/240*2240)*1.99607142857143</f>
        <v>18.630000000000013</v>
      </c>
      <c r="D39" s="17"/>
      <c r="E39" s="1">
        <f>(1/240*2240)*1.59137203346562</f>
        <v>14.852805645679121</v>
      </c>
      <c r="F39" s="17"/>
      <c r="G39" s="1"/>
      <c r="H39" s="1"/>
      <c r="J39" s="17"/>
      <c r="K39" s="1"/>
      <c r="L39" s="1"/>
      <c r="M39" s="1"/>
      <c r="N39" s="1"/>
      <c r="O39" s="1"/>
      <c r="P39" s="1"/>
      <c r="Q39" s="1"/>
      <c r="R39" s="3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8">
        <f t="shared" si="2"/>
        <v>1873</v>
      </c>
      <c r="C40" s="17">
        <f>(1/240*2240)*2.0175</f>
        <v>18.830000000000002</v>
      </c>
      <c r="D40" s="17"/>
      <c r="E40" s="1">
        <f>(1/240*2240)*1.65934982203346</f>
        <v>15.487265005645627</v>
      </c>
      <c r="F40" s="17"/>
      <c r="G40" s="1">
        <f>2240*0.00833333333333333</f>
        <v>18.666666666666657</v>
      </c>
      <c r="H40" s="1"/>
      <c r="J40" s="17"/>
      <c r="K40" s="1"/>
      <c r="L40" s="1"/>
      <c r="M40" s="1"/>
      <c r="N40" s="1"/>
      <c r="O40" s="1"/>
      <c r="P40" s="1"/>
      <c r="Q40" s="1"/>
      <c r="R40" s="14"/>
      <c r="T40" s="1"/>
      <c r="V40" s="1">
        <f>2240*0.00261538461538462</f>
        <v>5.8584615384615493</v>
      </c>
      <c r="W40" s="1"/>
      <c r="X40" s="1"/>
      <c r="Y40" s="1"/>
      <c r="Z40" s="1"/>
      <c r="AA40" s="1"/>
      <c r="AB40" s="1"/>
      <c r="AC40" s="1"/>
    </row>
    <row r="41" spans="1:29" x14ac:dyDescent="0.25">
      <c r="A41" s="8">
        <f t="shared" si="2"/>
        <v>1874</v>
      </c>
      <c r="C41" s="17">
        <f>(1/240*2240)*1.95321428571429</f>
        <v>18.23000000000004</v>
      </c>
      <c r="D41" s="17"/>
      <c r="E41" s="1">
        <f>(1/240*2240)*1.60967645711379</f>
        <v>15.023646933062041</v>
      </c>
      <c r="F41" s="17"/>
      <c r="G41" s="1"/>
      <c r="H41" s="1"/>
      <c r="J41" s="17"/>
      <c r="K41" s="1"/>
      <c r="L41" s="1"/>
      <c r="M41" s="1"/>
      <c r="N41" s="1"/>
      <c r="O41" s="1"/>
      <c r="P41" s="1"/>
      <c r="Q41" s="1"/>
      <c r="R41" s="3"/>
      <c r="T41" s="1"/>
      <c r="V41" s="1">
        <f>2240*0.00261651676206051</f>
        <v>5.8609975470155424</v>
      </c>
      <c r="W41" s="1"/>
      <c r="X41" s="1"/>
      <c r="Y41" s="1">
        <f>2240*0.0125490196078431</f>
        <v>28.109803921568545</v>
      </c>
      <c r="Z41" s="1"/>
      <c r="AA41" s="1"/>
      <c r="AB41" s="1"/>
      <c r="AC41" s="1"/>
    </row>
    <row r="42" spans="1:29" x14ac:dyDescent="0.25">
      <c r="A42" s="8">
        <f t="shared" si="2"/>
        <v>1875</v>
      </c>
      <c r="C42" s="17">
        <f>(1/240*2240)*1.70035714285714</f>
        <v>15.869999999999974</v>
      </c>
      <c r="D42" s="17"/>
      <c r="E42" s="1">
        <f>(1/240*2240)*1.24776251578232</f>
        <v>11.645783480634988</v>
      </c>
      <c r="F42" s="17"/>
      <c r="H42" s="1"/>
      <c r="I42" s="1"/>
      <c r="J42" s="17"/>
      <c r="K42" s="1"/>
      <c r="L42" s="1"/>
      <c r="M42" s="1"/>
      <c r="N42" s="1"/>
      <c r="O42" s="1"/>
      <c r="P42" s="1"/>
      <c r="Q42" s="1"/>
      <c r="R42" s="3"/>
      <c r="T42" s="1"/>
      <c r="V42" s="1">
        <f>2240*0.00301960784313725</f>
        <v>6.7639215686274392</v>
      </c>
      <c r="W42" s="1"/>
      <c r="X42" s="1"/>
      <c r="Y42" s="1">
        <f>2240*0.00357142857142857</f>
        <v>7.9999999999999964</v>
      </c>
      <c r="Z42" s="1"/>
      <c r="AA42" s="1"/>
      <c r="AB42" s="1"/>
      <c r="AC42" s="1"/>
    </row>
    <row r="43" spans="1:29" x14ac:dyDescent="0.25">
      <c r="A43" s="8">
        <f t="shared" si="2"/>
        <v>1876</v>
      </c>
      <c r="C43" s="17">
        <f>(1/240*2240)*1.70464285714286</f>
        <v>15.910000000000029</v>
      </c>
      <c r="D43" s="17"/>
      <c r="E43" s="1">
        <f>(1/240*2240)*1.40270277762793</f>
        <v>13.091892591194014</v>
      </c>
      <c r="F43" s="17"/>
      <c r="H43" s="1"/>
      <c r="I43" s="1"/>
      <c r="J43" s="17"/>
      <c r="K43" s="1"/>
      <c r="L43" s="17"/>
      <c r="M43" s="1"/>
      <c r="N43" s="1"/>
      <c r="O43" s="1"/>
      <c r="P43" s="1"/>
      <c r="Q43" s="1"/>
      <c r="R43" s="3"/>
      <c r="T43" s="1"/>
      <c r="V43" s="1"/>
      <c r="W43" s="1"/>
      <c r="X43" s="1"/>
      <c r="Y43" s="1">
        <f>2240*0.00223214285714286</f>
        <v>5.0000000000000062</v>
      </c>
      <c r="Z43" s="1"/>
      <c r="AA43" s="1"/>
      <c r="AB43" s="1"/>
      <c r="AC43" s="1"/>
    </row>
    <row r="44" spans="1:29" x14ac:dyDescent="0.25">
      <c r="A44" s="8">
        <f t="shared" si="2"/>
        <v>1877</v>
      </c>
      <c r="C44" s="17">
        <f>(1/240*2240)*1.97785714285714</f>
        <v>18.459999999999976</v>
      </c>
      <c r="D44" s="17"/>
      <c r="E44" s="1">
        <f>(1/240*2240)*1.5576829890012</f>
        <v>14.538374564011201</v>
      </c>
      <c r="F44" s="17"/>
      <c r="H44" s="1"/>
      <c r="I44" s="1"/>
      <c r="J44" s="17"/>
      <c r="K44" s="1"/>
      <c r="L44" s="17"/>
      <c r="M44" s="1"/>
      <c r="N44" s="1"/>
      <c r="O44" s="1"/>
      <c r="P44" s="1"/>
      <c r="Q44" s="1">
        <f>(1/112*2240)*1.11190592846644</f>
        <v>22.238118569328801</v>
      </c>
      <c r="R44" s="3"/>
      <c r="T44" s="1"/>
      <c r="W44" s="1"/>
      <c r="X44" s="1"/>
      <c r="Y44" s="1"/>
      <c r="Z44" s="1"/>
      <c r="AA44" s="1"/>
      <c r="AB44" s="1"/>
      <c r="AC44" s="1"/>
    </row>
    <row r="45" spans="1:29" x14ac:dyDescent="0.25">
      <c r="A45" s="8">
        <f t="shared" si="2"/>
        <v>1878</v>
      </c>
      <c r="C45" s="17">
        <f>(1/240*2240)*1.85678571428571</f>
        <v>17.329999999999963</v>
      </c>
      <c r="D45" s="17">
        <f>(1/240*2240)*2.5</f>
        <v>23.333333333333336</v>
      </c>
      <c r="E45" s="1">
        <f>(1/240*2240)*1.58704598253812</f>
        <v>14.812429170355788</v>
      </c>
      <c r="F45" s="1"/>
      <c r="H45" s="1"/>
      <c r="I45" s="1"/>
      <c r="J45" s="17"/>
      <c r="K45" s="1"/>
      <c r="L45" s="17"/>
      <c r="M45" s="1"/>
      <c r="N45" s="1"/>
      <c r="O45" s="1"/>
      <c r="P45" s="1"/>
      <c r="Q45" s="1">
        <f>(1/112*2240)*1.05212044994061</f>
        <v>21.042408998812199</v>
      </c>
      <c r="R45" s="3"/>
      <c r="S45" s="1">
        <v>26.56084656084656</v>
      </c>
      <c r="T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8">
        <f t="shared" si="2"/>
        <v>1879</v>
      </c>
      <c r="C46" s="17">
        <f>(1/240*2240)*1.69821428571429</f>
        <v>15.850000000000041</v>
      </c>
      <c r="D46" s="17">
        <f>(1/240*2240)*1.85714285714286</f>
        <v>17.333333333333361</v>
      </c>
      <c r="E46" s="1">
        <f>(1/240*2240)*1.3214606518233</f>
        <v>12.333632750350802</v>
      </c>
      <c r="H46" s="1"/>
      <c r="I46" s="1">
        <f>2240*0.0068013468013468</f>
        <v>15.235016835016832</v>
      </c>
      <c r="J46" s="17"/>
      <c r="K46" s="1"/>
      <c r="L46" s="17"/>
      <c r="M46" s="1"/>
      <c r="N46" s="1"/>
      <c r="O46" s="1"/>
      <c r="P46" s="1"/>
      <c r="Q46" s="1">
        <f>(1/112*2240)*1.23649956667467</f>
        <v>24.729991333493402</v>
      </c>
      <c r="R46" s="3"/>
      <c r="S46" s="1">
        <v>21.448275862068968</v>
      </c>
      <c r="T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8">
        <f t="shared" si="2"/>
        <v>1880</v>
      </c>
      <c r="C47" s="17">
        <f>(1/240*2240)*1.76678571428571</f>
        <v>16.489999999999959</v>
      </c>
      <c r="D47" s="17">
        <f>(1/240*2240)*2.35714285714286</f>
        <v>22.000000000000028</v>
      </c>
      <c r="E47" s="1">
        <f>(1/240*2240)*1.47896909966058</f>
        <v>13.80371159683208</v>
      </c>
      <c r="H47" s="1"/>
      <c r="I47" s="1"/>
      <c r="J47" s="17"/>
      <c r="K47" s="1"/>
      <c r="L47" s="17"/>
      <c r="M47" s="1"/>
      <c r="N47" s="1"/>
      <c r="O47" s="1"/>
      <c r="P47" s="1"/>
      <c r="Q47" s="1">
        <f>(1/112*2240)*0.693267111381327</f>
        <v>13.86534222762654</v>
      </c>
      <c r="R47" s="3"/>
      <c r="S47" s="21">
        <v>21.431372549019606</v>
      </c>
      <c r="T47" s="1"/>
      <c r="V47" s="1"/>
      <c r="W47" s="1"/>
      <c r="X47" s="1"/>
      <c r="Y47" s="1"/>
      <c r="Z47" s="1"/>
      <c r="AA47" s="1">
        <v>11.58154502512766</v>
      </c>
      <c r="AB47" s="1"/>
      <c r="AC47" s="1"/>
    </row>
    <row r="48" spans="1:29" x14ac:dyDescent="0.25">
      <c r="A48" s="8">
        <f t="shared" si="2"/>
        <v>1881</v>
      </c>
      <c r="C48" s="17">
        <f>(1/240*2240)*1.73678571428571</f>
        <v>16.209999999999962</v>
      </c>
      <c r="D48" s="17">
        <f>(1/240*2240)*2.07142857142857</f>
        <v>19.333333333333321</v>
      </c>
      <c r="E48" s="1">
        <f>(1/240*2240)*1.42613080246277</f>
        <v>13.310554156319187</v>
      </c>
      <c r="G48" s="1"/>
      <c r="H48" s="1"/>
      <c r="I48" s="1"/>
      <c r="J48" s="17"/>
      <c r="K48" s="1"/>
      <c r="L48" s="17"/>
      <c r="M48" s="1"/>
      <c r="N48" s="1"/>
      <c r="O48" s="1"/>
      <c r="P48" s="1"/>
      <c r="Q48" s="1">
        <f>(1/112*2240)*0.695135109534907</f>
        <v>13.90270219069814</v>
      </c>
      <c r="R48" s="3"/>
      <c r="S48" s="1">
        <v>21.56451612903226</v>
      </c>
      <c r="T48" s="1"/>
      <c r="V48" s="1"/>
      <c r="W48" s="1"/>
      <c r="X48" s="1"/>
      <c r="Y48" s="1"/>
      <c r="Z48" s="1"/>
      <c r="AA48" s="1">
        <v>12.006792759686659</v>
      </c>
      <c r="AB48" s="1"/>
      <c r="AC48" s="1"/>
    </row>
    <row r="49" spans="1:31" x14ac:dyDescent="0.25">
      <c r="A49" s="8">
        <f t="shared" si="2"/>
        <v>1882</v>
      </c>
      <c r="C49" s="17">
        <f>(1/240*2240)*1.74964285714286</f>
        <v>16.330000000000027</v>
      </c>
      <c r="D49" s="17">
        <f>(1/240*2240)*2.14285714285714</f>
        <v>19.999999999999975</v>
      </c>
      <c r="E49" s="1">
        <f>(1/240*2240)*1.54715566413965</f>
        <v>14.440119531970067</v>
      </c>
      <c r="G49" s="1"/>
      <c r="H49" s="1"/>
      <c r="I49" s="1"/>
      <c r="J49" s="17"/>
      <c r="K49" s="1"/>
      <c r="L49" s="17"/>
      <c r="M49" s="1"/>
      <c r="N49" s="1"/>
      <c r="P49" s="1"/>
      <c r="Q49" s="1">
        <f>(1/112*2240)*0.738458773992567</f>
        <v>14.76917547985134</v>
      </c>
      <c r="R49" s="3"/>
      <c r="S49" s="1">
        <v>21.932773109243698</v>
      </c>
      <c r="T49" s="1"/>
      <c r="V49" s="1"/>
      <c r="W49" s="1"/>
      <c r="X49" s="1"/>
      <c r="Y49" s="1"/>
      <c r="Z49" s="1"/>
      <c r="AA49" s="1">
        <v>13.431347179977401</v>
      </c>
      <c r="AB49" s="1"/>
      <c r="AC49" s="1"/>
    </row>
    <row r="50" spans="1:31" x14ac:dyDescent="0.25">
      <c r="A50" s="8">
        <f t="shared" si="2"/>
        <v>1883</v>
      </c>
      <c r="C50" s="17">
        <f>(1/240*2240)*1.62</f>
        <v>15.120000000000003</v>
      </c>
      <c r="D50" s="17">
        <f>(1/240*2240)*2.14285714285714</f>
        <v>19.999999999999975</v>
      </c>
      <c r="E50" s="1">
        <f>(1/240*2240)*1.49834314196644</f>
        <v>13.984535991686773</v>
      </c>
      <c r="G50" s="1"/>
      <c r="H50" s="1"/>
      <c r="I50" s="1"/>
      <c r="J50" s="17"/>
      <c r="K50" s="1"/>
      <c r="L50" s="17"/>
      <c r="M50" s="1"/>
      <c r="N50" s="1"/>
      <c r="P50" s="1">
        <v>12.5</v>
      </c>
      <c r="Q50" s="1">
        <f>(1/112*2240)*0.738538699221159</f>
        <v>14.77077398442318</v>
      </c>
      <c r="R50" s="3"/>
      <c r="S50" s="1">
        <v>21.833333333333336</v>
      </c>
      <c r="T50" s="1"/>
      <c r="V50" s="1"/>
      <c r="W50" s="1"/>
      <c r="X50" s="1"/>
      <c r="Y50" s="1"/>
      <c r="Z50" s="1"/>
      <c r="AA50" s="1">
        <v>8.319700767027939</v>
      </c>
      <c r="AB50" s="1"/>
      <c r="AC50" s="1"/>
    </row>
    <row r="51" spans="1:31" x14ac:dyDescent="0.25">
      <c r="A51" s="8">
        <f t="shared" si="2"/>
        <v>1884</v>
      </c>
      <c r="C51" s="17">
        <f>(1/240*2240)*1.44321428571429</f>
        <v>13.470000000000041</v>
      </c>
      <c r="D51" s="17">
        <f>(1/240*2240)*1.85714285714286</f>
        <v>17.333333333333361</v>
      </c>
      <c r="E51" s="1">
        <f>(1/240*2240)*1.40600192733979</f>
        <v>13.122684655171373</v>
      </c>
      <c r="G51" s="1"/>
      <c r="H51" s="3"/>
      <c r="I51" s="1"/>
      <c r="J51" s="17">
        <f>(1/240*2240)*0.811286434437453</f>
        <v>7.5720067214162281</v>
      </c>
      <c r="K51" s="1"/>
      <c r="L51" s="17"/>
      <c r="M51" s="1"/>
      <c r="N51" s="3"/>
      <c r="P51" s="1">
        <v>11</v>
      </c>
      <c r="Q51" s="1">
        <f>(1/112*2240)*0.861557146360547</f>
        <v>17.231142927210939</v>
      </c>
      <c r="R51" s="3"/>
      <c r="S51" s="1"/>
      <c r="T51" s="1"/>
      <c r="V51" s="3"/>
      <c r="W51" s="1"/>
      <c r="X51" s="3"/>
      <c r="Y51" s="3"/>
      <c r="Z51" s="3"/>
      <c r="AA51" s="1">
        <v>17.818149088245541</v>
      </c>
      <c r="AB51" s="1"/>
      <c r="AC51" s="3"/>
    </row>
    <row r="52" spans="1:31" x14ac:dyDescent="0.25">
      <c r="A52" s="8">
        <f t="shared" si="2"/>
        <v>1885</v>
      </c>
      <c r="C52" s="17">
        <f>(1/240*2240)*1.30607142857143</f>
        <v>12.190000000000015</v>
      </c>
      <c r="D52" s="17">
        <f>(1/240*2240)*1.5</f>
        <v>14</v>
      </c>
      <c r="E52" s="1">
        <f>(1/240*2240)*1.2321387684651</f>
        <v>11.4999618390076</v>
      </c>
      <c r="G52" s="1"/>
      <c r="H52" s="1">
        <v>12.333075805202867</v>
      </c>
      <c r="I52" s="1"/>
      <c r="J52" s="17">
        <f>(1/240*2240)*1.16936419164455</f>
        <v>10.914065788682468</v>
      </c>
      <c r="K52" s="1"/>
      <c r="L52" s="17"/>
      <c r="M52" s="1"/>
      <c r="N52" s="1"/>
      <c r="P52" s="1">
        <v>10</v>
      </c>
      <c r="Q52" s="1"/>
      <c r="R52" s="3"/>
      <c r="S52" s="1"/>
      <c r="T52" s="1"/>
      <c r="V52" s="1"/>
      <c r="W52" s="1"/>
      <c r="X52" s="1"/>
      <c r="Y52" s="1"/>
      <c r="Z52" s="1"/>
      <c r="AA52" s="1">
        <v>19.976537379421217</v>
      </c>
      <c r="AB52" s="1"/>
      <c r="AC52" s="1"/>
    </row>
    <row r="53" spans="1:31" x14ac:dyDescent="0.25">
      <c r="A53" s="8">
        <f t="shared" si="2"/>
        <v>1886</v>
      </c>
      <c r="C53" s="17">
        <f>(1/240*2240)*1.2</f>
        <v>11.200000000000001</v>
      </c>
      <c r="D53" s="17">
        <f>(1/240*2240)*1.5</f>
        <v>14</v>
      </c>
      <c r="E53" s="1">
        <f>(1/240*2240)*1.18231980253573</f>
        <v>11.034984823666814</v>
      </c>
      <c r="G53" s="1"/>
      <c r="H53" s="1">
        <v>10.332462287057377</v>
      </c>
      <c r="I53" s="1">
        <f>(1/240*2240)*1.15773408</f>
        <v>10.805518080000001</v>
      </c>
      <c r="J53" s="17">
        <f>(1/240*2240)*0.942418808527595</f>
        <v>8.7959088795908862</v>
      </c>
      <c r="K53" s="1"/>
      <c r="L53" s="18"/>
      <c r="M53" s="1"/>
      <c r="N53" s="1"/>
      <c r="O53" s="1"/>
      <c r="P53" s="1">
        <v>10</v>
      </c>
      <c r="Q53" s="1"/>
      <c r="R53" s="3"/>
      <c r="S53" s="1"/>
      <c r="T53" s="1"/>
      <c r="V53" s="1"/>
      <c r="W53" s="1"/>
      <c r="X53" s="1"/>
      <c r="Y53" s="1"/>
      <c r="Z53" s="1"/>
      <c r="AA53" s="1">
        <v>17.567375138114681</v>
      </c>
      <c r="AB53" s="1"/>
      <c r="AC53" s="1"/>
    </row>
    <row r="54" spans="1:31" x14ac:dyDescent="0.25">
      <c r="A54" s="8">
        <f t="shared" si="2"/>
        <v>1887</v>
      </c>
      <c r="C54" s="17">
        <f>(1/240*2240)*1.18928571428571</f>
        <v>11.099999999999961</v>
      </c>
      <c r="D54" s="17">
        <f>(1/240*2240)*1.57142857142857</f>
        <v>14.666666666666655</v>
      </c>
      <c r="E54" s="1">
        <f>(1/240*2240)*1.13476533505771</f>
        <v>10.591143127205294</v>
      </c>
      <c r="F54" s="1"/>
      <c r="G54" s="1"/>
      <c r="H54" s="1">
        <v>10.63051676560211</v>
      </c>
      <c r="I54" s="1">
        <f>(1/240*2240)*1.0909092</f>
        <v>10.181819200000001</v>
      </c>
      <c r="J54" s="17">
        <f>(1/240*2240)*0.942846567747426</f>
        <v>8.7999012989759766</v>
      </c>
      <c r="K54" s="1"/>
      <c r="L54" s="17">
        <v>8.2758620689655178</v>
      </c>
      <c r="M54" s="1">
        <v>9.7612732095490724</v>
      </c>
      <c r="N54" s="1"/>
      <c r="O54" s="1"/>
      <c r="P54" s="1">
        <v>8.0019709288001977</v>
      </c>
      <c r="Q54" s="1"/>
      <c r="R54" s="14"/>
      <c r="S54" s="1">
        <v>19.570754716981131</v>
      </c>
      <c r="T54" s="1"/>
      <c r="V54" s="1"/>
      <c r="W54" s="1"/>
      <c r="X54" s="1"/>
      <c r="Y54" s="1"/>
      <c r="Z54" s="1"/>
      <c r="AA54" s="1">
        <v>15.57108250878346</v>
      </c>
    </row>
    <row r="55" spans="1:31" x14ac:dyDescent="0.25">
      <c r="A55" s="8">
        <f t="shared" si="2"/>
        <v>1888</v>
      </c>
      <c r="C55" s="17">
        <f>(1/240*2240)*1.2075</f>
        <v>11.270000000000001</v>
      </c>
      <c r="D55" s="17">
        <f>(1/240*2240)*1.5</f>
        <v>14</v>
      </c>
      <c r="E55" s="1">
        <f>(1/240*2240)*1.15212648985127</f>
        <v>10.753180571945187</v>
      </c>
      <c r="F55" s="1"/>
      <c r="H55" s="1">
        <v>10.026041075123716</v>
      </c>
      <c r="I55" s="1">
        <f>(1/240*2240)*1.36363632</f>
        <v>12.727272319999999</v>
      </c>
      <c r="J55" s="17">
        <f>(1/240*2240)*0.87673340053524</f>
        <v>8.182845071662241</v>
      </c>
      <c r="K55" s="1"/>
      <c r="L55" s="17"/>
      <c r="M55" s="1"/>
      <c r="N55" s="1"/>
      <c r="O55" s="1"/>
      <c r="P55" s="1">
        <v>8.0047770700636942</v>
      </c>
      <c r="R55" s="3"/>
      <c r="S55" s="1">
        <v>20.2015503875969</v>
      </c>
      <c r="T55" s="1"/>
      <c r="V55" s="1"/>
      <c r="W55" s="1"/>
      <c r="X55" s="1"/>
      <c r="Y55" s="1"/>
      <c r="Z55" s="1"/>
      <c r="AA55" s="1">
        <v>13.83289640122438</v>
      </c>
    </row>
    <row r="56" spans="1:31" x14ac:dyDescent="0.25">
      <c r="A56" s="8">
        <f t="shared" si="2"/>
        <v>1889</v>
      </c>
      <c r="C56" s="17">
        <f>(1/240*2240)*1.24821428571429</f>
        <v>11.650000000000039</v>
      </c>
      <c r="D56" s="17">
        <f>(1/240*2240)*1.64285714285714</f>
        <v>15.333333333333307</v>
      </c>
      <c r="E56" s="1">
        <f>(1/240*2240)*1.21578405742768</f>
        <v>11.347317869325014</v>
      </c>
      <c r="F56" s="1"/>
      <c r="H56" s="1">
        <v>11.269857798387056</v>
      </c>
      <c r="I56" s="1">
        <f>(1/240*2240)*1.36576152</f>
        <v>12.74710752</v>
      </c>
      <c r="J56" s="17">
        <f>(1/240*2240)*0.693739459137703</f>
        <v>6.4749016186185617</v>
      </c>
      <c r="K56" s="1"/>
      <c r="L56" s="17">
        <v>7.8601398601398609</v>
      </c>
      <c r="M56" s="1"/>
      <c r="N56" s="1">
        <v>11.072603163963485</v>
      </c>
      <c r="O56" s="1">
        <v>9.6475453698626517</v>
      </c>
      <c r="P56" s="1">
        <v>7.9993895925530287</v>
      </c>
      <c r="Q56" s="1">
        <f>(1/112*2240)*0.738370564112041</f>
        <v>14.767411282240822</v>
      </c>
      <c r="R56" s="18">
        <v>12.307692307692307</v>
      </c>
      <c r="S56" s="1">
        <v>22.246153846153849</v>
      </c>
      <c r="T56" s="1"/>
      <c r="V56" s="1"/>
      <c r="W56" s="1"/>
      <c r="X56" s="1"/>
      <c r="Y56" s="1"/>
      <c r="Z56" s="1"/>
      <c r="AA56" s="1">
        <v>13.262250659364877</v>
      </c>
    </row>
    <row r="57" spans="1:31" x14ac:dyDescent="0.25">
      <c r="A57" s="8">
        <f t="shared" si="2"/>
        <v>1890</v>
      </c>
      <c r="C57" s="17">
        <f>(1/240*2240)*1.23321428571429</f>
        <v>11.510000000000041</v>
      </c>
      <c r="D57" s="17">
        <f>(1/240*2240)*1.5</f>
        <v>14</v>
      </c>
      <c r="E57" s="1">
        <f>(1/240*2240)*1.17250697591328</f>
        <v>10.943398441857282</v>
      </c>
      <c r="F57" s="1"/>
      <c r="H57" s="1">
        <v>11.179588965474187</v>
      </c>
      <c r="I57" s="1">
        <f>(1/240*2240)*1.2870276</f>
        <v>12.012257600000002</v>
      </c>
      <c r="J57" s="17">
        <f>(1/240*2240)*0.813844037361524</f>
        <v>7.5958776820408911</v>
      </c>
      <c r="K57" s="1"/>
      <c r="L57" s="17">
        <v>9.6223776223776234</v>
      </c>
      <c r="M57" s="1">
        <v>9.8461538461538467</v>
      </c>
      <c r="N57" s="1">
        <v>13.714855640020089</v>
      </c>
      <c r="O57" s="1">
        <v>10.903217981372604</v>
      </c>
      <c r="P57" s="1">
        <v>7.1013329050907341</v>
      </c>
      <c r="Q57" s="1">
        <f>(1/112*2240)*0.738481171086052</f>
        <v>14.769623421721041</v>
      </c>
      <c r="R57" s="18"/>
      <c r="S57" s="1">
        <v>14.454545454545441</v>
      </c>
      <c r="T57" s="1"/>
      <c r="V57" s="1"/>
      <c r="W57" s="1"/>
      <c r="X57" s="1"/>
      <c r="Y57" s="1">
        <f>2240*0.00277777777777778</f>
        <v>6.2222222222222276</v>
      </c>
      <c r="Z57" s="1"/>
      <c r="AA57" s="1">
        <v>8.1294868081041809</v>
      </c>
    </row>
    <row r="58" spans="1:31" x14ac:dyDescent="0.25">
      <c r="A58" s="8">
        <f t="shared" si="2"/>
        <v>1891</v>
      </c>
      <c r="C58" s="17">
        <f>(1/240*2240)*1.305</f>
        <v>12.18</v>
      </c>
      <c r="D58" s="17">
        <f>(1/240*2240)*1.57142857142857</f>
        <v>14.666666666666655</v>
      </c>
      <c r="E58" s="1">
        <f>(1/240*2240)*1.21276472615923</f>
        <v>11.319137444152814</v>
      </c>
      <c r="F58" s="1"/>
      <c r="H58" s="1">
        <v>12.020850963297178</v>
      </c>
      <c r="I58" s="1">
        <f>(1/240*2240)*1.38961032</f>
        <v>12.969696320000001</v>
      </c>
      <c r="J58" s="17">
        <f>(1/240*2240)*0.925028571428571</f>
        <v>8.6335999999999959</v>
      </c>
      <c r="K58" s="1"/>
      <c r="L58" s="17"/>
      <c r="M58" s="1"/>
      <c r="N58" s="1"/>
      <c r="O58" s="1"/>
      <c r="P58" s="1">
        <v>7.7952917093142275</v>
      </c>
      <c r="Q58" s="1">
        <f>(1/112*2240)*0.73841338630071</f>
        <v>14.7682677260142</v>
      </c>
      <c r="R58" s="18"/>
      <c r="S58" s="1">
        <v>22.280612244897934</v>
      </c>
      <c r="T58" s="1"/>
      <c r="U58" s="1">
        <f>2240*0.00317127472299886</f>
        <v>7.1036553795174466</v>
      </c>
      <c r="V58" s="1"/>
      <c r="W58" s="1"/>
      <c r="X58" s="1"/>
      <c r="Y58" s="1">
        <f>2240*0.00343137254901961</f>
        <v>7.6862745098039262</v>
      </c>
      <c r="Z58" s="1"/>
      <c r="AA58" s="1">
        <v>6.8890864275108594</v>
      </c>
      <c r="AB58" s="1"/>
    </row>
    <row r="59" spans="1:31" x14ac:dyDescent="0.25">
      <c r="A59" s="8">
        <f t="shared" si="2"/>
        <v>1892</v>
      </c>
      <c r="C59" s="17">
        <f>(1/240*2240)*1.18928571428571</f>
        <v>11.099999999999961</v>
      </c>
      <c r="D59" s="17">
        <f>(1/240*2240)*1.71428571428571</f>
        <v>15.999999999999961</v>
      </c>
      <c r="E59" s="1">
        <f>(1/240*2240)*1.24799025762444</f>
        <v>11.64790907116144</v>
      </c>
      <c r="F59" s="1"/>
      <c r="H59" s="1">
        <v>12.166657136079218</v>
      </c>
      <c r="I59" s="1">
        <f>(1/240*2240)*1.63636368</f>
        <v>15.272727680000003</v>
      </c>
      <c r="J59" s="17">
        <f>(1/240*2240)*0.8</f>
        <v>7.4666666666666677</v>
      </c>
      <c r="K59" s="1"/>
      <c r="L59" s="17">
        <v>9.6794521698945513</v>
      </c>
      <c r="M59" s="1">
        <v>7.4478006973910844</v>
      </c>
      <c r="N59" s="1">
        <v>10</v>
      </c>
      <c r="O59" s="1"/>
      <c r="P59" s="1">
        <v>8.6918467649633069</v>
      </c>
      <c r="Q59" s="1">
        <f>(1/112*2240)*0.738461538461538</f>
        <v>14.769230769230759</v>
      </c>
      <c r="R59" s="18"/>
      <c r="S59" s="1">
        <v>22.883018867924505</v>
      </c>
      <c r="T59" s="1"/>
      <c r="U59" s="1"/>
      <c r="V59" s="1"/>
      <c r="W59" s="1"/>
      <c r="X59" s="3"/>
      <c r="Y59" s="1">
        <f>2240*0.00326797385620915</f>
        <v>7.3202614379084956</v>
      </c>
      <c r="Z59" s="1"/>
      <c r="AA59" s="1">
        <v>6.4452176638671794</v>
      </c>
      <c r="AB59" s="1"/>
      <c r="AE59" s="1"/>
    </row>
    <row r="60" spans="1:31" x14ac:dyDescent="0.25">
      <c r="A60" s="8">
        <f t="shared" si="2"/>
        <v>1893</v>
      </c>
      <c r="C60" s="17">
        <f>(1/240*2240)*1.02535714285714</f>
        <v>9.5699999999999736</v>
      </c>
      <c r="D60" s="17">
        <f>(1/240*2240)*1.28571428571429</f>
        <v>12.000000000000041</v>
      </c>
      <c r="E60" s="1">
        <f>(1/240*2240)*1.14231366322882</f>
        <v>10.661594190135654</v>
      </c>
      <c r="H60" s="1">
        <v>9.2588459361477522</v>
      </c>
      <c r="I60" s="1">
        <f>(1/240*2240)*1.51688304</f>
        <v>14.157575040000001</v>
      </c>
      <c r="J60" s="17">
        <f>(1/240*2240)*0.617142857142857</f>
        <v>5.7599999999999989</v>
      </c>
      <c r="K60" s="1"/>
      <c r="L60" s="17">
        <v>7.6439801162692733</v>
      </c>
      <c r="M60" s="1">
        <v>7.2794675204313766</v>
      </c>
      <c r="N60" s="1"/>
      <c r="O60" s="1"/>
      <c r="P60" s="1">
        <v>6.7858588584536497</v>
      </c>
      <c r="Q60" s="1">
        <f>(1/112*2240)*0.73840716385448</f>
        <v>14.7681432770896</v>
      </c>
      <c r="R60" s="18"/>
      <c r="S60" s="1">
        <v>20.802588996763735</v>
      </c>
      <c r="T60" s="1"/>
      <c r="U60" s="3">
        <f>2240*0.00248660442134309</f>
        <v>5.5699939038085216</v>
      </c>
      <c r="V60" s="3">
        <f>2240*0.00174046226677806</f>
        <v>3.8986354775828547</v>
      </c>
      <c r="W60" s="1"/>
      <c r="X60" s="1"/>
      <c r="Z60" s="1"/>
      <c r="AA60" s="1">
        <v>7.4840964139999402</v>
      </c>
      <c r="AB60" s="1"/>
    </row>
    <row r="61" spans="1:31" x14ac:dyDescent="0.25">
      <c r="A61" s="8">
        <f t="shared" si="2"/>
        <v>1894</v>
      </c>
      <c r="C61" s="17">
        <f>(1/240*2240)*0.895714285714286</f>
        <v>8.360000000000003</v>
      </c>
      <c r="D61" s="17">
        <f>(1/240*2240)*1.28571428571429</f>
        <v>12.000000000000041</v>
      </c>
      <c r="E61" s="1">
        <f>(1/240*2240)*1.03412095944283</f>
        <v>9.6517956214664142</v>
      </c>
      <c r="H61" s="1">
        <v>6.7826977111871365</v>
      </c>
      <c r="I61" s="1">
        <f>(1/240*2240)*1.31050776</f>
        <v>12.231405759999999</v>
      </c>
      <c r="J61" s="17">
        <f>(1/240*2240)*0.514285714285714</f>
        <v>4.799999999999998</v>
      </c>
      <c r="K61" s="1"/>
      <c r="L61" s="17">
        <v>5.4871794871794872</v>
      </c>
      <c r="M61" s="1">
        <v>4.9107692307692314</v>
      </c>
      <c r="N61" s="1"/>
      <c r="O61" s="1"/>
      <c r="P61" s="1">
        <v>7.2722790583014918</v>
      </c>
      <c r="Q61" s="1"/>
      <c r="R61" s="18"/>
      <c r="S61" s="1">
        <v>21.868421052631557</v>
      </c>
      <c r="T61" s="1"/>
      <c r="U61" s="1"/>
      <c r="V61" s="1"/>
      <c r="W61" s="1"/>
      <c r="X61" s="1"/>
      <c r="Y61" s="1"/>
      <c r="Z61" s="1"/>
      <c r="AA61" s="1"/>
      <c r="AB61" s="1"/>
    </row>
    <row r="62" spans="1:31" x14ac:dyDescent="0.25">
      <c r="A62" s="8">
        <f t="shared" si="2"/>
        <v>1895</v>
      </c>
      <c r="C62" s="17">
        <f>(1/240*2240)*0.895714285714286</f>
        <v>8.360000000000003</v>
      </c>
      <c r="D62" s="17">
        <f>(1/240*2240)*1.21428571428571</f>
        <v>11.333333333333293</v>
      </c>
      <c r="E62" s="1">
        <f>(1/240*2240)*0.850444973945687</f>
        <v>7.9374864234930786</v>
      </c>
      <c r="H62" s="1">
        <v>5.555666769477174</v>
      </c>
      <c r="I62" s="1">
        <f>(1/240*2240)*1.01348976</f>
        <v>9.4592377600000006</v>
      </c>
      <c r="J62" s="17"/>
      <c r="K62" s="1">
        <v>12.444444444444445</v>
      </c>
      <c r="L62" s="17">
        <v>5.8668192565845514</v>
      </c>
      <c r="M62" s="1">
        <v>5.1385970277851776</v>
      </c>
      <c r="N62" s="1"/>
      <c r="O62" s="1"/>
      <c r="P62" s="1">
        <v>5.7287438722260289</v>
      </c>
      <c r="Q62" s="1"/>
      <c r="R62" s="18"/>
      <c r="S62" s="1">
        <v>20.322916666666647</v>
      </c>
      <c r="T62" s="1"/>
      <c r="U62" s="1">
        <f>2240*0.00247066554853156</f>
        <v>5.5342908287106942</v>
      </c>
      <c r="V62" s="1"/>
      <c r="W62" s="1"/>
      <c r="X62" s="1"/>
      <c r="Y62" s="1"/>
      <c r="Z62" s="1"/>
      <c r="AA62" s="1"/>
      <c r="AB62" s="1"/>
      <c r="AD62" s="1">
        <v>4.1919776947698528</v>
      </c>
      <c r="AE62" s="1">
        <v>6.2620241338199847</v>
      </c>
    </row>
    <row r="63" spans="1:31" x14ac:dyDescent="0.25">
      <c r="A63" s="8">
        <f t="shared" si="2"/>
        <v>1896</v>
      </c>
      <c r="C63" s="17">
        <f>(1/240*2240)*0.927857142857143</f>
        <v>8.6600000000000019</v>
      </c>
      <c r="D63" s="17">
        <f>(1/240*2240)*1.28571428571429</f>
        <v>12.000000000000041</v>
      </c>
      <c r="E63" s="1">
        <f>(1/240*2240)*0.895734942972381</f>
        <v>8.3601928010755557</v>
      </c>
      <c r="H63" s="1">
        <v>6.33732067769885</v>
      </c>
      <c r="I63" s="1">
        <f>(1/240*2240)*1.09166136</f>
        <v>10.188839360000001</v>
      </c>
      <c r="J63" s="17"/>
      <c r="K63" s="1">
        <v>12.444444444444445</v>
      </c>
      <c r="L63" s="17">
        <v>6.1806227637509048</v>
      </c>
      <c r="M63" s="1">
        <v>5.4245121874224305</v>
      </c>
      <c r="N63" s="1">
        <f>AVERAGE(11.0457742419001,21.6450216450216)</f>
        <v>16.345397943460849</v>
      </c>
      <c r="O63" s="1"/>
      <c r="P63" s="1">
        <v>5.9992475545522952</v>
      </c>
      <c r="Q63" s="1"/>
      <c r="R63" s="18"/>
      <c r="S63" s="1">
        <v>41.872538860103582</v>
      </c>
      <c r="T63" s="1"/>
      <c r="V63" s="1"/>
      <c r="W63" s="1"/>
      <c r="X63" s="1"/>
      <c r="Y63" s="1"/>
      <c r="Z63" s="1"/>
      <c r="AA63" s="1"/>
      <c r="AB63" s="1">
        <f>(1/112*2240)*0.588</f>
        <v>11.76</v>
      </c>
      <c r="AC63" s="1">
        <f>(1/112*2240)*0.335680751173709</f>
        <v>6.7136150234741798</v>
      </c>
      <c r="AD63" s="1">
        <v>4.7230508999952123</v>
      </c>
      <c r="AE63" s="1">
        <v>7.2153046811323982</v>
      </c>
    </row>
    <row r="64" spans="1:31" x14ac:dyDescent="0.25">
      <c r="A64" s="8">
        <f t="shared" si="2"/>
        <v>1897</v>
      </c>
      <c r="C64" s="17">
        <f>(1/240*2240)*1.10142857142857</f>
        <v>10.279999999999989</v>
      </c>
      <c r="D64" s="17">
        <f>(1/240*2240)*1.5</f>
        <v>14</v>
      </c>
      <c r="E64" s="1">
        <f>(1/240*2240)*0.966186005902793</f>
        <v>9.017736055092735</v>
      </c>
      <c r="F64" s="3">
        <f>2240*0.00534891375905201</f>
        <v>11.981566820276502</v>
      </c>
      <c r="H64" s="1">
        <v>7.0931797921745225</v>
      </c>
      <c r="I64" s="1">
        <f>(1/240*2240)*1.1629092</f>
        <v>10.853819200000002</v>
      </c>
      <c r="J64" s="17"/>
      <c r="K64" s="1">
        <v>13.481481481481481</v>
      </c>
      <c r="L64" s="17">
        <v>8.4163514776975159</v>
      </c>
      <c r="M64" s="1">
        <v>8.5792486030723083</v>
      </c>
      <c r="N64" s="1"/>
      <c r="O64" s="1"/>
      <c r="P64" s="1">
        <v>6.7248556465690879</v>
      </c>
      <c r="Q64" s="1"/>
      <c r="R64" s="18"/>
      <c r="S64" s="1">
        <v>24.150627615062739</v>
      </c>
      <c r="T64" s="1"/>
      <c r="U64" s="1"/>
      <c r="V64" s="1"/>
      <c r="W64" s="1"/>
      <c r="X64" s="1"/>
      <c r="Y64" s="1">
        <f>2240*0.00574371162606457</f>
        <v>12.865914042384638</v>
      </c>
      <c r="Z64" s="1"/>
      <c r="AA64" s="1"/>
      <c r="AB64" s="1">
        <f>(1/112*2240)*0.624444444444444</f>
        <v>12.48888888888888</v>
      </c>
      <c r="AC64" s="1">
        <f>(1/112*2240)*0.5</f>
        <v>10</v>
      </c>
      <c r="AD64" s="1">
        <v>6.3161004233642988</v>
      </c>
      <c r="AE64" s="1">
        <v>8.822356347547192</v>
      </c>
    </row>
    <row r="65" spans="1:31" x14ac:dyDescent="0.25">
      <c r="A65" s="8">
        <f t="shared" si="2"/>
        <v>1898</v>
      </c>
      <c r="C65" s="17">
        <f>(1/240*2240)*1.1775</f>
        <v>10.99</v>
      </c>
      <c r="D65" s="17">
        <f>(1/240*2240)*1.78571428571429</f>
        <v>16.666666666666707</v>
      </c>
      <c r="E65" s="1">
        <f>(1/240*2240)*1.13476533505771</f>
        <v>10.591143127205294</v>
      </c>
      <c r="F65" s="3"/>
      <c r="H65" s="1">
        <v>9.2696740999568981</v>
      </c>
      <c r="I65" s="1">
        <f>(1/240*2240)*1.3090908</f>
        <v>12.218180800000003</v>
      </c>
      <c r="J65" s="17"/>
      <c r="K65" s="1">
        <v>6.9091399999999989</v>
      </c>
      <c r="M65" s="1">
        <v>8.3597175771088814</v>
      </c>
      <c r="N65" s="1">
        <f>AVERAGE(9.59183673469388,17.9166666666667)</f>
        <v>13.754251700680289</v>
      </c>
      <c r="O65" s="1"/>
      <c r="P65" s="1">
        <v>8.146836061568532</v>
      </c>
      <c r="Q65" s="1"/>
      <c r="R65" s="18"/>
      <c r="S65" s="1">
        <v>21.221896383186689</v>
      </c>
      <c r="T65" s="1"/>
      <c r="U65" s="1"/>
      <c r="V65" s="1"/>
      <c r="W65" s="1"/>
      <c r="X65" s="1"/>
      <c r="Y65" s="1"/>
      <c r="Z65" s="1"/>
      <c r="AA65" s="1"/>
      <c r="AB65" s="1">
        <f>(1/112*2240)*0.3125</f>
        <v>6.25</v>
      </c>
      <c r="AC65" s="1">
        <f>(1/112*2240)*0.215962441314554</f>
        <v>4.31924882629108</v>
      </c>
      <c r="AD65" s="1">
        <v>6.9109026175786701</v>
      </c>
      <c r="AE65" s="1">
        <v>10.025843123984412</v>
      </c>
    </row>
    <row r="66" spans="1:31" x14ac:dyDescent="0.25">
      <c r="A66" s="8">
        <f t="shared" si="2"/>
        <v>1899</v>
      </c>
      <c r="C66" s="17">
        <f>(1/240*2240)*0.999642857142857</f>
        <v>9.33</v>
      </c>
      <c r="D66" s="17">
        <f>(1/240*2240)*1.35714285714286</f>
        <v>12.666666666666694</v>
      </c>
      <c r="E66" s="1">
        <f>(1/240*2240)*1.01650819371023</f>
        <v>9.4874098079621483</v>
      </c>
      <c r="F66" s="3"/>
      <c r="H66" s="1">
        <v>8.4916182397502684</v>
      </c>
      <c r="I66" s="1">
        <f>(1/240*2240)*1.0909092</f>
        <v>10.181819200000001</v>
      </c>
      <c r="J66" s="17"/>
      <c r="K66" s="1">
        <v>11.039921143420404</v>
      </c>
      <c r="M66" s="1">
        <v>7.742666325725394</v>
      </c>
      <c r="N66" s="1"/>
      <c r="O66" s="1"/>
      <c r="P66" s="1">
        <v>7.2265730488792865</v>
      </c>
      <c r="Q66" s="1"/>
      <c r="R66" s="18"/>
      <c r="S66" s="1">
        <v>17.263723150357979</v>
      </c>
      <c r="T66" s="1"/>
      <c r="U66" s="1"/>
      <c r="V66" s="1"/>
      <c r="W66" s="1"/>
      <c r="X66" s="1"/>
      <c r="Y66" s="1"/>
      <c r="Z66" s="1"/>
      <c r="AA66" s="1"/>
      <c r="AB66" s="1">
        <f>(1/112*2240)*0.3334</f>
        <v>6.6679999999999993</v>
      </c>
      <c r="AC66" s="1">
        <f>(1/112*2240)*0.3001443001443</f>
        <v>6.002886002886</v>
      </c>
      <c r="AD66" s="1">
        <v>7.0450051545520607</v>
      </c>
      <c r="AE66" s="1">
        <v>9.6959842498923337</v>
      </c>
    </row>
    <row r="67" spans="1:31" x14ac:dyDescent="0.25">
      <c r="A67" s="8">
        <f t="shared" si="2"/>
        <v>1900</v>
      </c>
      <c r="C67" s="17">
        <f>(1/240*2240)*1.005</f>
        <v>9.379999999999999</v>
      </c>
      <c r="D67" s="17">
        <f>(1/240*2240)*1.42857142857143</f>
        <v>13.333333333333346</v>
      </c>
      <c r="E67" s="1">
        <f>(1/240*2240)*0.910831599314612</f>
        <v>8.5010949269363785</v>
      </c>
      <c r="F67" s="3"/>
      <c r="H67" s="1">
        <v>8.0924366256441047</v>
      </c>
      <c r="I67" s="1">
        <f>(1/240*2240)*1.17363216</f>
        <v>10.95390016</v>
      </c>
      <c r="J67" s="17"/>
      <c r="K67" s="1">
        <v>10.160499999999999</v>
      </c>
      <c r="M67" s="1">
        <v>7.0387875688412676</v>
      </c>
      <c r="N67" s="1"/>
      <c r="O67" s="1"/>
      <c r="P67" s="1">
        <v>6.2217394256229213</v>
      </c>
      <c r="Q67" s="1"/>
      <c r="R67" s="18"/>
      <c r="S67" s="1">
        <v>19.309045226130635</v>
      </c>
      <c r="T67" s="1"/>
      <c r="U67" s="1"/>
      <c r="V67" s="1"/>
      <c r="W67" s="1"/>
      <c r="X67" s="1"/>
      <c r="Y67" s="1"/>
      <c r="Z67" s="1"/>
      <c r="AA67" s="1"/>
      <c r="AC67" s="1"/>
      <c r="AD67" s="1">
        <v>6.4211715217859329</v>
      </c>
      <c r="AE67" s="1">
        <v>9.1997763015913421</v>
      </c>
    </row>
    <row r="68" spans="1:31" x14ac:dyDescent="0.25">
      <c r="A68" s="8">
        <f t="shared" si="2"/>
        <v>1901</v>
      </c>
      <c r="C68" s="17">
        <f>(1/240*2240)*0.981428571428571</f>
        <v>9.1599999999999966</v>
      </c>
      <c r="D68" s="17">
        <f>(1/240*2240)*1.5</f>
        <v>14</v>
      </c>
      <c r="E68" s="1">
        <f>(1/240*2240)*0.93599269321833</f>
        <v>8.7359318033710807</v>
      </c>
      <c r="F68" s="3"/>
      <c r="H68" s="1">
        <v>7.9781576023487473</v>
      </c>
      <c r="I68" s="1">
        <f>(1/240*2240)*1.04313912</f>
        <v>9.7359651200000012</v>
      </c>
      <c r="J68" s="17"/>
      <c r="K68" s="1">
        <v>10.7532</v>
      </c>
      <c r="M68" s="1">
        <v>6.5084552715309743</v>
      </c>
      <c r="N68" s="1"/>
      <c r="O68" s="1"/>
      <c r="P68" s="1">
        <v>6.361890126776796</v>
      </c>
      <c r="Q68" s="1"/>
      <c r="R68" s="18"/>
      <c r="S68" s="1">
        <v>17.159340659340639</v>
      </c>
      <c r="T68" s="1"/>
      <c r="U68" s="1"/>
      <c r="V68" s="1"/>
      <c r="W68" s="1"/>
      <c r="X68" s="1"/>
      <c r="Y68" s="1"/>
      <c r="Z68" s="1"/>
      <c r="AA68" s="1"/>
      <c r="AC68" s="1"/>
      <c r="AD68" s="1">
        <v>6.5403778333022178</v>
      </c>
      <c r="AE68" s="1">
        <v>9.6061092277810616</v>
      </c>
    </row>
    <row r="69" spans="1:31" x14ac:dyDescent="0.25">
      <c r="A69" s="8">
        <f t="shared" si="2"/>
        <v>1902</v>
      </c>
      <c r="C69" s="17">
        <f>(1/240*2240)*0.986785714285714</f>
        <v>9.2099999999999991</v>
      </c>
      <c r="D69" s="17">
        <f>(1/240*2240)*1.5</f>
        <v>14</v>
      </c>
      <c r="E69" s="1">
        <f>(1/240*2240)*0.930960474437587</f>
        <v>8.6889644280841463</v>
      </c>
      <c r="F69" s="3">
        <f>2240*0.00428571428571429</f>
        <v>9.6000000000000103</v>
      </c>
      <c r="H69" s="1">
        <v>7.9274179384710379</v>
      </c>
      <c r="I69" s="1">
        <f>(1/240*2240)*0.99448392</f>
        <v>9.2818499200000009</v>
      </c>
      <c r="J69" s="17"/>
      <c r="K69" s="1"/>
      <c r="M69" s="1">
        <v>6.432215127867301</v>
      </c>
      <c r="N69" s="1"/>
      <c r="O69" s="1"/>
      <c r="P69" s="1">
        <v>6.0001507954459772</v>
      </c>
      <c r="Q69" s="1"/>
      <c r="R69" s="18"/>
      <c r="S69" s="1">
        <v>17.082779991146509</v>
      </c>
      <c r="T69" s="1">
        <f>2240*0.00720922283334887</f>
        <v>16.148659146701469</v>
      </c>
      <c r="U69" s="1">
        <f>2240*0.00398496172326596</f>
        <v>8.926314260115749</v>
      </c>
      <c r="V69" s="1"/>
      <c r="W69" s="1"/>
      <c r="X69" s="1"/>
      <c r="Y69" s="1"/>
      <c r="Z69" s="1"/>
      <c r="AA69" s="1"/>
      <c r="AC69" s="1"/>
      <c r="AD69" s="1">
        <v>6.8288650053147517</v>
      </c>
      <c r="AE69" s="1">
        <v>9.3524242057854483</v>
      </c>
    </row>
    <row r="70" spans="1:31" x14ac:dyDescent="0.25">
      <c r="A70" s="8">
        <f t="shared" si="2"/>
        <v>1903</v>
      </c>
      <c r="C70" s="17">
        <f>(1/240*2240)*1.01142857142857</f>
        <v>9.4399999999999871</v>
      </c>
      <c r="D70" s="17">
        <f>(1/240*2240)*1.46</f>
        <v>13.626666666666667</v>
      </c>
      <c r="E70" s="1">
        <f>(1/240*2240)*0.941024911999074</f>
        <v>8.7828991786580239</v>
      </c>
      <c r="H70" s="1">
        <v>7.9902274581849158</v>
      </c>
      <c r="I70" s="1">
        <f>(1/240*2240)*0.97515024</f>
        <v>9.1014022400000005</v>
      </c>
      <c r="J70" s="17"/>
      <c r="K70" s="1"/>
      <c r="M70" s="1"/>
      <c r="N70" s="1"/>
      <c r="O70" s="1"/>
      <c r="P70" s="1">
        <v>6.045316514832983</v>
      </c>
      <c r="Q70" s="1"/>
      <c r="R70" s="18"/>
      <c r="S70" s="1">
        <v>18.706140350877174</v>
      </c>
      <c r="T70" s="1">
        <f>2240*0.00587221903191746</f>
        <v>13.15377063149511</v>
      </c>
      <c r="U70" s="1"/>
      <c r="V70" s="1"/>
      <c r="W70" s="1"/>
      <c r="X70" s="1"/>
      <c r="Y70" s="1"/>
      <c r="Z70" s="1"/>
      <c r="AA70" s="1"/>
      <c r="AC70" s="1"/>
      <c r="AD70" s="1">
        <v>6.8787404971154364</v>
      </c>
      <c r="AE70" s="1">
        <v>8.6427778636552901</v>
      </c>
    </row>
    <row r="71" spans="1:31" x14ac:dyDescent="0.25">
      <c r="A71" s="8">
        <f t="shared" si="2"/>
        <v>1904</v>
      </c>
      <c r="C71" s="17">
        <f>(1/240*2240)*1.05642857142857</f>
        <v>9.859999999999987</v>
      </c>
      <c r="D71" s="17">
        <f>(1/240*2240)*1.54</f>
        <v>14.373333333333335</v>
      </c>
      <c r="E71" s="1">
        <f>(1/240*2240)*1.0190243031006</f>
        <v>9.5108934956056022</v>
      </c>
      <c r="H71" s="1">
        <v>8.0939469969975288</v>
      </c>
      <c r="I71" s="1">
        <f>(1/240*2240)*1.04636856</f>
        <v>9.766106559999999</v>
      </c>
      <c r="J71" s="17"/>
      <c r="K71" s="1"/>
      <c r="M71" s="1">
        <v>6.660344542745233</v>
      </c>
      <c r="N71" s="1"/>
      <c r="O71" s="1"/>
      <c r="P71" s="1">
        <v>7.4933362949800086</v>
      </c>
      <c r="Q71" s="1"/>
      <c r="R71" s="18"/>
      <c r="S71" s="1">
        <v>38.261384335154794</v>
      </c>
      <c r="T71" s="1">
        <f>2240*0.00425705189901533</f>
        <v>9.5357962537943379</v>
      </c>
      <c r="U71" s="1"/>
      <c r="V71" s="1"/>
      <c r="W71" s="1"/>
      <c r="X71" s="1"/>
      <c r="Y71" s="1"/>
      <c r="Z71" s="1"/>
      <c r="AA71" s="1"/>
      <c r="AC71" s="1"/>
      <c r="AD71" s="1">
        <v>6.6798812122079498</v>
      </c>
      <c r="AE71" s="1">
        <v>8.7178284893549289</v>
      </c>
    </row>
    <row r="72" spans="1:31" x14ac:dyDescent="0.25">
      <c r="A72" s="8">
        <f t="shared" ref="A72:A135" si="3">A71+1</f>
        <v>1905</v>
      </c>
      <c r="C72" s="17">
        <f>(1/240*2240)*1.08321428571429</f>
        <v>10.11000000000004</v>
      </c>
      <c r="D72" s="17">
        <f>(1/240*2240)*1.55</f>
        <v>14.466666666666669</v>
      </c>
      <c r="E72" s="1">
        <f>(1/240*2240)*1.14482977261919</f>
        <v>10.685077877779108</v>
      </c>
      <c r="F72" s="3">
        <f>2240*0.00821827744904668</f>
        <v>18.408941485864563</v>
      </c>
      <c r="H72" s="1">
        <v>8.2758609465116599</v>
      </c>
      <c r="I72" s="1">
        <f>(1/240*2240)*1.0309092</f>
        <v>9.6218192000000009</v>
      </c>
      <c r="J72" s="17"/>
      <c r="K72" s="1"/>
      <c r="M72" s="1"/>
      <c r="N72" s="1"/>
      <c r="O72" s="1"/>
      <c r="P72" s="1">
        <v>7.5924219150025607</v>
      </c>
      <c r="Q72" s="1"/>
      <c r="R72" s="18"/>
      <c r="S72" s="1">
        <v>39.03494347379236</v>
      </c>
      <c r="T72" s="1">
        <f>2240*0.00203202146179971</f>
        <v>4.5517280744313506</v>
      </c>
      <c r="U72" s="1"/>
      <c r="V72" s="1"/>
      <c r="W72" s="1"/>
      <c r="Y72" s="1"/>
      <c r="Z72" s="1"/>
      <c r="AA72" s="1">
        <f>(1/240*2240)*1.14301948051948</f>
        <v>10.668181818181814</v>
      </c>
      <c r="AC72" s="1"/>
      <c r="AD72" s="1">
        <v>6.7380679559432224</v>
      </c>
      <c r="AE72" s="1">
        <v>8.9470331896906927</v>
      </c>
    </row>
    <row r="73" spans="1:31" x14ac:dyDescent="0.25">
      <c r="A73" s="8">
        <f t="shared" si="3"/>
        <v>1906</v>
      </c>
      <c r="C73" s="17">
        <f>(1/240*2240)*1.02964285714286</f>
        <v>9.6100000000000279</v>
      </c>
      <c r="D73" s="17">
        <f>(1/240*2240)*1.54</f>
        <v>14.373333333333335</v>
      </c>
      <c r="E73" s="1">
        <f>(1/240*2240)*1.06934649090804</f>
        <v>9.9805672484750403</v>
      </c>
      <c r="F73" s="3">
        <f>2240*0.00824175824175824</f>
        <v>18.46153846153846</v>
      </c>
      <c r="H73" s="1">
        <v>8.3462282807661072</v>
      </c>
      <c r="I73" s="1">
        <f>(1/240*2240)*1.06877016</f>
        <v>9.9751881600000001</v>
      </c>
      <c r="J73" s="17"/>
      <c r="K73" s="1"/>
      <c r="M73" s="1">
        <v>6.6025624906103699</v>
      </c>
      <c r="N73" s="1"/>
      <c r="O73" s="1"/>
      <c r="P73" s="1">
        <v>7.5457070122656784</v>
      </c>
      <c r="Q73" s="1"/>
      <c r="R73" s="18"/>
      <c r="S73" s="1">
        <v>40.158192090395445</v>
      </c>
      <c r="T73" s="1">
        <f>2240*0.00708643539154647</f>
        <v>15.873615277064093</v>
      </c>
      <c r="U73" s="1">
        <f>2240*0.00339870431487593</f>
        <v>7.6130976653220825</v>
      </c>
      <c r="V73" s="1"/>
      <c r="W73" s="3">
        <f>2240*0.00532924434640043</f>
        <v>11.937507335936964</v>
      </c>
      <c r="X73" s="3">
        <f>2240*0.00559772659238394</f>
        <v>12.538907566940027</v>
      </c>
      <c r="Y73" s="3"/>
      <c r="Z73" s="1"/>
      <c r="AA73" s="1">
        <f>(1/240*2240)*1.21427010148322</f>
        <v>11.333187613843387</v>
      </c>
      <c r="AB73" s="1">
        <f>(1/112*2240)*0.326287262872629</f>
        <v>6.5257452574525798</v>
      </c>
      <c r="AC73" s="1">
        <f>(1/112*2240)*0.633928571428571</f>
        <v>12.67857142857142</v>
      </c>
      <c r="AD73" s="1">
        <v>6.5921502200136928</v>
      </c>
      <c r="AE73" s="1">
        <v>9.466618319659732</v>
      </c>
    </row>
    <row r="74" spans="1:31" x14ac:dyDescent="0.25">
      <c r="A74" s="8">
        <f t="shared" si="3"/>
        <v>1907</v>
      </c>
      <c r="C74" s="17">
        <f>(1/240*2240)*1.07892857142857</f>
        <v>10.069999999999986</v>
      </c>
      <c r="D74" s="17">
        <f>(1/240*2240)*1.61</f>
        <v>15.026666666666669</v>
      </c>
      <c r="E74" s="1">
        <f>(1/240*2240)*1.00392764675837</f>
        <v>9.3699913697447865</v>
      </c>
      <c r="F74" s="3">
        <f>2240*0.00357142857142857</f>
        <v>7.9999999999999964</v>
      </c>
      <c r="G74" s="1"/>
      <c r="H74" s="1">
        <v>8.8618295272685508</v>
      </c>
      <c r="I74" s="1">
        <f>(1/240*2240)*1.13487696</f>
        <v>10.592184960000001</v>
      </c>
      <c r="J74" s="17"/>
      <c r="K74" s="1"/>
      <c r="M74" s="1">
        <v>7.0015315850342263</v>
      </c>
      <c r="N74" s="1"/>
      <c r="O74" s="1">
        <v>4.1033434650455929</v>
      </c>
      <c r="P74" s="1">
        <v>8.1914123124676657</v>
      </c>
      <c r="Q74" s="1"/>
      <c r="R74" s="18"/>
      <c r="S74" s="1">
        <v>41.713586291309625</v>
      </c>
      <c r="T74" s="1">
        <f>2240*0.000745528065922455</f>
        <v>1.6699828676662991</v>
      </c>
      <c r="U74" s="1">
        <f>2240*0.00307398322384812</f>
        <v>6.8857224214197883</v>
      </c>
      <c r="V74" s="1"/>
      <c r="W74" s="3">
        <f>2240*0.00567030934145818</f>
        <v>12.701492924866324</v>
      </c>
      <c r="X74" s="3">
        <f>2240*0.00564374350903115</f>
        <v>12.641985460229776</v>
      </c>
      <c r="Y74" s="3"/>
      <c r="Z74" s="1"/>
      <c r="AA74" s="1">
        <f>(1/240*2240)*1.14290767598161</f>
        <v>10.667138309161693</v>
      </c>
      <c r="AB74" s="1">
        <f>(1/112*2240)*0.408606245239909</f>
        <v>8.1721249047981797</v>
      </c>
      <c r="AC74" s="1">
        <f>(1/112*2240)*0.598765432098765</f>
        <v>11.9753086419753</v>
      </c>
      <c r="AD74" s="1">
        <v>7.1776721918233779</v>
      </c>
      <c r="AE74" s="1">
        <v>9.5416525141057242</v>
      </c>
    </row>
    <row r="75" spans="1:31" x14ac:dyDescent="0.25">
      <c r="A75" s="8">
        <f t="shared" si="3"/>
        <v>1908</v>
      </c>
      <c r="C75" s="17">
        <f>(1/240*2240)*1.16892857142857</f>
        <v>10.909999999999988</v>
      </c>
      <c r="D75" s="17">
        <f>(1/240*2240)*1.71</f>
        <v>15.96</v>
      </c>
      <c r="E75" s="1">
        <f>(1/240*2240)*1.15992642896143</f>
        <v>10.825980003640014</v>
      </c>
      <c r="F75" s="3">
        <f>2240*0.00625</f>
        <v>14</v>
      </c>
      <c r="G75" s="1"/>
      <c r="H75" s="1">
        <v>10.435812798237089</v>
      </c>
      <c r="I75" s="1">
        <f>(1/240*2240)*1.27862064</f>
        <v>11.93379264</v>
      </c>
      <c r="J75" s="17"/>
      <c r="K75" s="1"/>
      <c r="L75" s="17"/>
      <c r="M75" s="1"/>
      <c r="N75" s="1"/>
      <c r="P75" s="1">
        <v>10.549022788095046</v>
      </c>
      <c r="Q75" s="1"/>
      <c r="R75" s="22"/>
      <c r="S75" s="1">
        <v>41.028419182948447</v>
      </c>
      <c r="T75" s="1">
        <f>2240*0.0103737446940677</f>
        <v>23.237188114711646</v>
      </c>
      <c r="U75" s="1">
        <f>2240*0.00591422415260225</f>
        <v>13.247862101829041</v>
      </c>
      <c r="V75" s="1"/>
      <c r="W75" s="3">
        <f>2240*0.00569623042050394</f>
        <v>12.759556141928826</v>
      </c>
      <c r="X75" s="3">
        <f>2240*0.00565353899424883</f>
        <v>12.663927347117378</v>
      </c>
      <c r="Y75" s="3"/>
      <c r="Z75" s="1">
        <f>2240*0.00438309967235295</f>
        <v>9.8181432660706083</v>
      </c>
      <c r="AA75" s="1">
        <f>(1/240*2240)*1.14285714285714</f>
        <v>10.666666666666639</v>
      </c>
      <c r="AB75" s="1">
        <f>(1/112*2240)*0.482283464566929</f>
        <v>9.6456692913385798</v>
      </c>
      <c r="AC75" s="1">
        <f>(1/112*2240)*0.595541401273885</f>
        <v>11.9108280254777</v>
      </c>
      <c r="AD75" s="1">
        <v>8.3761163387510695</v>
      </c>
      <c r="AE75" s="1">
        <v>10.040140788307049</v>
      </c>
    </row>
    <row r="76" spans="1:31" x14ac:dyDescent="0.25">
      <c r="A76" s="8">
        <f t="shared" si="3"/>
        <v>1909</v>
      </c>
      <c r="C76" s="17">
        <f>(1/240*2240)*1.23535714285714</f>
        <v>11.529999999999973</v>
      </c>
      <c r="D76" s="17">
        <f>(1/240*2240)*1.81</f>
        <v>16.893333333333334</v>
      </c>
      <c r="E76" s="1">
        <f>(1/240*2240)*1.22282916372072</f>
        <v>11.413072194726722</v>
      </c>
      <c r="F76" s="3">
        <f>2240*0.00714285714285714</f>
        <v>15.999999999999993</v>
      </c>
      <c r="G76" s="1"/>
      <c r="H76" s="1">
        <v>10.686392414103759</v>
      </c>
      <c r="I76" s="1">
        <f>(1/240*2240)*1.46931696</f>
        <v>13.713624960000001</v>
      </c>
      <c r="J76" s="17"/>
      <c r="K76" s="1"/>
      <c r="L76" s="17"/>
      <c r="M76" s="1"/>
      <c r="N76" s="1"/>
      <c r="O76" s="1"/>
      <c r="P76" s="1">
        <v>10.706521739130434</v>
      </c>
      <c r="Q76" s="1"/>
      <c r="R76" s="22">
        <v>4.3719575847480909</v>
      </c>
      <c r="S76" s="1">
        <v>56.554385964912235</v>
      </c>
      <c r="T76" s="1">
        <f>2240*0.0105419206061604</f>
        <v>23.613902157799295</v>
      </c>
      <c r="U76" s="1">
        <f>2240*0.00584105887637016</f>
        <v>13.083971883069159</v>
      </c>
      <c r="V76" s="1"/>
      <c r="W76" s="3">
        <f>2240*0.00578823223230033</f>
        <v>12.965640200352739</v>
      </c>
      <c r="X76" s="3">
        <f>2240*0.00549919867988207</f>
        <v>12.318205042935837</v>
      </c>
      <c r="Y76" s="3"/>
      <c r="Z76" s="1">
        <f>2240*0.00445887102546296</f>
        <v>9.987871097037031</v>
      </c>
      <c r="AA76" s="1"/>
      <c r="AB76" s="1">
        <f>(1/112*2240)*0.48289193891359</f>
        <v>9.6578387782718007</v>
      </c>
      <c r="AC76" s="1">
        <f>(1/112*2240)*0.730146187277756</f>
        <v>14.60292374555512</v>
      </c>
      <c r="AD76" s="1">
        <v>8.6208024285013494</v>
      </c>
      <c r="AE76" s="1">
        <v>11.540624527684537</v>
      </c>
    </row>
    <row r="77" spans="1:31" x14ac:dyDescent="0.25">
      <c r="A77" s="8">
        <f t="shared" si="3"/>
        <v>1910</v>
      </c>
      <c r="C77" s="17">
        <f>(1/240*2240)*1.18607142857143</f>
        <v>11.070000000000014</v>
      </c>
      <c r="D77" s="17">
        <f>(1/240*2240)*1.66</f>
        <v>15.493333333333334</v>
      </c>
      <c r="E77" s="1">
        <f>(1/240*2240)*1.32598964872597</f>
        <v>12.375903388109053</v>
      </c>
      <c r="G77" s="1"/>
      <c r="H77" s="1">
        <v>10.410808476293937</v>
      </c>
      <c r="I77" s="1">
        <f>(1/240*2240)*1.20563712</f>
        <v>11.252613120000001</v>
      </c>
      <c r="J77" s="17"/>
      <c r="K77" s="1"/>
      <c r="L77" s="1"/>
      <c r="M77" s="1"/>
      <c r="N77" s="1">
        <v>9.5971948865916339</v>
      </c>
      <c r="O77" s="1"/>
      <c r="P77" s="1"/>
      <c r="Q77" s="1"/>
      <c r="R77" s="3"/>
      <c r="S77" s="1">
        <v>35.046249999999972</v>
      </c>
      <c r="T77" s="1">
        <f>2240*0.00836621941594317</f>
        <v>18.740331491712702</v>
      </c>
      <c r="U77" s="1">
        <f>2240*0.00552954683545933</f>
        <v>12.386184911428899</v>
      </c>
      <c r="V77" s="1"/>
      <c r="W77" s="3">
        <f>2240*0.0052310851663782</f>
        <v>11.717630772687169</v>
      </c>
      <c r="X77" s="1">
        <f>2240*0.00545616616931238</f>
        <v>12.221812219259732</v>
      </c>
      <c r="Y77" s="3"/>
      <c r="Z77" s="1">
        <f>2240*0.0030216735903192</f>
        <v>6.768548842315008</v>
      </c>
      <c r="AA77" s="1">
        <f>(1/112*2240)*0.50500645994832</f>
        <v>10.100129198966401</v>
      </c>
      <c r="AB77" s="1">
        <f>(1/112*2240)*0.493492407809111</f>
        <v>9.8698481561822202</v>
      </c>
      <c r="AC77" s="1">
        <f>(1/112*2240)*0.828258221680877</f>
        <v>16.565164433617539</v>
      </c>
      <c r="AD77" s="1">
        <v>8.0629282420254906</v>
      </c>
      <c r="AE77" s="1">
        <v>11.293315189949249</v>
      </c>
    </row>
    <row r="78" spans="1:31" x14ac:dyDescent="0.25">
      <c r="A78" s="8">
        <f t="shared" si="3"/>
        <v>1911</v>
      </c>
      <c r="C78" s="17">
        <f>(1/240*2240)*1.12392857142857</f>
        <v>10.489999999999988</v>
      </c>
      <c r="D78" s="17">
        <f>(1/240*2240)*1.6</f>
        <v>14.933333333333335</v>
      </c>
      <c r="E78" s="1">
        <f>(1/240*2240)*1.22786138250147</f>
        <v>11.46003957001372</v>
      </c>
      <c r="F78" s="1"/>
      <c r="G78" s="1"/>
      <c r="H78" s="1">
        <v>10.469004823439835</v>
      </c>
      <c r="I78" s="1">
        <f>(1/240*2240)*1.2000048</f>
        <v>11.200044800000002</v>
      </c>
      <c r="J78" s="17"/>
      <c r="K78" s="1"/>
      <c r="L78" s="1"/>
      <c r="M78" s="1"/>
      <c r="N78" s="1">
        <v>9.6973443931145429</v>
      </c>
      <c r="O78" s="1"/>
      <c r="P78" s="1"/>
      <c r="Q78" s="1"/>
      <c r="R78" s="1"/>
      <c r="S78" s="1">
        <v>32.30100755667506</v>
      </c>
      <c r="T78" s="1">
        <f>2240*0.0109008638420403</f>
        <v>24.417935006170275</v>
      </c>
      <c r="U78" s="1"/>
      <c r="V78" s="1"/>
      <c r="W78" s="1"/>
      <c r="X78" s="1"/>
      <c r="Y78" s="1"/>
      <c r="Z78" s="1"/>
      <c r="AA78" s="1">
        <f>(1/112*2240)*0.468085106382979</f>
        <v>9.36170212765958</v>
      </c>
      <c r="AB78" s="1">
        <f>(1/112*2240)*0.698905109489051</f>
        <v>13.978102189781021</v>
      </c>
      <c r="AC78" s="1">
        <f>(1/112*2240)*0.632938643702906</f>
        <v>12.658772874058119</v>
      </c>
      <c r="AD78" s="1">
        <v>8.7266719203352796</v>
      </c>
      <c r="AE78" s="1">
        <v>10.458600039501288</v>
      </c>
    </row>
    <row r="79" spans="1:31" x14ac:dyDescent="0.25">
      <c r="A79" s="8">
        <f t="shared" si="3"/>
        <v>1912</v>
      </c>
      <c r="C79" s="17">
        <f>(1/240*2240)*1.16035714285714</f>
        <v>10.829999999999973</v>
      </c>
      <c r="D79" s="17">
        <f>(1/240*2240)*1.69</f>
        <v>15.773333333333333</v>
      </c>
      <c r="E79" s="1">
        <f>(1/240*2240)*1.16495864774217</f>
        <v>10.872947378926922</v>
      </c>
      <c r="F79" s="1"/>
      <c r="G79" s="1"/>
      <c r="H79" s="1">
        <v>11.008532626105549</v>
      </c>
      <c r="I79" s="1">
        <f>(1/240*2240)*1.39636368</f>
        <v>13.032727680000002</v>
      </c>
      <c r="J79" s="1"/>
      <c r="K79" s="1"/>
      <c r="L79" s="1"/>
      <c r="M79" s="1"/>
      <c r="N79" s="1"/>
      <c r="O79" s="1"/>
      <c r="P79" s="1"/>
      <c r="Q79" s="1"/>
      <c r="R79" s="1"/>
      <c r="S79" s="1">
        <v>30.1100826446281</v>
      </c>
      <c r="T79" s="1">
        <f>2240*0.00904936966972777</f>
        <v>20.270588060190203</v>
      </c>
      <c r="U79" s="1"/>
      <c r="V79" s="1"/>
      <c r="W79" s="1"/>
      <c r="X79" s="1"/>
      <c r="Y79" s="1"/>
      <c r="Z79" s="1"/>
      <c r="AA79" s="1">
        <f>(1/240*2240)*0.975506756756757</f>
        <v>9.1047297297297334</v>
      </c>
      <c r="AB79" s="1">
        <f>(1/112*2240)*0.540364583333333</f>
        <v>10.807291666666661</v>
      </c>
      <c r="AC79" s="1">
        <f>(1/112*2240)*0.567918088737201</f>
        <v>11.358361774744019</v>
      </c>
      <c r="AD79" s="1">
        <v>8.9123355340783341</v>
      </c>
      <c r="AE79" s="1">
        <v>10.298618217796811</v>
      </c>
    </row>
    <row r="80" spans="1:31" x14ac:dyDescent="0.25">
      <c r="A80" s="8">
        <f t="shared" si="3"/>
        <v>1913</v>
      </c>
      <c r="C80" s="17">
        <f>(1/240*2240)*1.13571428571429</f>
        <v>10.600000000000041</v>
      </c>
      <c r="D80" s="17">
        <f>(1/240*2240)*1.69</f>
        <v>15.773333333333333</v>
      </c>
      <c r="E80" s="1">
        <f>(1/240*2240)*1.17446392019802</f>
        <v>10.961663255181522</v>
      </c>
      <c r="F80" s="1"/>
      <c r="H80" s="1">
        <v>10.961800789155768</v>
      </c>
      <c r="I80" s="1">
        <f>(1/240*2240)*1.411062</f>
        <v>13.169912000000002</v>
      </c>
      <c r="J80" s="1"/>
      <c r="K80" s="1"/>
      <c r="L80" s="1"/>
      <c r="M80" s="1"/>
      <c r="N80" s="1"/>
      <c r="P80" s="1"/>
      <c r="Q80" s="1"/>
      <c r="R80" s="1"/>
      <c r="S80" s="1">
        <v>28.538362068965519</v>
      </c>
      <c r="T80" s="1"/>
      <c r="U80" s="1"/>
      <c r="V80" s="1"/>
      <c r="W80" s="1"/>
      <c r="X80" s="1"/>
      <c r="Y80" s="1"/>
      <c r="Z80" s="1"/>
      <c r="AA80" s="1">
        <f>(1/240*2240)*1.238</f>
        <v>11.554666666666668</v>
      </c>
      <c r="AC80" s="1"/>
      <c r="AD80" s="1">
        <v>9.4442518900418087</v>
      </c>
      <c r="AE80" s="1">
        <v>10.475692881134792</v>
      </c>
    </row>
    <row r="81" spans="1:31" x14ac:dyDescent="0.25">
      <c r="A81" s="8">
        <f t="shared" si="3"/>
        <v>1914</v>
      </c>
      <c r="C81" s="17">
        <f>(1/240*2240)*1.18178571428571</f>
        <v>11.02999999999996</v>
      </c>
      <c r="D81" s="17">
        <f>(1/240*2240)*1.58</f>
        <v>14.746666666666668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>
        <f>(1/240*2240)*1.15233430861214</f>
        <v>10.755120213713308</v>
      </c>
      <c r="AC81" s="1"/>
      <c r="AD81" s="1">
        <v>10.072020126764061</v>
      </c>
      <c r="AE81" s="1">
        <v>10.503014333430924</v>
      </c>
    </row>
    <row r="82" spans="1:31" x14ac:dyDescent="0.25">
      <c r="A82" s="8">
        <f t="shared" si="3"/>
        <v>1915</v>
      </c>
      <c r="C82" s="17">
        <f>(1/240*2240)*1.69928571428571</f>
        <v>15.859999999999962</v>
      </c>
      <c r="D82" s="1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C82" s="1"/>
      <c r="AD82" s="1">
        <v>8.0447582504297461</v>
      </c>
      <c r="AE82" s="1">
        <v>11.334953524471432</v>
      </c>
    </row>
    <row r="83" spans="1:31" x14ac:dyDescent="0.25">
      <c r="A83" s="8">
        <f t="shared" si="3"/>
        <v>1916</v>
      </c>
      <c r="C83" s="17">
        <f>(1/240*2240)*1.84392857142857</f>
        <v>17.209999999999987</v>
      </c>
      <c r="D83" s="1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C83" s="1"/>
      <c r="AD83" s="1">
        <v>9.4970528113799286</v>
      </c>
      <c r="AE83" s="1">
        <v>12.742394654695698</v>
      </c>
    </row>
    <row r="84" spans="1:31" x14ac:dyDescent="0.25">
      <c r="A84" s="8">
        <f t="shared" si="3"/>
        <v>1917</v>
      </c>
      <c r="C84" s="17">
        <f>(1/240*2240)*2.76</f>
        <v>25.759999999999998</v>
      </c>
      <c r="D84" s="1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C84" s="1"/>
      <c r="AD84" s="1">
        <v>9.5813583296886886</v>
      </c>
      <c r="AE84" s="1">
        <v>12.33375620046753</v>
      </c>
    </row>
    <row r="85" spans="1:31" x14ac:dyDescent="0.25">
      <c r="A85" s="8">
        <f t="shared" si="3"/>
        <v>1918</v>
      </c>
      <c r="C85" s="17">
        <f>(1/240*2240)*2.90035714285714</f>
        <v>27.069999999999975</v>
      </c>
      <c r="D85" s="1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C85" s="1"/>
      <c r="AD85" s="1">
        <v>11.727041048511877</v>
      </c>
      <c r="AE85" s="1">
        <v>14.059883636444932</v>
      </c>
    </row>
    <row r="86" spans="1:31" x14ac:dyDescent="0.25">
      <c r="A86" s="8">
        <f t="shared" si="3"/>
        <v>1919</v>
      </c>
      <c r="C86" s="17">
        <f>(1/240*2240)*3.1125</f>
        <v>29.05</v>
      </c>
      <c r="D86" s="1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C86" s="1"/>
      <c r="AD86" s="1">
        <v>12.592623103091459</v>
      </c>
      <c r="AE86" s="1">
        <v>17.549669623278429</v>
      </c>
    </row>
    <row r="87" spans="1:31" x14ac:dyDescent="0.25">
      <c r="A87" s="8">
        <f t="shared" si="3"/>
        <v>1920</v>
      </c>
      <c r="C87" s="17">
        <f>(1/240*2240)*3.80357142857143</f>
        <v>35.500000000000014</v>
      </c>
      <c r="D87" s="1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C87" s="1"/>
      <c r="AD87" s="1">
        <v>18.448259799266868</v>
      </c>
      <c r="AE87" s="1">
        <v>30.703441494999865</v>
      </c>
    </row>
    <row r="88" spans="1:31" x14ac:dyDescent="0.25">
      <c r="A88" s="8">
        <f t="shared" si="3"/>
        <v>1921</v>
      </c>
      <c r="C88" s="17"/>
      <c r="D88" s="1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E88" s="1"/>
    </row>
    <row r="89" spans="1:31" x14ac:dyDescent="0.25">
      <c r="A89" s="8">
        <f t="shared" si="3"/>
        <v>1922</v>
      </c>
      <c r="C89" s="17"/>
      <c r="D89" s="1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31" x14ac:dyDescent="0.25">
      <c r="A90" s="8">
        <f t="shared" si="3"/>
        <v>1923</v>
      </c>
      <c r="C90" s="17"/>
      <c r="D90" s="1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31" x14ac:dyDescent="0.25">
      <c r="A91" s="8">
        <f t="shared" si="3"/>
        <v>1924</v>
      </c>
      <c r="C91" s="17"/>
      <c r="D91" s="1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31" x14ac:dyDescent="0.25">
      <c r="A92" s="8">
        <f t="shared" si="3"/>
        <v>1925</v>
      </c>
      <c r="C92" s="17"/>
      <c r="D92" s="1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31" x14ac:dyDescent="0.25">
      <c r="A93" s="8">
        <f t="shared" si="3"/>
        <v>1926</v>
      </c>
      <c r="C93" s="17"/>
      <c r="D93" s="1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31" x14ac:dyDescent="0.25">
      <c r="A94" s="8">
        <f t="shared" si="3"/>
        <v>1927</v>
      </c>
      <c r="C94" s="17"/>
      <c r="D94" s="1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31" x14ac:dyDescent="0.25">
      <c r="A95" s="8">
        <f t="shared" si="3"/>
        <v>1928</v>
      </c>
      <c r="C95" s="17"/>
      <c r="D95" s="1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31" x14ac:dyDescent="0.25">
      <c r="A96" s="8">
        <f t="shared" si="3"/>
        <v>1929</v>
      </c>
      <c r="C96" s="17"/>
      <c r="D96" s="1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8">
        <f t="shared" si="3"/>
        <v>1930</v>
      </c>
      <c r="C97" s="17"/>
      <c r="D97" s="1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8">
        <f t="shared" si="3"/>
        <v>1931</v>
      </c>
      <c r="C98" s="17"/>
      <c r="D98" s="1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8">
        <f t="shared" si="3"/>
        <v>1932</v>
      </c>
      <c r="C99" s="17"/>
      <c r="D99" s="1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8">
        <f t="shared" si="3"/>
        <v>1933</v>
      </c>
      <c r="C100" s="17"/>
      <c r="D100" s="1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8">
        <f t="shared" si="3"/>
        <v>1934</v>
      </c>
      <c r="C101" s="17"/>
      <c r="D101" s="1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8">
        <f t="shared" si="3"/>
        <v>1935</v>
      </c>
      <c r="C102" s="17"/>
      <c r="D102" s="1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8">
        <f t="shared" si="3"/>
        <v>1936</v>
      </c>
      <c r="C103" s="17"/>
      <c r="D103" s="1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8">
        <f t="shared" si="3"/>
        <v>1937</v>
      </c>
      <c r="C104" s="17"/>
      <c r="D104" s="1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8">
        <f t="shared" si="3"/>
        <v>1938</v>
      </c>
      <c r="C105" s="17"/>
      <c r="D105" s="1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8">
        <f t="shared" si="3"/>
        <v>1939</v>
      </c>
      <c r="C106" s="17"/>
      <c r="D106" s="1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8">
        <f t="shared" si="3"/>
        <v>1940</v>
      </c>
      <c r="C107" s="17"/>
      <c r="D107" s="1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8">
        <f t="shared" si="3"/>
        <v>1941</v>
      </c>
      <c r="C108" s="17"/>
      <c r="D108" s="1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8">
        <f t="shared" si="3"/>
        <v>1942</v>
      </c>
      <c r="C109" s="17"/>
      <c r="D109" s="1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8">
        <f t="shared" si="3"/>
        <v>1943</v>
      </c>
      <c r="C110" s="17"/>
      <c r="D110" s="1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8">
        <f t="shared" si="3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8">
        <f t="shared" si="3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8">
        <f t="shared" si="3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8">
        <f t="shared" si="3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8">
        <f t="shared" si="3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8">
        <f t="shared" si="3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8">
        <f t="shared" si="3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8">
        <f t="shared" si="3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8">
        <f t="shared" si="3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8">
        <f t="shared" si="3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8">
        <f t="shared" si="3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8">
        <f t="shared" si="3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8">
        <f t="shared" si="3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8">
        <f t="shared" si="3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8">
        <f t="shared" si="3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8">
        <f t="shared" si="3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8">
        <f t="shared" si="3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8">
        <f t="shared" si="3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8">
        <f t="shared" si="3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8">
        <f t="shared" si="3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8">
        <f t="shared" si="3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8">
        <f t="shared" si="3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8">
        <f t="shared" si="3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8">
        <f t="shared" si="3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8">
        <f t="shared" si="3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8">
        <f t="shared" ref="A136:A145" si="4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8">
        <f t="shared" si="4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5">
      <c r="A138" s="8">
        <f t="shared" si="4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5">
      <c r="A139" s="8">
        <f t="shared" si="4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25">
      <c r="A140" s="8">
        <f t="shared" si="4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25">
      <c r="A141" s="8">
        <f t="shared" si="4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25">
      <c r="A142" s="8">
        <f t="shared" si="4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25">
      <c r="A143" s="8">
        <f t="shared" si="4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25">
      <c r="A144" s="8">
        <f t="shared" si="4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25">
      <c r="A145" s="8">
        <f t="shared" si="4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C146" s="1"/>
      <c r="D146" s="1"/>
      <c r="E146" s="1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9" x14ac:dyDescent="0.25">
      <c r="C147" s="1"/>
      <c r="D147" s="1"/>
      <c r="E147" s="1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9" x14ac:dyDescent="0.25">
      <c r="C148" s="1"/>
      <c r="D148" s="1"/>
      <c r="E148" s="1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9" x14ac:dyDescent="0.25">
      <c r="C149" s="1"/>
      <c r="D149" s="1"/>
      <c r="E149" s="1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9" x14ac:dyDescent="0.25">
      <c r="C150" s="1"/>
      <c r="D150" s="1"/>
      <c r="E150" s="1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9" x14ac:dyDescent="0.25">
      <c r="C151" s="1"/>
      <c r="D151" s="1"/>
      <c r="E151" s="1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9" x14ac:dyDescent="0.25">
      <c r="C152" s="1"/>
      <c r="D152" s="1"/>
      <c r="E152" s="1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9" x14ac:dyDescent="0.25">
      <c r="C153" s="1"/>
      <c r="D153" s="1"/>
      <c r="E153" s="1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9" x14ac:dyDescent="0.25">
      <c r="C154" s="1"/>
      <c r="D154" s="1"/>
      <c r="E154" s="1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9" x14ac:dyDescent="0.25">
      <c r="C155" s="1"/>
      <c r="D155" s="1"/>
      <c r="E155" s="1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9" x14ac:dyDescent="0.25">
      <c r="C156" s="1"/>
      <c r="D156" s="1"/>
      <c r="E156" s="1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9" x14ac:dyDescent="0.25">
      <c r="C157" s="1"/>
      <c r="D157" s="1"/>
      <c r="E157" s="1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9" x14ac:dyDescent="0.25">
      <c r="C158" s="1"/>
      <c r="D158" s="1"/>
      <c r="E158" s="1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9" x14ac:dyDescent="0.25">
      <c r="C159" s="1"/>
      <c r="D159" s="1"/>
      <c r="E159" s="1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9" x14ac:dyDescent="0.25">
      <c r="C160" s="1"/>
      <c r="D160" s="1"/>
      <c r="E160" s="1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3:26" x14ac:dyDescent="0.25">
      <c r="C161" s="1"/>
      <c r="D161" s="1"/>
      <c r="E161" s="1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3:26" x14ac:dyDescent="0.25">
      <c r="C162" s="1"/>
      <c r="D162" s="1"/>
      <c r="E162" s="1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3:26" x14ac:dyDescent="0.25">
      <c r="C163" s="1"/>
      <c r="D163" s="1"/>
      <c r="E163" s="1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3:26" x14ac:dyDescent="0.25">
      <c r="C164" s="1"/>
      <c r="D164" s="1"/>
      <c r="E164" s="1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3:26" x14ac:dyDescent="0.25">
      <c r="C165" s="1"/>
      <c r="D165" s="1"/>
      <c r="E165" s="1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3:26" x14ac:dyDescent="0.25">
      <c r="C166" s="1"/>
      <c r="D166" s="1"/>
      <c r="E166" s="1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3:26" x14ac:dyDescent="0.25">
      <c r="C167" s="1"/>
      <c r="D167" s="1"/>
      <c r="E167" s="1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3:26" x14ac:dyDescent="0.25">
      <c r="C168" s="1"/>
      <c r="D168" s="1"/>
      <c r="E168" s="1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3:26" x14ac:dyDescent="0.25">
      <c r="C169" s="1"/>
      <c r="D169" s="1"/>
      <c r="E169" s="1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3:26" x14ac:dyDescent="0.25">
      <c r="C170" s="1"/>
      <c r="D170" s="1"/>
      <c r="E170" s="1"/>
      <c r="F170" s="1"/>
      <c r="G170" s="1"/>
      <c r="H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3:26" x14ac:dyDescent="0.25">
      <c r="C171" s="1"/>
      <c r="D171" s="1"/>
      <c r="E171" s="1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3:26" x14ac:dyDescent="0.25">
      <c r="C172" s="1"/>
      <c r="D172" s="1"/>
      <c r="E172" s="1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3:26" x14ac:dyDescent="0.25">
      <c r="C173" s="1"/>
      <c r="D173" s="1"/>
      <c r="E173" s="1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3:26" x14ac:dyDescent="0.25">
      <c r="C174" s="1"/>
      <c r="D174" s="1"/>
      <c r="E174" s="1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3:26" x14ac:dyDescent="0.25">
      <c r="C175" s="1"/>
      <c r="D175" s="1"/>
      <c r="E175" s="1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3:26" x14ac:dyDescent="0.25">
      <c r="C176" s="1"/>
      <c r="D176" s="1"/>
      <c r="E176" s="1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3:29" x14ac:dyDescent="0.25">
      <c r="C177" s="1"/>
      <c r="D177" s="1"/>
      <c r="E177" s="1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3:29" x14ac:dyDescent="0.25">
      <c r="C178" s="1"/>
      <c r="D178" s="1"/>
      <c r="E178" s="1"/>
      <c r="F178" s="1"/>
      <c r="G178" s="1"/>
      <c r="H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3:29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3:29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3:29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3:29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3:29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3:29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3:29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3:29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3:29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3:29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3:29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3:29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3:29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3:29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3:29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3:29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3:29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3:29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3:29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3:29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3:29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3:29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3:29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3:29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3:29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3:29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3:29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3:29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3:29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3:29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3:29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3:29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3:29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3:29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3:29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3:29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3:29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3:29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3:29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3:29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3:29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3:29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3:29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3:29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3:29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3:29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3:29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3:29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3:29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3:29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3:29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3:29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3:29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3:29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3:29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3:29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3:29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3:29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3:29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3:29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3:29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3:29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3:29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3:29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3:29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3:29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3:29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3:29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3:29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3:29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3:29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3:29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3:29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3:29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3:29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3:29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3:29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3:29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3:29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3:29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3:29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3:29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3:29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3:29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3:29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3:29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3:29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3:29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3:29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3:29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3:29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3:29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3:29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3:29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3:29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3:29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3:29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3:29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3:29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3:29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3:29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3:29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3:29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3:29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3:29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3:29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3:29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3:29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3:29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T6" sqref="T6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"/>
  <sheetViews>
    <sheetView workbookViewId="0">
      <selection activeCell="L32" sqref="L32"/>
    </sheetView>
  </sheetViews>
  <sheetFormatPr defaultRowHeight="13.2" x14ac:dyDescent="0.25"/>
  <sheetData>
    <row r="2" spans="2:2" x14ac:dyDescent="0.25">
      <c r="B2" s="1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U5" sqref="U5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J19" sqref="J19"/>
    </sheetView>
  </sheetViews>
  <sheetFormatPr defaultRowHeight="13.2" x14ac:dyDescent="0.25"/>
  <sheetData>
    <row r="1" spans="1:1" ht="15" x14ac:dyDescent="0.25">
      <c r="A1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Flour (All)</vt:lpstr>
      <vt:lpstr>Graphs (All)</vt:lpstr>
      <vt:lpstr>Collective Graph (All)</vt:lpstr>
      <vt:lpstr>Flour (Adjusted)</vt:lpstr>
      <vt:lpstr>Graph - 1</vt:lpstr>
      <vt:lpstr>Graph - 2</vt:lpstr>
      <vt:lpstr>Graph - 3</vt:lpstr>
      <vt:lpstr>Graph - 4</vt:lpstr>
      <vt:lpstr>Graph - 5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2018-11-19T15:30:14Z</dcterms:modified>
</cp:coreProperties>
</file>