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drawings/drawing2.xml" ContentType="application/vnd.openxmlformats-officedocument.drawing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drawings/drawing4.xml" ContentType="application/vnd.openxmlformats-officedocument.drawing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drawings/drawing5.xml" ContentType="application/vnd.openxmlformats-officedocument.drawing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drawings/drawing6.xml" ContentType="application/vnd.openxmlformats-officedocument.drawing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drawings/drawing7.xml" ContentType="application/vnd.openxmlformats-officedocument.drawing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gm12\Dropbox\REFdata\20180215 Files added by Mustafa\Commodity Tables\Updated\"/>
    </mc:Choice>
  </mc:AlternateContent>
  <bookViews>
    <workbookView xWindow="600" yWindow="456" windowWidth="19680" windowHeight="8088" tabRatio="733"/>
  </bookViews>
  <sheets>
    <sheet name="Intro" sheetId="13" r:id="rId1"/>
    <sheet name="Cotton (All)" sheetId="1" r:id="rId2"/>
    <sheet name="Graphs (All)" sheetId="2" r:id="rId3"/>
    <sheet name="Collective Graph (All)" sheetId="3" r:id="rId4"/>
    <sheet name="Cotton (Adjusted)" sheetId="25" r:id="rId5"/>
    <sheet name="Graph - 1" sheetId="17" r:id="rId6"/>
    <sheet name="Graph - 2" sheetId="18" r:id="rId7"/>
    <sheet name="Graph - 3" sheetId="19" r:id="rId8"/>
    <sheet name="Graph - 4" sheetId="21" r:id="rId9"/>
    <sheet name="Graph - 5" sheetId="22" r:id="rId10"/>
  </sheets>
  <calcPr calcId="152511"/>
</workbook>
</file>

<file path=xl/calcChain.xml><?xml version="1.0" encoding="utf-8"?>
<calcChain xmlns="http://schemas.openxmlformats.org/spreadsheetml/2006/main">
  <c r="AO6" i="25" l="1"/>
  <c r="AN6" i="25"/>
  <c r="AM6" i="25"/>
  <c r="AH52" i="25" l="1"/>
  <c r="CR69" i="1"/>
  <c r="CR68" i="1"/>
  <c r="CR67" i="1"/>
  <c r="CR57" i="1"/>
  <c r="AI69" i="25"/>
  <c r="AI68" i="25"/>
  <c r="AI67" i="25"/>
  <c r="AI57" i="25"/>
  <c r="U80" i="25"/>
  <c r="AK79" i="25"/>
  <c r="AJ79" i="25"/>
  <c r="Z79" i="25"/>
  <c r="Y79" i="25"/>
  <c r="X79" i="25"/>
  <c r="W79" i="25"/>
  <c r="U79" i="25"/>
  <c r="AK78" i="25"/>
  <c r="AJ78" i="25"/>
  <c r="Z78" i="25"/>
  <c r="Y78" i="25"/>
  <c r="X78" i="25"/>
  <c r="W78" i="25"/>
  <c r="U78" i="25"/>
  <c r="L78" i="25"/>
  <c r="E78" i="25"/>
  <c r="AK77" i="25"/>
  <c r="AJ77" i="25"/>
  <c r="AF77" i="25"/>
  <c r="AE77" i="25"/>
  <c r="AC77" i="25"/>
  <c r="AB77" i="25"/>
  <c r="Z77" i="25"/>
  <c r="Y77" i="25"/>
  <c r="W77" i="25"/>
  <c r="U77" i="25"/>
  <c r="L77" i="25"/>
  <c r="AK76" i="25"/>
  <c r="AF76" i="25"/>
  <c r="AE76" i="25"/>
  <c r="AC76" i="25"/>
  <c r="AB76" i="25"/>
  <c r="Z76" i="25"/>
  <c r="Y76" i="25"/>
  <c r="U76" i="25"/>
  <c r="L76" i="25"/>
  <c r="AK75" i="25"/>
  <c r="AF75" i="25"/>
  <c r="AE75" i="25"/>
  <c r="AC75" i="25"/>
  <c r="AB75" i="25"/>
  <c r="Z75" i="25"/>
  <c r="Y75" i="25"/>
  <c r="U75" i="25"/>
  <c r="L75" i="25"/>
  <c r="AK74" i="25"/>
  <c r="AJ74" i="25"/>
  <c r="AF74" i="25"/>
  <c r="AE74" i="25"/>
  <c r="AC74" i="25"/>
  <c r="AB74" i="25"/>
  <c r="Z74" i="25"/>
  <c r="Y74" i="25"/>
  <c r="U74" i="25"/>
  <c r="L74" i="25"/>
  <c r="AK73" i="25"/>
  <c r="AF73" i="25"/>
  <c r="AE73" i="25"/>
  <c r="AC73" i="25"/>
  <c r="Z73" i="25"/>
  <c r="Y73" i="25"/>
  <c r="U73" i="25"/>
  <c r="L73" i="25"/>
  <c r="J73" i="25"/>
  <c r="Z72" i="25"/>
  <c r="Y72" i="25"/>
  <c r="W72" i="25"/>
  <c r="U72" i="25"/>
  <c r="L72" i="25"/>
  <c r="Z71" i="25"/>
  <c r="Y71" i="25"/>
  <c r="U71" i="25"/>
  <c r="L71" i="25"/>
  <c r="E71" i="25"/>
  <c r="Z70" i="25"/>
  <c r="Y70" i="25"/>
  <c r="U70" i="25"/>
  <c r="L70" i="25"/>
  <c r="J70" i="25"/>
  <c r="AC69" i="25"/>
  <c r="Z69" i="25"/>
  <c r="Y69" i="25"/>
  <c r="W69" i="25"/>
  <c r="U69" i="25"/>
  <c r="L69" i="25"/>
  <c r="AL68" i="25"/>
  <c r="AK68" i="25"/>
  <c r="AJ68" i="25"/>
  <c r="W68" i="25"/>
  <c r="U68" i="25"/>
  <c r="L68" i="25"/>
  <c r="AL67" i="25"/>
  <c r="AK67" i="25"/>
  <c r="AJ67" i="25"/>
  <c r="U67" i="25"/>
  <c r="AL66" i="25"/>
  <c r="AK66" i="25"/>
  <c r="AJ66" i="25"/>
  <c r="U66" i="25"/>
  <c r="AL65" i="25"/>
  <c r="AK65" i="25"/>
  <c r="AJ65" i="25"/>
  <c r="U65" i="25"/>
  <c r="AK64" i="25"/>
  <c r="AJ64" i="25"/>
  <c r="AD64" i="25"/>
  <c r="U64" i="25"/>
  <c r="AL63" i="25"/>
  <c r="AJ63" i="25"/>
  <c r="U63" i="25"/>
  <c r="AL62" i="25"/>
  <c r="AJ62" i="25"/>
  <c r="AC62" i="25"/>
  <c r="U62" i="25"/>
  <c r="AL61" i="25"/>
  <c r="AJ61" i="25"/>
  <c r="AC61" i="25"/>
  <c r="AB61" i="25"/>
  <c r="U61" i="25"/>
  <c r="AJ60" i="25"/>
  <c r="AD60" i="25"/>
  <c r="X60" i="25"/>
  <c r="U60" i="25"/>
  <c r="AL59" i="25"/>
  <c r="AJ59" i="25"/>
  <c r="AF59" i="25"/>
  <c r="AD59" i="25"/>
  <c r="X59" i="25"/>
  <c r="U59" i="25"/>
  <c r="AL58" i="25"/>
  <c r="AJ58" i="25"/>
  <c r="AF58" i="25"/>
  <c r="AD58" i="25"/>
  <c r="U58" i="25"/>
  <c r="AL57" i="25"/>
  <c r="AJ57" i="25"/>
  <c r="U57" i="25"/>
  <c r="AL56" i="25"/>
  <c r="AJ56" i="25"/>
  <c r="AA56" i="25"/>
  <c r="U56" i="25"/>
  <c r="E56" i="25"/>
  <c r="AL55" i="25"/>
  <c r="AJ55" i="25"/>
  <c r="U55" i="25"/>
  <c r="E55" i="25"/>
  <c r="AL54" i="25"/>
  <c r="AJ54" i="25"/>
  <c r="U54" i="25"/>
  <c r="E54" i="25"/>
  <c r="U53" i="25"/>
  <c r="U52" i="25"/>
  <c r="U51" i="25"/>
  <c r="H51" i="25"/>
  <c r="E51" i="25"/>
  <c r="U50" i="25"/>
  <c r="U49" i="25"/>
  <c r="U48" i="25"/>
  <c r="U47" i="25"/>
  <c r="U46" i="25"/>
  <c r="U45" i="25"/>
  <c r="D45" i="25"/>
  <c r="U44" i="25"/>
  <c r="D44" i="25"/>
  <c r="AD43" i="25"/>
  <c r="U43" i="25"/>
  <c r="AD42" i="25"/>
  <c r="AC42" i="25"/>
  <c r="U42" i="25"/>
  <c r="J42" i="25"/>
  <c r="D42" i="25"/>
  <c r="AD41" i="25"/>
  <c r="AC41" i="25"/>
  <c r="U41" i="25"/>
  <c r="J41" i="25"/>
  <c r="D41" i="25"/>
  <c r="AC40" i="25"/>
  <c r="U40" i="25"/>
  <c r="M40" i="25"/>
  <c r="J40" i="25"/>
  <c r="U39" i="25"/>
  <c r="M39" i="25"/>
  <c r="U38" i="25"/>
  <c r="M38" i="25"/>
  <c r="U37" i="25"/>
  <c r="E37" i="25"/>
  <c r="D37" i="25"/>
  <c r="U36" i="25"/>
  <c r="E36" i="25"/>
  <c r="D36" i="25"/>
  <c r="U35" i="25"/>
  <c r="G35" i="25"/>
  <c r="D35" i="25"/>
  <c r="U34" i="25"/>
  <c r="D34" i="25"/>
  <c r="U33" i="25"/>
  <c r="G33" i="25"/>
  <c r="F33" i="25"/>
  <c r="D33" i="25"/>
  <c r="U32" i="25"/>
  <c r="K32" i="25"/>
  <c r="G32" i="25"/>
  <c r="U31" i="25"/>
  <c r="G31" i="25"/>
  <c r="D31" i="25"/>
  <c r="U30" i="25"/>
  <c r="K30" i="25"/>
  <c r="J30" i="25"/>
  <c r="U29" i="25"/>
  <c r="K29" i="25"/>
  <c r="J29" i="25"/>
  <c r="U28" i="25"/>
  <c r="J28" i="25"/>
  <c r="U27" i="25"/>
  <c r="J27" i="25"/>
  <c r="U26" i="25"/>
  <c r="U25" i="25"/>
  <c r="U24" i="25"/>
  <c r="U23" i="25"/>
  <c r="U22" i="25"/>
  <c r="U21" i="25"/>
  <c r="U20" i="25"/>
  <c r="U19" i="25"/>
  <c r="U18" i="25"/>
  <c r="U17" i="25"/>
  <c r="U16" i="25"/>
  <c r="U15" i="25"/>
  <c r="U14" i="25"/>
  <c r="U13" i="25"/>
  <c r="U12" i="25"/>
  <c r="A8" i="25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L6" i="25"/>
  <c r="AK6" i="25"/>
  <c r="AJ6" i="25"/>
  <c r="AI6" i="25"/>
  <c r="AH6" i="25"/>
  <c r="AG6" i="25"/>
  <c r="AF6" i="25"/>
  <c r="AE6" i="25"/>
  <c r="AD6" i="25"/>
  <c r="AC6" i="25"/>
  <c r="AB6" i="25"/>
  <c r="AA6" i="25"/>
  <c r="Z6" i="25"/>
  <c r="Y6" i="25"/>
  <c r="X6" i="25"/>
  <c r="W6" i="25"/>
  <c r="V6" i="25"/>
  <c r="U6" i="25"/>
  <c r="T6" i="25"/>
  <c r="S6" i="25"/>
  <c r="R6" i="25"/>
  <c r="Q6" i="25"/>
  <c r="P6" i="25"/>
  <c r="O6" i="25"/>
  <c r="N6" i="25"/>
  <c r="M6" i="25"/>
  <c r="L6" i="25"/>
  <c r="K6" i="25"/>
  <c r="J6" i="25"/>
  <c r="I6" i="25"/>
  <c r="H6" i="25"/>
  <c r="G6" i="25"/>
  <c r="F6" i="25"/>
  <c r="E6" i="25"/>
  <c r="D6" i="25"/>
  <c r="C6" i="25"/>
  <c r="K51" i="1" l="1"/>
  <c r="J35" i="1" l="1"/>
  <c r="J33" i="1"/>
  <c r="J32" i="1"/>
  <c r="J31" i="1"/>
  <c r="F78" i="1" l="1"/>
  <c r="F71" i="1"/>
  <c r="F56" i="1"/>
  <c r="F55" i="1"/>
  <c r="F54" i="1"/>
  <c r="F51" i="1"/>
  <c r="E45" i="1"/>
  <c r="E44" i="1"/>
  <c r="E42" i="1"/>
  <c r="E41" i="1"/>
  <c r="E37" i="1"/>
  <c r="G33" i="1"/>
  <c r="F37" i="1"/>
  <c r="F36" i="1"/>
  <c r="E36" i="1"/>
  <c r="E35" i="1"/>
  <c r="E34" i="1"/>
  <c r="E33" i="1"/>
  <c r="E31" i="1"/>
  <c r="S32" i="1" l="1"/>
  <c r="S30" i="1"/>
  <c r="S29" i="1"/>
  <c r="R70" i="1"/>
  <c r="R73" i="1"/>
  <c r="R42" i="1"/>
  <c r="R41" i="1"/>
  <c r="R40" i="1"/>
  <c r="R30" i="1"/>
  <c r="R29" i="1"/>
  <c r="R28" i="1"/>
  <c r="R27" i="1"/>
  <c r="CU79" i="1" l="1"/>
  <c r="CU78" i="1"/>
  <c r="CU77" i="1"/>
  <c r="CU76" i="1"/>
  <c r="CU75" i="1"/>
  <c r="CU74" i="1"/>
  <c r="CU73" i="1"/>
  <c r="CU68" i="1"/>
  <c r="CU67" i="1"/>
  <c r="CU66" i="1"/>
  <c r="CU65" i="1"/>
  <c r="CU64" i="1"/>
  <c r="CT79" i="1"/>
  <c r="CT78" i="1"/>
  <c r="CT77" i="1"/>
  <c r="CT74" i="1"/>
  <c r="CT68" i="1"/>
  <c r="CT67" i="1"/>
  <c r="CT66" i="1"/>
  <c r="CT65" i="1"/>
  <c r="CT64" i="1"/>
  <c r="CT63" i="1"/>
  <c r="CT62" i="1"/>
  <c r="CT61" i="1"/>
  <c r="CT60" i="1"/>
  <c r="CT59" i="1"/>
  <c r="CT58" i="1"/>
  <c r="CT57" i="1"/>
  <c r="CT56" i="1"/>
  <c r="CT55" i="1"/>
  <c r="CT54" i="1"/>
  <c r="CX54" i="1"/>
  <c r="T68" i="1" l="1"/>
  <c r="T69" i="1"/>
  <c r="T78" i="1" l="1"/>
  <c r="T77" i="1"/>
  <c r="T76" i="1"/>
  <c r="T75" i="1"/>
  <c r="T74" i="1"/>
  <c r="T73" i="1"/>
  <c r="T72" i="1"/>
  <c r="T71" i="1"/>
  <c r="T70" i="1"/>
  <c r="X40" i="1" l="1"/>
  <c r="X39" i="1"/>
  <c r="X38" i="1"/>
  <c r="BH74" i="1" l="1"/>
  <c r="BI56" i="1" l="1"/>
  <c r="BH79" i="1" l="1"/>
  <c r="BH78" i="1"/>
  <c r="BH77" i="1"/>
  <c r="BH76" i="1"/>
  <c r="BH75" i="1"/>
  <c r="BH73" i="1"/>
  <c r="BH72" i="1"/>
  <c r="BH71" i="1"/>
  <c r="BH70" i="1"/>
  <c r="BH69" i="1"/>
  <c r="BG79" i="1"/>
  <c r="BG78" i="1"/>
  <c r="BG77" i="1"/>
  <c r="BG76" i="1"/>
  <c r="BG75" i="1"/>
  <c r="BG74" i="1"/>
  <c r="BG73" i="1"/>
  <c r="BG72" i="1"/>
  <c r="BG71" i="1"/>
  <c r="BG70" i="1"/>
  <c r="BG69" i="1"/>
  <c r="CX68" i="1" l="1"/>
  <c r="CX67" i="1"/>
  <c r="CX66" i="1"/>
  <c r="CX65" i="1"/>
  <c r="CX63" i="1"/>
  <c r="CX62" i="1"/>
  <c r="CX61" i="1"/>
  <c r="CX59" i="1"/>
  <c r="CX58" i="1"/>
  <c r="CX57" i="1"/>
  <c r="CX56" i="1"/>
  <c r="CX55" i="1"/>
  <c r="BN77" i="1" l="1"/>
  <c r="BN76" i="1"/>
  <c r="BN75" i="1"/>
  <c r="BN74" i="1"/>
  <c r="BN61" i="1"/>
  <c r="BE79" i="1" l="1"/>
  <c r="BE78" i="1"/>
  <c r="BE60" i="1"/>
  <c r="BE59" i="1"/>
  <c r="BU64" i="1" l="1"/>
  <c r="BU60" i="1"/>
  <c r="BU59" i="1"/>
  <c r="BU58" i="1"/>
  <c r="BU41" i="1"/>
  <c r="BT40" i="1"/>
  <c r="BT69" i="1"/>
  <c r="BT62" i="1"/>
  <c r="BT61" i="1"/>
  <c r="BT42" i="1"/>
  <c r="BT41" i="1"/>
  <c r="BW77" i="1" l="1"/>
  <c r="BW76" i="1"/>
  <c r="BW75" i="1"/>
  <c r="BW74" i="1"/>
  <c r="BW73" i="1"/>
  <c r="BB79" i="1" l="1"/>
  <c r="BB78" i="1"/>
  <c r="BB77" i="1"/>
  <c r="BB72" i="1"/>
  <c r="BB69" i="1"/>
  <c r="BB68" i="1"/>
  <c r="CA43" i="1" l="1"/>
  <c r="CA42" i="1"/>
  <c r="BZ77" i="1"/>
  <c r="BZ76" i="1"/>
  <c r="BZ75" i="1"/>
  <c r="BZ74" i="1"/>
  <c r="BZ73" i="1"/>
  <c r="CC73" i="1"/>
  <c r="CC77" i="1" l="1"/>
  <c r="CC76" i="1"/>
  <c r="CC75" i="1"/>
  <c r="CC74" i="1"/>
  <c r="CC59" i="1"/>
  <c r="CC58" i="1"/>
  <c r="CO78" i="1" l="1"/>
  <c r="CO77" i="1"/>
  <c r="CO61" i="1"/>
  <c r="CO60" i="1"/>
  <c r="CO59" i="1"/>
  <c r="CO58" i="1"/>
  <c r="CO57" i="1"/>
  <c r="CO56" i="1"/>
  <c r="CO55" i="1"/>
  <c r="CO54" i="1"/>
  <c r="CO53" i="1"/>
  <c r="CO52" i="1"/>
  <c r="CO51" i="1"/>
  <c r="CO50" i="1"/>
  <c r="CO49" i="1"/>
  <c r="CO48" i="1"/>
  <c r="CO47" i="1"/>
  <c r="CO46" i="1"/>
  <c r="CO45" i="1"/>
  <c r="CO44" i="1"/>
  <c r="CO43" i="1"/>
  <c r="CO42" i="1"/>
  <c r="CO41" i="1"/>
  <c r="AW80" i="1" l="1"/>
  <c r="AW79" i="1"/>
  <c r="AW78" i="1"/>
  <c r="AW77" i="1"/>
  <c r="AW76" i="1"/>
  <c r="AW75" i="1"/>
  <c r="AW74" i="1"/>
  <c r="AW73" i="1"/>
  <c r="AW72" i="1"/>
  <c r="AW71" i="1"/>
  <c r="AW70" i="1"/>
  <c r="AW69" i="1"/>
  <c r="AW68" i="1"/>
  <c r="AW67" i="1"/>
  <c r="AW66" i="1"/>
  <c r="AW65" i="1"/>
  <c r="AW64" i="1"/>
  <c r="AW63" i="1"/>
  <c r="AW62" i="1"/>
  <c r="AW61" i="1"/>
  <c r="AW60" i="1"/>
  <c r="AW59" i="1"/>
  <c r="AW58" i="1"/>
  <c r="AW57" i="1"/>
  <c r="AW56" i="1"/>
  <c r="AW55" i="1"/>
  <c r="AW54" i="1"/>
  <c r="AW53" i="1"/>
  <c r="AW52" i="1"/>
  <c r="AW51" i="1"/>
  <c r="AW50" i="1"/>
  <c r="AW49" i="1"/>
  <c r="AW48" i="1"/>
  <c r="AW47" i="1"/>
  <c r="AW46" i="1"/>
  <c r="AW45" i="1"/>
  <c r="AW44" i="1"/>
  <c r="AW43" i="1"/>
  <c r="AW42" i="1"/>
  <c r="AW41" i="1"/>
  <c r="AW40" i="1"/>
  <c r="AW39" i="1"/>
  <c r="AW38" i="1"/>
  <c r="AW37" i="1"/>
  <c r="AW36" i="1"/>
  <c r="AW35" i="1"/>
  <c r="AW34" i="1"/>
  <c r="AW33" i="1"/>
  <c r="AW32" i="1"/>
  <c r="AW31" i="1"/>
  <c r="AW30" i="1"/>
  <c r="AW29" i="1"/>
  <c r="AW28" i="1"/>
  <c r="AW27" i="1"/>
  <c r="AW26" i="1"/>
  <c r="AW25" i="1"/>
  <c r="AW24" i="1"/>
  <c r="AW23" i="1"/>
  <c r="AW22" i="1"/>
  <c r="AW21" i="1"/>
  <c r="AW20" i="1"/>
  <c r="AW19" i="1"/>
  <c r="AW18" i="1"/>
  <c r="AW17" i="1"/>
  <c r="AW16" i="1"/>
  <c r="AW15" i="1"/>
  <c r="AW14" i="1"/>
  <c r="AW13" i="1"/>
  <c r="AW12" i="1"/>
  <c r="AF6" i="1" l="1"/>
  <c r="AG6" i="1"/>
  <c r="AH6" i="1"/>
  <c r="C6" i="1" l="1"/>
  <c r="D6" i="1"/>
  <c r="N6" i="1"/>
  <c r="O6" i="1"/>
  <c r="P6" i="1"/>
  <c r="CZ6" i="1"/>
  <c r="DA6" i="1"/>
  <c r="DB6" i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CY6" i="1"/>
  <c r="CX6" i="1"/>
  <c r="CW6" i="1"/>
  <c r="CV6" i="1"/>
  <c r="CU6" i="1"/>
  <c r="CT6" i="1"/>
  <c r="CS6" i="1"/>
  <c r="CR6" i="1"/>
  <c r="CQ6" i="1"/>
  <c r="CP6" i="1"/>
  <c r="CO6" i="1"/>
  <c r="CN6" i="1"/>
  <c r="CM6" i="1"/>
  <c r="CL6" i="1"/>
  <c r="CK6" i="1"/>
  <c r="CJ6" i="1"/>
  <c r="CI6" i="1"/>
  <c r="CH6" i="1"/>
  <c r="CG6" i="1"/>
  <c r="CF6" i="1"/>
  <c r="CE6" i="1"/>
  <c r="CD6" i="1"/>
  <c r="CC6" i="1"/>
  <c r="CB6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M6" i="1"/>
  <c r="L6" i="1"/>
  <c r="K6" i="1"/>
  <c r="J6" i="1"/>
  <c r="I6" i="1"/>
  <c r="H6" i="1"/>
  <c r="G6" i="1"/>
  <c r="F6" i="1"/>
  <c r="E6" i="1"/>
</calcChain>
</file>

<file path=xl/comments1.xml><?xml version="1.0" encoding="utf-8"?>
<comments xmlns="http://schemas.openxmlformats.org/spreadsheetml/2006/main">
  <authors>
    <author>Rai Ghulam Mustafa</author>
    <author>Author</author>
  </authors>
  <commentList>
    <comment ref="AW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Panza.</t>
        </r>
      </text>
    </comment>
    <comment ref="DB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Expensive because of prices of Liverpool, London (Upland middling) in this average price that also includes prices from Bombay (Dho'lera Fair).</t>
        </r>
      </text>
    </comment>
    <comment ref="AW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GBP./metric ton.</t>
        </r>
      </text>
    </comment>
    <comment ref="CO52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Values confirmed from reports; inputs are correct.</t>
        </r>
      </text>
    </comment>
    <comment ref="BE59" authorId="0" shapeId="0">
      <text>
        <r>
          <rPr>
            <b/>
            <sz val="9"/>
            <color indexed="81"/>
            <rFont val="Tahoma"/>
            <family val="2"/>
          </rPr>
          <t xml:space="preserve">Rai Ghulam Mustafa:
</t>
        </r>
        <r>
          <rPr>
            <sz val="9"/>
            <color indexed="81"/>
            <rFont val="Tahoma"/>
            <family val="2"/>
          </rPr>
          <t>This is price of Cotton, local.</t>
        </r>
      </text>
    </comment>
    <comment ref="BE6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Cotton, local.</t>
        </r>
      </text>
    </comment>
    <comment ref="CR6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Price is 4 sterling/bundle.</t>
        </r>
      </text>
    </comment>
    <comment ref="CR6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Price is 4.1 sterling/bundle.</t>
        </r>
      </text>
    </comment>
    <comment ref="CX6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at 1.56008976163664 sterling/package.</t>
        </r>
      </text>
    </comment>
    <comment ref="E7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Price is 40 sterling/package.</t>
        </r>
      </text>
    </comment>
    <comment ref="BE7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Cotton, local.</t>
        </r>
      </text>
    </comment>
    <comment ref="BE7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average price of Cotton, local, Cotton, anari and Cotton, bafki.</t>
        </r>
      </text>
    </comment>
  </commentList>
</comments>
</file>

<file path=xl/comments2.xml><?xml version="1.0" encoding="utf-8"?>
<comments xmlns="http://schemas.openxmlformats.org/spreadsheetml/2006/main">
  <authors>
    <author>Rai Ghulam Mustafa</author>
    <author>Author</author>
  </authors>
  <commentList>
    <comment ref="U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Panza.</t>
        </r>
      </text>
    </comment>
    <comment ref="AO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Expensive because of prices of Liverpool, London (Upland middling) in this average price that also includes prices from Bombay (Dho'lera Fair).</t>
        </r>
      </text>
    </comment>
    <comment ref="U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GBP./metric ton.</t>
        </r>
      </text>
    </comment>
    <comment ref="AH4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price is for Muscat.
</t>
        </r>
      </text>
    </comment>
    <comment ref="AH4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price is for Muscat.
</t>
        </r>
      </text>
    </comment>
    <comment ref="AH4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price is for Muscat.
</t>
        </r>
      </text>
    </comment>
    <comment ref="AH4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price is for Muscat.
</t>
        </r>
      </text>
    </comment>
    <comment ref="AH4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price is for Muscat.
</t>
        </r>
      </text>
    </comment>
    <comment ref="AH4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price is for Muscat.
</t>
        </r>
      </text>
    </comment>
    <comment ref="AH4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price is for Muscat.
</t>
        </r>
      </text>
    </comment>
    <comment ref="AH4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price is for Muscat.
</t>
        </r>
      </text>
    </comment>
    <comment ref="AH4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price is for Muscat.
</t>
        </r>
      </text>
    </comment>
    <comment ref="AH5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price is for Muscat.
</t>
        </r>
      </text>
    </comment>
    <comment ref="AH5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price is for Muscat.
</t>
        </r>
      </text>
    </comment>
    <comment ref="AH52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Values confirmed from reports; inputs are correct.
This price is for Muscat.</t>
        </r>
      </text>
    </comment>
    <comment ref="AH5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price is for Muscat.
</t>
        </r>
      </text>
    </comment>
    <comment ref="AH5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price is for Muscat.
</t>
        </r>
      </text>
    </comment>
    <comment ref="AH5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price is for Muscat.
</t>
        </r>
      </text>
    </comment>
    <comment ref="AH5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price is for Muscat.
</t>
        </r>
      </text>
    </comment>
    <comment ref="AH5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price is for Muscat.
</t>
        </r>
      </text>
    </comment>
    <comment ref="AH5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price is for Muscat.
</t>
        </r>
      </text>
    </comment>
    <comment ref="X59" authorId="0" shapeId="0">
      <text>
        <r>
          <rPr>
            <b/>
            <sz val="9"/>
            <color indexed="81"/>
            <rFont val="Tahoma"/>
            <family val="2"/>
          </rPr>
          <t xml:space="preserve">Rai Ghulam Mustafa:
</t>
        </r>
        <r>
          <rPr>
            <sz val="9"/>
            <color indexed="81"/>
            <rFont val="Tahoma"/>
            <family val="2"/>
          </rPr>
          <t>This is price of Cotton, local.</t>
        </r>
      </text>
    </comment>
    <comment ref="AH5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price is for Muscat.
</t>
        </r>
      </text>
    </comment>
    <comment ref="X6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Cotton, local.</t>
        </r>
      </text>
    </comment>
    <comment ref="AH6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price is for Muscat.
</t>
        </r>
      </text>
    </comment>
    <comment ref="AI6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Price is 4 sterling/bundle.</t>
        </r>
      </text>
    </comment>
    <comment ref="AH6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price is for Muscat.
</t>
        </r>
      </text>
    </comment>
    <comment ref="AI6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Price is 4.1 sterling/bundle.</t>
        </r>
      </text>
    </comment>
    <comment ref="AL6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at 1.56008976163664 sterling/package.</t>
        </r>
      </text>
    </comment>
    <comment ref="D7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Price is 40 sterling/package.</t>
        </r>
      </text>
    </comment>
    <comment ref="AH7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price is for Muscat.
</t>
        </r>
      </text>
    </comment>
    <comment ref="X7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Cotton, local.</t>
        </r>
      </text>
    </comment>
    <comment ref="AH7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price is for Muscat.
</t>
        </r>
      </text>
    </comment>
    <comment ref="X7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average price of Cotton, local, Cotton, anari and Cotton, bafki.</t>
        </r>
      </text>
    </comment>
  </commentList>
</comments>
</file>

<file path=xl/sharedStrings.xml><?xml version="1.0" encoding="utf-8"?>
<sst xmlns="http://schemas.openxmlformats.org/spreadsheetml/2006/main" count="586" uniqueCount="56">
  <si>
    <t>Baghdad</t>
  </si>
  <si>
    <t>UK</t>
  </si>
  <si>
    <t>Damascus</t>
  </si>
  <si>
    <t>Izmir</t>
  </si>
  <si>
    <t>Beirut</t>
  </si>
  <si>
    <t>Bahrain</t>
  </si>
  <si>
    <t>Bam</t>
  </si>
  <si>
    <t>Exports</t>
  </si>
  <si>
    <t>Imports</t>
  </si>
  <si>
    <t>Alexandretta</t>
  </si>
  <si>
    <t>Bazaar (Local)</t>
  </si>
  <si>
    <t>Turkey</t>
  </si>
  <si>
    <t>Constantinople</t>
  </si>
  <si>
    <t>Mohammerah</t>
  </si>
  <si>
    <t>Lingah</t>
  </si>
  <si>
    <t>Khorasan</t>
  </si>
  <si>
    <t>Kermanshah</t>
  </si>
  <si>
    <t>Kerman</t>
  </si>
  <si>
    <t>Sultanabad</t>
  </si>
  <si>
    <t>Resht</t>
  </si>
  <si>
    <t>Ispahan</t>
  </si>
  <si>
    <t>Ghilan &amp; Tunekabun</t>
  </si>
  <si>
    <t>Bender Gez &amp; Astarabad</t>
  </si>
  <si>
    <t>Astara</t>
  </si>
  <si>
    <t>Basrah</t>
  </si>
  <si>
    <t>Mosul</t>
  </si>
  <si>
    <t>Palestine</t>
  </si>
  <si>
    <t>Muscat</t>
  </si>
  <si>
    <t>Trebizond (Anatolia)</t>
  </si>
  <si>
    <t>City/Region</t>
  </si>
  <si>
    <t>Category</t>
  </si>
  <si>
    <t>Product</t>
  </si>
  <si>
    <t>Unit (Price)</t>
  </si>
  <si>
    <t>Year</t>
  </si>
  <si>
    <t>Yezd</t>
  </si>
  <si>
    <t>Mazandaran</t>
  </si>
  <si>
    <t>Shiraz</t>
  </si>
  <si>
    <t>Trebizond (Persia)</t>
  </si>
  <si>
    <t>Middle East imports and exports, 1824-1913</t>
  </si>
  <si>
    <t>Values are in pounds sterling.</t>
  </si>
  <si>
    <t>This spreadsheet was put together by Robert Allen in October 2018.</t>
  </si>
  <si>
    <t>Egypt</t>
  </si>
  <si>
    <t>Istanbul (Malatya)</t>
  </si>
  <si>
    <t>Istanbul (Geyve)</t>
  </si>
  <si>
    <t>Istanbul (Nallrihan)</t>
  </si>
  <si>
    <t>trade and were published in the British House of Commons papers in the diplomatic &amp; consular reports on trade and finance as well as in the administration reports on the Persian Gulf Political Residency.</t>
  </si>
  <si>
    <t>There are important issues regarding the accuracy of the returns in view of their provenance and the incentives to underreport values and evade taxation.</t>
  </si>
  <si>
    <t>pound/ton</t>
  </si>
  <si>
    <t>Adana</t>
  </si>
  <si>
    <t>Cotton</t>
  </si>
  <si>
    <t>Resht &amp; Mazandaran</t>
  </si>
  <si>
    <t>Bahrain &amp; Muscat</t>
  </si>
  <si>
    <t>Resht and Ghilan &amp; Tunekabun</t>
  </si>
  <si>
    <r>
      <t xml:space="preserve">The spreadsheet shows the </t>
    </r>
    <r>
      <rPr>
        <b/>
        <i/>
        <sz val="10"/>
        <rFont val="Arial"/>
        <family val="2"/>
      </rPr>
      <t>Prices</t>
    </r>
    <r>
      <rPr>
        <sz val="10"/>
        <rFont val="Arial"/>
        <family val="2"/>
      </rPr>
      <t xml:space="preserve"> of </t>
    </r>
    <r>
      <rPr>
        <b/>
        <i/>
        <sz val="10"/>
        <rFont val="Arial"/>
        <family val="2"/>
      </rPr>
      <t>Imports</t>
    </r>
    <r>
      <rPr>
        <sz val="10"/>
        <rFont val="Arial"/>
        <family val="2"/>
      </rPr>
      <t xml:space="preserve"> and </t>
    </r>
    <r>
      <rPr>
        <b/>
        <i/>
        <sz val="10"/>
        <rFont val="Arial"/>
        <family val="2"/>
      </rPr>
      <t>Exports</t>
    </r>
    <r>
      <rPr>
        <sz val="10"/>
        <rFont val="Arial"/>
        <family val="2"/>
      </rPr>
      <t xml:space="preserve"> of </t>
    </r>
    <r>
      <rPr>
        <b/>
        <i/>
        <sz val="10"/>
        <rFont val="Arial"/>
        <family val="2"/>
      </rPr>
      <t>Cotton</t>
    </r>
    <r>
      <rPr>
        <sz val="10"/>
        <rFont val="Arial"/>
        <family val="2"/>
      </rPr>
      <t xml:space="preserve"> in leading </t>
    </r>
    <r>
      <rPr>
        <b/>
        <sz val="10"/>
        <rFont val="Arial"/>
        <family val="2"/>
      </rPr>
      <t>cities</t>
    </r>
    <r>
      <rPr>
        <sz val="10"/>
        <rFont val="Arial"/>
        <family val="2"/>
      </rPr>
      <t xml:space="preserve"> in the</t>
    </r>
    <r>
      <rPr>
        <b/>
        <sz val="10"/>
        <rFont val="Arial"/>
        <family val="2"/>
      </rPr>
      <t xml:space="preserve"> </t>
    </r>
    <r>
      <rPr>
        <b/>
        <i/>
        <sz val="10"/>
        <rFont val="Arial"/>
        <family val="2"/>
      </rPr>
      <t xml:space="preserve">Middle East, United Kingdom </t>
    </r>
    <r>
      <rPr>
        <sz val="10"/>
        <rFont val="Arial"/>
        <family val="2"/>
      </rPr>
      <t xml:space="preserve">&amp; </t>
    </r>
    <r>
      <rPr>
        <b/>
        <i/>
        <sz val="10"/>
        <rFont val="Arial"/>
        <family val="2"/>
      </rPr>
      <t>India</t>
    </r>
    <r>
      <rPr>
        <sz val="10"/>
        <rFont val="Arial"/>
        <family val="2"/>
      </rPr>
      <t xml:space="preserve">. The data were compiled by British consuls usually from figures collected by Ottoman customs houses that taxed </t>
    </r>
  </si>
  <si>
    <t>India</t>
  </si>
  <si>
    <t>Wholesale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</si>
</sst>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&quot;?&quot;;\-#,##0&quot;?&quot;"/>
    <numFmt numFmtId="165" formatCode="0.0000"/>
  </numFmts>
  <fonts count="35" x14ac:knownFonts="1">
    <font>
      <sz val="10"/>
      <name val="Arial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  <charset val="204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ourier"/>
    </font>
    <font>
      <i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12"/>
      <color rgb="FF222222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34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32"/>
      <name val="Calibri"/>
      <family val="2"/>
    </font>
    <font>
      <b/>
      <sz val="13"/>
      <color indexed="32"/>
      <name val="Calibri"/>
      <family val="2"/>
    </font>
    <font>
      <b/>
      <sz val="11"/>
      <color indexed="32"/>
      <name val="Calibri"/>
      <family val="2"/>
    </font>
    <font>
      <sz val="11"/>
      <color indexed="32"/>
      <name val="Calibri"/>
      <family val="2"/>
    </font>
    <font>
      <sz val="11"/>
      <color indexed="34"/>
      <name val="Calibri"/>
      <family val="2"/>
    </font>
    <font>
      <sz val="11"/>
      <color indexed="37"/>
      <name val="Calibri"/>
      <family val="2"/>
    </font>
    <font>
      <b/>
      <sz val="11"/>
      <color indexed="22"/>
      <name val="Calibri"/>
      <family val="2"/>
    </font>
    <font>
      <b/>
      <sz val="18"/>
      <color indexed="32"/>
      <name val="Cambria"/>
      <family val="1"/>
    </font>
    <font>
      <sz val="11"/>
      <color indexed="10"/>
      <name val="Calibri"/>
      <family val="2"/>
    </font>
    <font>
      <sz val="8"/>
      <color indexed="9"/>
      <name val="Arial"/>
      <family val="2"/>
    </font>
    <font>
      <b/>
      <i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58"/>
      </patternFill>
    </fill>
    <fill>
      <patternFill patternType="solid">
        <fgColor indexed="17"/>
      </patternFill>
    </fill>
    <fill>
      <patternFill patternType="solid">
        <fgColor indexed="8"/>
        <bgColor indexed="8"/>
      </patternFill>
    </fill>
    <fill>
      <patternFill patternType="solid">
        <fgColor indexed="11"/>
        <bgColor indexed="11"/>
      </patternFill>
    </fill>
    <fill>
      <patternFill patternType="solid">
        <fgColor indexed="52"/>
      </patternFill>
    </fill>
    <fill>
      <patternFill patternType="solid">
        <fgColor indexed="17"/>
        <bgColor indexed="17"/>
      </patternFill>
    </fill>
    <fill>
      <patternFill patternType="solid">
        <fgColor indexed="8"/>
      </patternFill>
    </fill>
    <fill>
      <patternFill patternType="solid">
        <fgColor indexed="19"/>
      </patternFill>
    </fill>
    <fill>
      <patternFill patternType="solid">
        <fgColor indexed="32"/>
      </patternFill>
    </fill>
    <fill>
      <patternFill patternType="solid">
        <fgColor indexed="38"/>
      </patternFill>
    </fill>
  </fills>
  <borders count="9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double">
        <color indexed="0"/>
      </left>
      <right style="double">
        <color indexed="0"/>
      </right>
      <top style="double">
        <color indexed="0"/>
      </top>
      <bottom style="double">
        <color indexed="0"/>
      </bottom>
      <diagonal/>
    </border>
    <border>
      <left/>
      <right/>
      <top/>
      <bottom style="thick">
        <color indexed="0"/>
      </bottom>
      <diagonal/>
    </border>
    <border>
      <left/>
      <right/>
      <top/>
      <bottom style="thick">
        <color indexed="17"/>
      </bottom>
      <diagonal/>
    </border>
    <border>
      <left/>
      <right/>
      <top/>
      <bottom style="double">
        <color indexed="1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double">
        <color indexed="0"/>
      </bottom>
      <diagonal/>
    </border>
  </borders>
  <cellStyleXfs count="60">
    <xf numFmtId="0" fontId="0" fillId="0" borderId="0">
      <alignment vertical="top"/>
    </xf>
    <xf numFmtId="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4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" fillId="0" borderId="0" applyNumberFormat="0" applyFont="0" applyFill="0" applyAlignment="0" applyProtection="0"/>
    <xf numFmtId="0" fontId="4" fillId="0" borderId="0" applyNumberFormat="0" applyFont="0" applyFill="0" applyAlignment="0" applyProtection="0"/>
    <xf numFmtId="0" fontId="9" fillId="0" borderId="0">
      <alignment vertical="top"/>
    </xf>
    <xf numFmtId="0" fontId="9" fillId="0" borderId="0">
      <alignment vertical="top"/>
    </xf>
    <xf numFmtId="0" fontId="5" fillId="0" borderId="1" applyNumberFormat="0" applyFont="0" applyBorder="0" applyAlignment="0" applyProtection="0"/>
    <xf numFmtId="0" fontId="6" fillId="0" borderId="0">
      <alignment vertical="top"/>
    </xf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4" fillId="0" borderId="0"/>
    <xf numFmtId="0" fontId="6" fillId="0" borderId="0">
      <alignment vertical="top"/>
    </xf>
    <xf numFmtId="0" fontId="16" fillId="0" borderId="0">
      <alignment vertical="top"/>
    </xf>
    <xf numFmtId="0" fontId="16" fillId="2" borderId="0" applyNumberFormat="0" applyFont="0" applyFill="0" applyProtection="0"/>
    <xf numFmtId="0" fontId="16" fillId="2" borderId="0" applyNumberFormat="0" applyFont="0" applyFill="0" applyProtection="0"/>
    <xf numFmtId="0" fontId="16" fillId="2" borderId="0" applyNumberFormat="0" applyFont="0" applyFill="0" applyProtection="0"/>
    <xf numFmtId="0" fontId="16" fillId="2" borderId="0" applyNumberFormat="0" applyFont="0" applyFill="0" applyProtection="0"/>
    <xf numFmtId="0" fontId="16" fillId="3" borderId="0" applyNumberFormat="0" applyFont="0" applyFill="0" applyProtection="0"/>
    <xf numFmtId="0" fontId="16" fillId="4" borderId="0" applyNumberFormat="0" applyFont="0" applyFill="0" applyProtection="0"/>
    <xf numFmtId="0" fontId="16" fillId="2" borderId="0" applyNumberFormat="0" applyFont="0" applyFill="0" applyProtection="0"/>
    <xf numFmtId="0" fontId="16" fillId="2" borderId="0" applyNumberFormat="0" applyFont="0" applyFill="0" applyProtection="0"/>
    <xf numFmtId="0" fontId="16" fillId="5" borderId="0" applyNumberFormat="0" applyFont="0" applyFill="0" applyProtection="0"/>
    <xf numFmtId="0" fontId="16" fillId="2" borderId="0" applyNumberFormat="0" applyFont="0" applyFill="0" applyProtection="0"/>
    <xf numFmtId="0" fontId="16" fillId="2" borderId="0" applyNumberFormat="0" applyFont="0" applyFill="0" applyProtection="0"/>
    <xf numFmtId="0" fontId="16" fillId="6" borderId="0" applyNumberFormat="0" applyFont="0" applyFill="0" applyProtection="0"/>
    <xf numFmtId="0" fontId="18" fillId="2" borderId="0" applyNumberFormat="0" applyFont="0" applyFill="0" applyProtection="0"/>
    <xf numFmtId="0" fontId="18" fillId="2" borderId="0" applyNumberFormat="0" applyFont="0" applyFill="0" applyProtection="0"/>
    <xf numFmtId="0" fontId="18" fillId="5" borderId="0" applyNumberFormat="0" applyFont="0" applyFill="0" applyProtection="0"/>
    <xf numFmtId="0" fontId="18" fillId="7" borderId="0" applyNumberFormat="0" applyFont="0" applyFill="0" applyProtection="0"/>
    <xf numFmtId="0" fontId="18" fillId="8" borderId="0" applyNumberFormat="0" applyFont="0" applyFill="0" applyProtection="0"/>
    <xf numFmtId="0" fontId="18" fillId="9" borderId="0" applyNumberFormat="0" applyFont="0" applyFill="0" applyProtection="0"/>
    <xf numFmtId="0" fontId="18" fillId="4" borderId="0" applyNumberFormat="0" applyFont="0" applyFill="0" applyProtection="0"/>
    <xf numFmtId="0" fontId="18" fillId="4" borderId="0" applyNumberFormat="0" applyFont="0" applyFill="0" applyProtection="0"/>
    <xf numFmtId="0" fontId="18" fillId="10" borderId="0" applyNumberFormat="0" applyFont="0" applyFill="0" applyProtection="0"/>
    <xf numFmtId="0" fontId="18" fillId="7" borderId="0" applyNumberFormat="0" applyFont="0" applyFill="0" applyProtection="0"/>
    <xf numFmtId="0" fontId="18" fillId="8" borderId="0" applyNumberFormat="0" applyFont="0" applyFill="0" applyProtection="0"/>
    <xf numFmtId="0" fontId="18" fillId="11" borderId="0" applyNumberFormat="0" applyFont="0" applyFill="0" applyProtection="0"/>
    <xf numFmtId="0" fontId="19" fillId="2" borderId="0" applyNumberFormat="0" applyFont="0" applyFill="0" applyProtection="0"/>
    <xf numFmtId="0" fontId="20" fillId="8" borderId="2" applyNumberFormat="0" applyFont="0" applyProtection="0"/>
    <xf numFmtId="0" fontId="21" fillId="11" borderId="3" applyNumberFormat="0" applyFont="0" applyProtection="0"/>
    <xf numFmtId="3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22" fillId="0" borderId="0" applyNumberFormat="0" applyFont="0" applyFill="0" applyAlignment="0" applyProtection="0"/>
    <xf numFmtId="0" fontId="23" fillId="2" borderId="0" applyNumberFormat="0" applyFont="0" applyFill="0" applyProtection="0"/>
    <xf numFmtId="0" fontId="24" fillId="0" borderId="4" applyNumberFormat="0" applyFont="0" applyAlignment="0" applyProtection="0"/>
    <xf numFmtId="0" fontId="25" fillId="0" borderId="4" applyNumberFormat="0" applyFont="0" applyAlignment="0" applyProtection="0"/>
    <xf numFmtId="0" fontId="26" fillId="0" borderId="5" applyNumberFormat="0" applyFont="0" applyAlignment="0" applyProtection="0"/>
    <xf numFmtId="0" fontId="26" fillId="0" borderId="0" applyNumberFormat="0" applyFont="0" applyFill="0" applyAlignment="0" applyProtection="0"/>
    <xf numFmtId="0" fontId="27" fillId="4" borderId="2" applyNumberFormat="0" applyFont="0" applyProtection="0"/>
    <xf numFmtId="0" fontId="28" fillId="0" borderId="6" applyNumberFormat="0" applyFont="0" applyAlignment="0" applyProtection="0"/>
    <xf numFmtId="0" fontId="29" fillId="2" borderId="0" applyNumberFormat="0" applyFont="0" applyFill="0" applyProtection="0"/>
    <xf numFmtId="0" fontId="16" fillId="4" borderId="7" applyNumberFormat="0" applyFont="0" applyBorder="0" applyProtection="0"/>
    <xf numFmtId="0" fontId="30" fillId="8" borderId="7" applyNumberFormat="0" applyFont="0" applyProtection="0"/>
    <xf numFmtId="0" fontId="31" fillId="0" borderId="0" applyNumberFormat="0" applyFont="0" applyFill="0" applyAlignment="0" applyProtection="0"/>
    <xf numFmtId="0" fontId="17" fillId="0" borderId="8" applyNumberFormat="0" applyFont="0" applyAlignment="0" applyProtection="0"/>
    <xf numFmtId="0" fontId="32" fillId="0" borderId="0" applyNumberFormat="0" applyFont="0" applyFill="0" applyAlignment="0" applyProtection="0"/>
  </cellStyleXfs>
  <cellXfs count="18">
    <xf numFmtId="0" fontId="0" fillId="0" borderId="0" xfId="0" applyAlignment="1"/>
    <xf numFmtId="165" fontId="0" fillId="0" borderId="0" xfId="0" applyNumberFormat="1" applyAlignment="1"/>
    <xf numFmtId="0" fontId="0" fillId="0" borderId="0" xfId="0" applyAlignment="1">
      <alignment wrapText="1"/>
    </xf>
    <xf numFmtId="165" fontId="0" fillId="0" borderId="0" xfId="0" applyNumberFormat="1" applyFill="1" applyAlignment="1"/>
    <xf numFmtId="0" fontId="10" fillId="2" borderId="0" xfId="7" applyFont="1" applyFill="1" applyBorder="1" applyAlignment="1">
      <alignment horizontal="left"/>
    </xf>
    <xf numFmtId="0" fontId="10" fillId="2" borderId="0" xfId="7" applyFont="1" applyFill="1" applyBorder="1" applyAlignment="1">
      <alignment horizontal="left" wrapText="1"/>
    </xf>
    <xf numFmtId="0" fontId="11" fillId="2" borderId="0" xfId="7" applyFont="1" applyFill="1" applyBorder="1" applyAlignment="1">
      <alignment horizontal="left"/>
    </xf>
    <xf numFmtId="0" fontId="11" fillId="2" borderId="0" xfId="7" applyFont="1" applyFill="1" applyBorder="1" applyAlignment="1">
      <alignment horizontal="left" wrapText="1"/>
    </xf>
    <xf numFmtId="0" fontId="11" fillId="2" borderId="0" xfId="7" applyFont="1" applyFill="1" applyBorder="1" applyAlignment="1" applyProtection="1">
      <alignment horizontal="right"/>
    </xf>
    <xf numFmtId="0" fontId="0" fillId="0" borderId="0" xfId="0" applyAlignment="1">
      <alignment horizontal="left"/>
    </xf>
    <xf numFmtId="165" fontId="6" fillId="0" borderId="0" xfId="0" applyNumberFormat="1" applyFont="1" applyAlignment="1"/>
    <xf numFmtId="0" fontId="6" fillId="0" borderId="0" xfId="10" applyAlignment="1"/>
    <xf numFmtId="165" fontId="13" fillId="0" borderId="0" xfId="7" applyNumberFormat="1" applyFont="1" applyBorder="1" applyAlignment="1" applyProtection="1">
      <alignment horizontal="center"/>
    </xf>
    <xf numFmtId="0" fontId="12" fillId="0" borderId="0" xfId="0" applyFont="1" applyAlignment="1"/>
    <xf numFmtId="0" fontId="0" fillId="0" borderId="0" xfId="0" applyFill="1" applyAlignment="1"/>
    <xf numFmtId="0" fontId="15" fillId="0" borderId="0" xfId="0" applyFont="1" applyAlignment="1"/>
    <xf numFmtId="0" fontId="33" fillId="0" borderId="0" xfId="8" applyFont="1" applyFill="1" applyBorder="1" applyAlignment="1" applyProtection="1">
      <alignment horizontal="right"/>
    </xf>
    <xf numFmtId="165" fontId="6" fillId="0" borderId="0" xfId="0" quotePrefix="1" applyNumberFormat="1" applyFont="1" applyAlignment="1"/>
  </cellXfs>
  <cellStyles count="60">
    <cellStyle name="20% - Accent1 2" xfId="17"/>
    <cellStyle name="20% - Accent2 2" xfId="18"/>
    <cellStyle name="20% - Accent3 2" xfId="19"/>
    <cellStyle name="20% - Accent4 2" xfId="20"/>
    <cellStyle name="20% - Accent5 2" xfId="21"/>
    <cellStyle name="20% - Accent6 2" xfId="22"/>
    <cellStyle name="40% - Accent1 2" xfId="23"/>
    <cellStyle name="40% - Accent2 2" xfId="24"/>
    <cellStyle name="40% - Accent3 2" xfId="25"/>
    <cellStyle name="40% - Accent4 2" xfId="26"/>
    <cellStyle name="40% - Accent5 2" xfId="27"/>
    <cellStyle name="40% - Accent6 2" xfId="28"/>
    <cellStyle name="60% - Accent1 2" xfId="29"/>
    <cellStyle name="60% - Accent2 2" xfId="30"/>
    <cellStyle name="60% - Accent3 2" xfId="31"/>
    <cellStyle name="60% - Accent4 2" xfId="32"/>
    <cellStyle name="60% - Accent5 2" xfId="33"/>
    <cellStyle name="60% - Accent6 2" xfId="34"/>
    <cellStyle name="Accent1 2" xfId="35"/>
    <cellStyle name="Accent2 2" xfId="36"/>
    <cellStyle name="Accent3 2" xfId="37"/>
    <cellStyle name="Accent4 2" xfId="38"/>
    <cellStyle name="Accent5 2" xfId="39"/>
    <cellStyle name="Accent6 2" xfId="40"/>
    <cellStyle name="Bad 2" xfId="41"/>
    <cellStyle name="Calculation 2" xfId="42"/>
    <cellStyle name="Check Cell 2" xfId="43"/>
    <cellStyle name="Comma 2" xfId="13"/>
    <cellStyle name="Comma0" xfId="1"/>
    <cellStyle name="Comma0 2" xfId="44"/>
    <cellStyle name="Currency0" xfId="2"/>
    <cellStyle name="Currency0 2" xfId="45"/>
    <cellStyle name="Date" xfId="3"/>
    <cellStyle name="Explanatory Text 2" xfId="46"/>
    <cellStyle name="Fixed" xfId="4"/>
    <cellStyle name="Good 2" xfId="47"/>
    <cellStyle name="Heading 1" xfId="5" builtinId="16" customBuiltin="1"/>
    <cellStyle name="Heading 1 2" xfId="48"/>
    <cellStyle name="Heading 2" xfId="6" builtinId="17" customBuiltin="1"/>
    <cellStyle name="Heading 2 2" xfId="49"/>
    <cellStyle name="Heading 3 2" xfId="50"/>
    <cellStyle name="Heading 4 2" xfId="51"/>
    <cellStyle name="Input 2" xfId="52"/>
    <cellStyle name="Linked Cell 2" xfId="53"/>
    <cellStyle name="Neutral 2" xfId="54"/>
    <cellStyle name="Normal" xfId="0" builtinId="0"/>
    <cellStyle name="Normal 2" xfId="10"/>
    <cellStyle name="Normal 2 2" xfId="14"/>
    <cellStyle name="Normal 3" xfId="7"/>
    <cellStyle name="Normal 3 2" xfId="8"/>
    <cellStyle name="Normal 4" xfId="11"/>
    <cellStyle name="Normal 4 2" xfId="15"/>
    <cellStyle name="Normal 5" xfId="12"/>
    <cellStyle name="Normal 6" xfId="16"/>
    <cellStyle name="Note 2" xfId="55"/>
    <cellStyle name="Output 2" xfId="56"/>
    <cellStyle name="Title 2" xfId="57"/>
    <cellStyle name="Total" xfId="9" builtinId="25" customBuiltin="1"/>
    <cellStyle name="Total 2" xfId="58"/>
    <cellStyle name="Warning Text 2" xfId="5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UK, Exports,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(All)'!$D$7:$D$107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(All)'!$D$7:$D$107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3092544"/>
        <c:axId val="543091984"/>
      </c:scatterChart>
      <c:valAx>
        <c:axId val="54309254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3091984"/>
        <c:crosses val="autoZero"/>
        <c:crossBetween val="midCat"/>
        <c:majorUnit val="5"/>
      </c:valAx>
      <c:valAx>
        <c:axId val="54309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309254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Baghdad,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(All)'!$E$7:$E$107</c:f>
              <c:numCache>
                <c:formatCode>0.0000</c:formatCode>
                <c:ptCount val="92"/>
                <c:pt idx="24">
                  <c:v>74.18274743394322</c:v>
                </c:pt>
                <c:pt idx="26">
                  <c:v>67.091321021145788</c:v>
                </c:pt>
                <c:pt idx="27">
                  <c:v>46.064025728701125</c:v>
                </c:pt>
                <c:pt idx="28">
                  <c:v>39.449722487319647</c:v>
                </c:pt>
                <c:pt idx="29">
                  <c:v>45.572142744683518</c:v>
                </c:pt>
                <c:pt idx="30">
                  <c:v>10.033633403981892</c:v>
                </c:pt>
                <c:pt idx="34">
                  <c:v>36.349610457438651</c:v>
                </c:pt>
                <c:pt idx="35">
                  <c:v>40.20980903930861</c:v>
                </c:pt>
                <c:pt idx="37">
                  <c:v>34.085901340793342</c:v>
                </c:pt>
                <c:pt idx="38">
                  <c:v>6.7428571428571367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(All)'!$E$7:$E$107</c:f>
              <c:numCache>
                <c:formatCode>0.0000</c:formatCode>
                <c:ptCount val="92"/>
                <c:pt idx="24">
                  <c:v>74.18274743394322</c:v>
                </c:pt>
                <c:pt idx="26">
                  <c:v>67.091321021145788</c:v>
                </c:pt>
                <c:pt idx="27">
                  <c:v>46.064025728701125</c:v>
                </c:pt>
                <c:pt idx="28">
                  <c:v>39.449722487319647</c:v>
                </c:pt>
                <c:pt idx="29">
                  <c:v>45.572142744683518</c:v>
                </c:pt>
                <c:pt idx="30">
                  <c:v>10.033633403981892</c:v>
                </c:pt>
                <c:pt idx="34">
                  <c:v>36.349610457438651</c:v>
                </c:pt>
                <c:pt idx="35">
                  <c:v>40.20980903930861</c:v>
                </c:pt>
                <c:pt idx="37">
                  <c:v>34.085901340793342</c:v>
                </c:pt>
                <c:pt idx="38">
                  <c:v>6.7428571428571367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7265536"/>
        <c:axId val="707266096"/>
      </c:scatterChart>
      <c:valAx>
        <c:axId val="70726553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7266096"/>
        <c:crosses val="autoZero"/>
        <c:crossBetween val="midCat"/>
        <c:majorUnit val="5"/>
      </c:valAx>
      <c:valAx>
        <c:axId val="707266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726553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India</a:t>
            </a: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, Exports,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(All)'!$DA$7:$DA$107</c:f>
              <c:numCache>
                <c:formatCode>General</c:formatCode>
                <c:ptCount val="92"/>
                <c:pt idx="21" formatCode="0.0000">
                  <c:v>37.70899959444975</c:v>
                </c:pt>
                <c:pt idx="22" formatCode="0.0000">
                  <c:v>56.322602546276173</c:v>
                </c:pt>
                <c:pt idx="23" formatCode="0.0000">
                  <c:v>100.62043755974622</c:v>
                </c:pt>
                <c:pt idx="24" formatCode="0.0000">
                  <c:v>160.17130876857561</c:v>
                </c:pt>
                <c:pt idx="25" formatCode="0.0000">
                  <c:v>93.298037788592438</c:v>
                </c:pt>
                <c:pt idx="26" formatCode="0.0000">
                  <c:v>111.45870448422698</c:v>
                </c:pt>
                <c:pt idx="27" formatCode="0.0000">
                  <c:v>72.946575997219071</c:v>
                </c:pt>
                <c:pt idx="28" formatCode="0.0000">
                  <c:v>62.354972385053273</c:v>
                </c:pt>
                <c:pt idx="29" formatCode="0.0000">
                  <c:v>65.242224828628878</c:v>
                </c:pt>
                <c:pt idx="30" formatCode="0.0000">
                  <c:v>79.3095805844371</c:v>
                </c:pt>
                <c:pt idx="31" formatCode="0.0000">
                  <c:v>64.725131759869257</c:v>
                </c:pt>
                <c:pt idx="32" formatCode="0.0000">
                  <c:v>62.13158962889414</c:v>
                </c:pt>
                <c:pt idx="33" formatCode="0.0000">
                  <c:v>67.133429452399582</c:v>
                </c:pt>
                <c:pt idx="34" formatCode="0.0000">
                  <c:v>58.017297260756493</c:v>
                </c:pt>
                <c:pt idx="35" formatCode="0.0000">
                  <c:v>54.461256135023739</c:v>
                </c:pt>
                <c:pt idx="36" formatCode="0.0000">
                  <c:v>50.019138274550848</c:v>
                </c:pt>
                <c:pt idx="37" formatCode="0.0000">
                  <c:v>52.673788614885112</c:v>
                </c:pt>
                <c:pt idx="38" formatCode="0.0000">
                  <c:v>48.723339719647981</c:v>
                </c:pt>
                <c:pt idx="39" formatCode="0.0000">
                  <c:v>48.868662062639274</c:v>
                </c:pt>
                <c:pt idx="40" formatCode="0.0000">
                  <c:v>54.846983567403811</c:v>
                </c:pt>
                <c:pt idx="41" formatCode="0.0000">
                  <c:v>54.076030695455401</c:v>
                </c:pt>
                <c:pt idx="42" formatCode="0.0000">
                  <c:v>50.107432185228362</c:v>
                </c:pt>
                <c:pt idx="43" formatCode="0.0000">
                  <c:v>44.889346113824601</c:v>
                </c:pt>
                <c:pt idx="44" formatCode="0.0000">
                  <c:v>45.534567705318757</c:v>
                </c:pt>
                <c:pt idx="45" formatCode="0.0000">
                  <c:v>46.883211521405293</c:v>
                </c:pt>
                <c:pt idx="46" formatCode="0.0000">
                  <c:v>41.920012454000762</c:v>
                </c:pt>
                <c:pt idx="47" formatCode="0.0000">
                  <c:v>40.837894338652362</c:v>
                </c:pt>
                <c:pt idx="48" formatCode="0.0000">
                  <c:v>43.212732775731311</c:v>
                </c:pt>
                <c:pt idx="49" formatCode="0.0000">
                  <c:v>43.155922860875648</c:v>
                </c:pt>
                <c:pt idx="50" formatCode="0.0000">
                  <c:v>49.185332178642042</c:v>
                </c:pt>
                <c:pt idx="51" formatCode="0.0000">
                  <c:v>43.26866260756475</c:v>
                </c:pt>
                <c:pt idx="52" formatCode="0.0000">
                  <c:v>33.586925534239327</c:v>
                </c:pt>
                <c:pt idx="53" formatCode="0.0000">
                  <c:v>38.029469549926489</c:v>
                </c:pt>
                <c:pt idx="54" formatCode="0.0000">
                  <c:v>29.271050703460567</c:v>
                </c:pt>
                <c:pt idx="55" formatCode="0.0000">
                  <c:v>27.517253428424659</c:v>
                </c:pt>
                <c:pt idx="56" formatCode="0.0000">
                  <c:v>33.243164452342747</c:v>
                </c:pt>
                <c:pt idx="57" formatCode="0.0000">
                  <c:v>32.479581515352351</c:v>
                </c:pt>
                <c:pt idx="58" formatCode="0.0000">
                  <c:v>29.626052566780515</c:v>
                </c:pt>
                <c:pt idx="59" formatCode="0.0000">
                  <c:v>27.140638062816155</c:v>
                </c:pt>
                <c:pt idx="60" formatCode="0.0000">
                  <c:v>34.281129971023475</c:v>
                </c:pt>
                <c:pt idx="61" formatCode="0.0000">
                  <c:v>38.506902392765689</c:v>
                </c:pt>
                <c:pt idx="62" formatCode="0.0000">
                  <c:v>35.630626878015036</c:v>
                </c:pt>
                <c:pt idx="63" formatCode="0.0000">
                  <c:v>33.49689387469067</c:v>
                </c:pt>
                <c:pt idx="64" formatCode="0.0000">
                  <c:v>42.008924410792218</c:v>
                </c:pt>
                <c:pt idx="65" formatCode="0.0000">
                  <c:v>39.07758067546952</c:v>
                </c:pt>
                <c:pt idx="66" formatCode="0.0000">
                  <c:v>41.075471274282258</c:v>
                </c:pt>
                <c:pt idx="67" formatCode="0.0000">
                  <c:v>42.992426937771562</c:v>
                </c:pt>
                <c:pt idx="68" formatCode="0.0000">
                  <c:v>41.620566720092008</c:v>
                </c:pt>
                <c:pt idx="69" formatCode="0.0000">
                  <c:v>40.492000610959579</c:v>
                </c:pt>
                <c:pt idx="70" formatCode="0.0000">
                  <c:v>46.913200675754325</c:v>
                </c:pt>
                <c:pt idx="71" formatCode="0.0000">
                  <c:v>55.310472808964064</c:v>
                </c:pt>
                <c:pt idx="72" formatCode="0.0000">
                  <c:v>49.467507394354492</c:v>
                </c:pt>
                <c:pt idx="73" formatCode="0.0000">
                  <c:v>50.900062145978126</c:v>
                </c:pt>
                <c:pt idx="74" formatCode="0.0000">
                  <c:v>41.257894910832121</c:v>
                </c:pt>
                <c:pt idx="75" formatCode="0.0000">
                  <c:v>21.964285714285719</c:v>
                </c:pt>
                <c:pt idx="76" formatCode="0.0000">
                  <c:v>31.285714285714288</c:v>
                </c:pt>
                <c:pt idx="77" formatCode="0.0000">
                  <c:v>49.392857142857146</c:v>
                </c:pt>
                <c:pt idx="78" formatCode="0.0000">
                  <c:v>69.964285714285722</c:v>
                </c:pt>
                <c:pt idx="79" formatCode="0.0000">
                  <c:v>68.035714285714292</c:v>
                </c:pt>
                <c:pt idx="80" formatCode="0.0000">
                  <c:v>53.866071428571438</c:v>
                </c:pt>
                <c:pt idx="81" formatCode="0.0000">
                  <c:v>34.607142857142861</c:v>
                </c:pt>
                <c:pt idx="82" formatCode="0.0000">
                  <c:v>54.937500000000007</c:v>
                </c:pt>
                <c:pt idx="83" formatCode="0.0000">
                  <c:v>53.517857142857153</c:v>
                </c:pt>
                <c:pt idx="84" formatCode="0.0000">
                  <c:v>62.383928571428577</c:v>
                </c:pt>
                <c:pt idx="85" formatCode="0.0000">
                  <c:v>49.232142857142868</c:v>
                </c:pt>
                <c:pt idx="86" formatCode="0.0000">
                  <c:v>37.098214285714292</c:v>
                </c:pt>
                <c:pt idx="87" formatCode="0.0000">
                  <c:v>31.714285714285719</c:v>
                </c:pt>
                <c:pt idx="88" formatCode="0.0000">
                  <c:v>42.589285714285722</c:v>
                </c:pt>
                <c:pt idx="89" formatCode="0.0000">
                  <c:v>36.375000000000007</c:v>
                </c:pt>
                <c:pt idx="90" formatCode="0.0000">
                  <c:v>25.046218487394956</c:v>
                </c:pt>
                <c:pt idx="91" formatCode="0.0000">
                  <c:v>18.025210084033613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(All)'!$DA$7:$DA$107</c:f>
              <c:numCache>
                <c:formatCode>General</c:formatCode>
                <c:ptCount val="92"/>
                <c:pt idx="21" formatCode="0.0000">
                  <c:v>37.70899959444975</c:v>
                </c:pt>
                <c:pt idx="22" formatCode="0.0000">
                  <c:v>56.322602546276173</c:v>
                </c:pt>
                <c:pt idx="23" formatCode="0.0000">
                  <c:v>100.62043755974622</c:v>
                </c:pt>
                <c:pt idx="24" formatCode="0.0000">
                  <c:v>160.17130876857561</c:v>
                </c:pt>
                <c:pt idx="25" formatCode="0.0000">
                  <c:v>93.298037788592438</c:v>
                </c:pt>
                <c:pt idx="26" formatCode="0.0000">
                  <c:v>111.45870448422698</c:v>
                </c:pt>
                <c:pt idx="27" formatCode="0.0000">
                  <c:v>72.946575997219071</c:v>
                </c:pt>
                <c:pt idx="28" formatCode="0.0000">
                  <c:v>62.354972385053273</c:v>
                </c:pt>
                <c:pt idx="29" formatCode="0.0000">
                  <c:v>65.242224828628878</c:v>
                </c:pt>
                <c:pt idx="30" formatCode="0.0000">
                  <c:v>79.3095805844371</c:v>
                </c:pt>
                <c:pt idx="31" formatCode="0.0000">
                  <c:v>64.725131759869257</c:v>
                </c:pt>
                <c:pt idx="32" formatCode="0.0000">
                  <c:v>62.13158962889414</c:v>
                </c:pt>
                <c:pt idx="33" formatCode="0.0000">
                  <c:v>67.133429452399582</c:v>
                </c:pt>
                <c:pt idx="34" formatCode="0.0000">
                  <c:v>58.017297260756493</c:v>
                </c:pt>
                <c:pt idx="35" formatCode="0.0000">
                  <c:v>54.461256135023739</c:v>
                </c:pt>
                <c:pt idx="36" formatCode="0.0000">
                  <c:v>50.019138274550848</c:v>
                </c:pt>
                <c:pt idx="37" formatCode="0.0000">
                  <c:v>52.673788614885112</c:v>
                </c:pt>
                <c:pt idx="38" formatCode="0.0000">
                  <c:v>48.723339719647981</c:v>
                </c:pt>
                <c:pt idx="39" formatCode="0.0000">
                  <c:v>48.868662062639274</c:v>
                </c:pt>
                <c:pt idx="40" formatCode="0.0000">
                  <c:v>54.846983567403811</c:v>
                </c:pt>
                <c:pt idx="41" formatCode="0.0000">
                  <c:v>54.076030695455401</c:v>
                </c:pt>
                <c:pt idx="42" formatCode="0.0000">
                  <c:v>50.107432185228362</c:v>
                </c:pt>
                <c:pt idx="43" formatCode="0.0000">
                  <c:v>44.889346113824601</c:v>
                </c:pt>
                <c:pt idx="44" formatCode="0.0000">
                  <c:v>45.534567705318757</c:v>
                </c:pt>
                <c:pt idx="45" formatCode="0.0000">
                  <c:v>46.883211521405293</c:v>
                </c:pt>
                <c:pt idx="46" formatCode="0.0000">
                  <c:v>41.920012454000762</c:v>
                </c:pt>
                <c:pt idx="47" formatCode="0.0000">
                  <c:v>40.837894338652362</c:v>
                </c:pt>
                <c:pt idx="48" formatCode="0.0000">
                  <c:v>43.212732775731311</c:v>
                </c:pt>
                <c:pt idx="49" formatCode="0.0000">
                  <c:v>43.155922860875648</c:v>
                </c:pt>
                <c:pt idx="50" formatCode="0.0000">
                  <c:v>49.185332178642042</c:v>
                </c:pt>
                <c:pt idx="51" formatCode="0.0000">
                  <c:v>43.26866260756475</c:v>
                </c:pt>
                <c:pt idx="52" formatCode="0.0000">
                  <c:v>33.586925534239327</c:v>
                </c:pt>
                <c:pt idx="53" formatCode="0.0000">
                  <c:v>38.029469549926489</c:v>
                </c:pt>
                <c:pt idx="54" formatCode="0.0000">
                  <c:v>29.271050703460567</c:v>
                </c:pt>
                <c:pt idx="55" formatCode="0.0000">
                  <c:v>27.517253428424659</c:v>
                </c:pt>
                <c:pt idx="56" formatCode="0.0000">
                  <c:v>33.243164452342747</c:v>
                </c:pt>
                <c:pt idx="57" formatCode="0.0000">
                  <c:v>32.479581515352351</c:v>
                </c:pt>
                <c:pt idx="58" formatCode="0.0000">
                  <c:v>29.626052566780515</c:v>
                </c:pt>
                <c:pt idx="59" formatCode="0.0000">
                  <c:v>27.140638062816155</c:v>
                </c:pt>
                <c:pt idx="60" formatCode="0.0000">
                  <c:v>34.281129971023475</c:v>
                </c:pt>
                <c:pt idx="61" formatCode="0.0000">
                  <c:v>38.506902392765689</c:v>
                </c:pt>
                <c:pt idx="62" formatCode="0.0000">
                  <c:v>35.630626878015036</c:v>
                </c:pt>
                <c:pt idx="63" formatCode="0.0000">
                  <c:v>33.49689387469067</c:v>
                </c:pt>
                <c:pt idx="64" formatCode="0.0000">
                  <c:v>42.008924410792218</c:v>
                </c:pt>
                <c:pt idx="65" formatCode="0.0000">
                  <c:v>39.07758067546952</c:v>
                </c:pt>
                <c:pt idx="66" formatCode="0.0000">
                  <c:v>41.075471274282258</c:v>
                </c:pt>
                <c:pt idx="67" formatCode="0.0000">
                  <c:v>42.992426937771562</c:v>
                </c:pt>
                <c:pt idx="68" formatCode="0.0000">
                  <c:v>41.620566720092008</c:v>
                </c:pt>
                <c:pt idx="69" formatCode="0.0000">
                  <c:v>40.492000610959579</c:v>
                </c:pt>
                <c:pt idx="70" formatCode="0.0000">
                  <c:v>46.913200675754325</c:v>
                </c:pt>
                <c:pt idx="71" formatCode="0.0000">
                  <c:v>55.310472808964064</c:v>
                </c:pt>
                <c:pt idx="72" formatCode="0.0000">
                  <c:v>49.467507394354492</c:v>
                </c:pt>
                <c:pt idx="73" formatCode="0.0000">
                  <c:v>50.900062145978126</c:v>
                </c:pt>
                <c:pt idx="74" formatCode="0.0000">
                  <c:v>41.257894910832121</c:v>
                </c:pt>
                <c:pt idx="75" formatCode="0.0000">
                  <c:v>21.964285714285719</c:v>
                </c:pt>
                <c:pt idx="76" formatCode="0.0000">
                  <c:v>31.285714285714288</c:v>
                </c:pt>
                <c:pt idx="77" formatCode="0.0000">
                  <c:v>49.392857142857146</c:v>
                </c:pt>
                <c:pt idx="78" formatCode="0.0000">
                  <c:v>69.964285714285722</c:v>
                </c:pt>
                <c:pt idx="79" formatCode="0.0000">
                  <c:v>68.035714285714292</c:v>
                </c:pt>
                <c:pt idx="80" formatCode="0.0000">
                  <c:v>53.866071428571438</c:v>
                </c:pt>
                <c:pt idx="81" formatCode="0.0000">
                  <c:v>34.607142857142861</c:v>
                </c:pt>
                <c:pt idx="82" formatCode="0.0000">
                  <c:v>54.937500000000007</c:v>
                </c:pt>
                <c:pt idx="83" formatCode="0.0000">
                  <c:v>53.517857142857153</c:v>
                </c:pt>
                <c:pt idx="84" formatCode="0.0000">
                  <c:v>62.383928571428577</c:v>
                </c:pt>
                <c:pt idx="85" formatCode="0.0000">
                  <c:v>49.232142857142868</c:v>
                </c:pt>
                <c:pt idx="86" formatCode="0.0000">
                  <c:v>37.098214285714292</c:v>
                </c:pt>
                <c:pt idx="87" formatCode="0.0000">
                  <c:v>31.714285714285719</c:v>
                </c:pt>
                <c:pt idx="88" formatCode="0.0000">
                  <c:v>42.589285714285722</c:v>
                </c:pt>
                <c:pt idx="89" formatCode="0.0000">
                  <c:v>36.375000000000007</c:v>
                </c:pt>
                <c:pt idx="90" formatCode="0.0000">
                  <c:v>25.046218487394956</c:v>
                </c:pt>
                <c:pt idx="91" formatCode="0.0000">
                  <c:v>18.025210084033613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5453808"/>
        <c:axId val="625454368"/>
      </c:scatterChart>
      <c:valAx>
        <c:axId val="6254538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454368"/>
        <c:crosses val="autoZero"/>
        <c:crossBetween val="midCat"/>
        <c:majorUnit val="5"/>
      </c:valAx>
      <c:valAx>
        <c:axId val="625454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4538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India</a:t>
            </a: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, Wholesale,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(All)'!$DB$7:$DB$107</c:f>
              <c:numCache>
                <c:formatCode>General</c:formatCode>
                <c:ptCount val="92"/>
                <c:pt idx="33" formatCode="0.0000">
                  <c:v>64.005187005186997</c:v>
                </c:pt>
                <c:pt idx="44" formatCode="0.0000">
                  <c:v>43.960737320112329</c:v>
                </c:pt>
                <c:pt idx="45" formatCode="0.0000">
                  <c:v>44.295691287878789</c:v>
                </c:pt>
                <c:pt idx="46" formatCode="0.0000">
                  <c:v>37.586872586872595</c:v>
                </c:pt>
                <c:pt idx="47" formatCode="0.0000">
                  <c:v>40.141369047619051</c:v>
                </c:pt>
                <c:pt idx="48" formatCode="0.0000">
                  <c:v>39.785118925743937</c:v>
                </c:pt>
                <c:pt idx="49" formatCode="0.0000">
                  <c:v>45.788309402939042</c:v>
                </c:pt>
                <c:pt idx="50" formatCode="0.0000">
                  <c:v>45.672900579150586</c:v>
                </c:pt>
                <c:pt idx="51" formatCode="0.0000">
                  <c:v>38.80188853626354</c:v>
                </c:pt>
                <c:pt idx="52" formatCode="0.0000">
                  <c:v>34.49369317655318</c:v>
                </c:pt>
                <c:pt idx="53" formatCode="0.0000">
                  <c:v>37.750710099740132</c:v>
                </c:pt>
                <c:pt idx="54" formatCode="0.0000">
                  <c:v>29.70512333745312</c:v>
                </c:pt>
                <c:pt idx="55" formatCode="0.0000">
                  <c:v>29.8348502310734</c:v>
                </c:pt>
                <c:pt idx="56" formatCode="0.0000">
                  <c:v>33.307096818580185</c:v>
                </c:pt>
                <c:pt idx="57" formatCode="0.0000">
                  <c:v>31.924256800790662</c:v>
                </c:pt>
                <c:pt idx="58" formatCode="0.0000">
                  <c:v>27.10253853985056</c:v>
                </c:pt>
                <c:pt idx="59" formatCode="0.0000">
                  <c:v>29.183052208926451</c:v>
                </c:pt>
                <c:pt idx="60" formatCode="0.0000">
                  <c:v>44.153751886413488</c:v>
                </c:pt>
                <c:pt idx="61" formatCode="0.0000">
                  <c:v>36.323255966572518</c:v>
                </c:pt>
                <c:pt idx="62" formatCode="0.0000">
                  <c:v>34.203217503217502</c:v>
                </c:pt>
                <c:pt idx="63" formatCode="0.0000">
                  <c:v>42.621307673240395</c:v>
                </c:pt>
                <c:pt idx="64" formatCode="0.0000">
                  <c:v>52.067436585563151</c:v>
                </c:pt>
                <c:pt idx="65" formatCode="0.0000">
                  <c:v>39.306850683425246</c:v>
                </c:pt>
                <c:pt idx="66" formatCode="0.0000">
                  <c:v>45.149619749591032</c:v>
                </c:pt>
                <c:pt idx="67" formatCode="0.0000">
                  <c:v>45.880511763116182</c:v>
                </c:pt>
                <c:pt idx="68" formatCode="0.0000">
                  <c:v>43.233213097821761</c:v>
                </c:pt>
                <c:pt idx="69" formatCode="0.0000">
                  <c:v>49.973607855304287</c:v>
                </c:pt>
                <c:pt idx="70" formatCode="0.0000">
                  <c:v>58.73648672135684</c:v>
                </c:pt>
                <c:pt idx="71" formatCode="0.0000">
                  <c:v>56.264084492018846</c:v>
                </c:pt>
                <c:pt idx="72" formatCode="0.0000">
                  <c:v>53.130238203936322</c:v>
                </c:pt>
                <c:pt idx="73" formatCode="0.0000">
                  <c:v>55.561888376411112</c:v>
                </c:pt>
                <c:pt idx="74" formatCode="0.0000">
                  <c:v>39.666666666666664</c:v>
                </c:pt>
                <c:pt idx="75" formatCode="0.0000">
                  <c:v>40.541666666666664</c:v>
                </c:pt>
                <c:pt idx="76" formatCode="0.0000">
                  <c:v>57.166666666666664</c:v>
                </c:pt>
                <c:pt idx="77" formatCode="0.0000">
                  <c:v>91.956018311111109</c:v>
                </c:pt>
                <c:pt idx="78" formatCode="0.0000">
                  <c:v>137.92534248888887</c:v>
                </c:pt>
                <c:pt idx="79" formatCode="0.0000">
                  <c:v>120.48563084870447</c:v>
                </c:pt>
                <c:pt idx="80" formatCode="0.0000">
                  <c:v>120.32973756542037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(All)'!$DB$7:$DB$107</c:f>
              <c:numCache>
                <c:formatCode>General</c:formatCode>
                <c:ptCount val="92"/>
                <c:pt idx="33" formatCode="0.0000">
                  <c:v>64.005187005186997</c:v>
                </c:pt>
                <c:pt idx="44" formatCode="0.0000">
                  <c:v>43.960737320112329</c:v>
                </c:pt>
                <c:pt idx="45" formatCode="0.0000">
                  <c:v>44.295691287878789</c:v>
                </c:pt>
                <c:pt idx="46" formatCode="0.0000">
                  <c:v>37.586872586872595</c:v>
                </c:pt>
                <c:pt idx="47" formatCode="0.0000">
                  <c:v>40.141369047619051</c:v>
                </c:pt>
                <c:pt idx="48" formatCode="0.0000">
                  <c:v>39.785118925743937</c:v>
                </c:pt>
                <c:pt idx="49" formatCode="0.0000">
                  <c:v>45.788309402939042</c:v>
                </c:pt>
                <c:pt idx="50" formatCode="0.0000">
                  <c:v>45.672900579150586</c:v>
                </c:pt>
                <c:pt idx="51" formatCode="0.0000">
                  <c:v>38.80188853626354</c:v>
                </c:pt>
                <c:pt idx="52" formatCode="0.0000">
                  <c:v>34.49369317655318</c:v>
                </c:pt>
                <c:pt idx="53" formatCode="0.0000">
                  <c:v>37.750710099740132</c:v>
                </c:pt>
                <c:pt idx="54" formatCode="0.0000">
                  <c:v>29.70512333745312</c:v>
                </c:pt>
                <c:pt idx="55" formatCode="0.0000">
                  <c:v>29.8348502310734</c:v>
                </c:pt>
                <c:pt idx="56" formatCode="0.0000">
                  <c:v>33.307096818580185</c:v>
                </c:pt>
                <c:pt idx="57" formatCode="0.0000">
                  <c:v>31.924256800790662</c:v>
                </c:pt>
                <c:pt idx="58" formatCode="0.0000">
                  <c:v>27.10253853985056</c:v>
                </c:pt>
                <c:pt idx="59" formatCode="0.0000">
                  <c:v>29.183052208926451</c:v>
                </c:pt>
                <c:pt idx="60" formatCode="0.0000">
                  <c:v>44.153751886413488</c:v>
                </c:pt>
                <c:pt idx="61" formatCode="0.0000">
                  <c:v>36.323255966572518</c:v>
                </c:pt>
                <c:pt idx="62" formatCode="0.0000">
                  <c:v>34.203217503217502</c:v>
                </c:pt>
                <c:pt idx="63" formatCode="0.0000">
                  <c:v>42.621307673240395</c:v>
                </c:pt>
                <c:pt idx="64" formatCode="0.0000">
                  <c:v>52.067436585563151</c:v>
                </c:pt>
                <c:pt idx="65" formatCode="0.0000">
                  <c:v>39.306850683425246</c:v>
                </c:pt>
                <c:pt idx="66" formatCode="0.0000">
                  <c:v>45.149619749591032</c:v>
                </c:pt>
                <c:pt idx="67" formatCode="0.0000">
                  <c:v>45.880511763116182</c:v>
                </c:pt>
                <c:pt idx="68" formatCode="0.0000">
                  <c:v>43.233213097821761</c:v>
                </c:pt>
                <c:pt idx="69" formatCode="0.0000">
                  <c:v>49.973607855304287</c:v>
                </c:pt>
                <c:pt idx="70" formatCode="0.0000">
                  <c:v>58.73648672135684</c:v>
                </c:pt>
                <c:pt idx="71" formatCode="0.0000">
                  <c:v>56.264084492018846</c:v>
                </c:pt>
                <c:pt idx="72" formatCode="0.0000">
                  <c:v>53.130238203936322</c:v>
                </c:pt>
                <c:pt idx="73" formatCode="0.0000">
                  <c:v>55.561888376411112</c:v>
                </c:pt>
                <c:pt idx="74" formatCode="0.0000">
                  <c:v>39.666666666666664</c:v>
                </c:pt>
                <c:pt idx="75" formatCode="0.0000">
                  <c:v>40.541666666666664</c:v>
                </c:pt>
                <c:pt idx="76" formatCode="0.0000">
                  <c:v>57.166666666666664</c:v>
                </c:pt>
                <c:pt idx="77" formatCode="0.0000">
                  <c:v>91.956018311111109</c:v>
                </c:pt>
                <c:pt idx="78" formatCode="0.0000">
                  <c:v>137.92534248888887</c:v>
                </c:pt>
                <c:pt idx="79" formatCode="0.0000">
                  <c:v>120.48563084870447</c:v>
                </c:pt>
                <c:pt idx="80" formatCode="0.0000">
                  <c:v>120.32973756542037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5457168"/>
        <c:axId val="625457728"/>
      </c:scatterChart>
      <c:valAx>
        <c:axId val="6254571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457728"/>
        <c:crosses val="autoZero"/>
        <c:crossBetween val="midCat"/>
        <c:majorUnit val="5"/>
      </c:valAx>
      <c:valAx>
        <c:axId val="625457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4571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Istanbul (Nallrihan),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(All)'!$AF$7:$AF$107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(All)'!$AF$7:$AF$107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5460528"/>
        <c:axId val="625461088"/>
      </c:scatterChart>
      <c:valAx>
        <c:axId val="62546052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461088"/>
        <c:crosses val="autoZero"/>
        <c:crossBetween val="midCat"/>
        <c:majorUnit val="5"/>
      </c:valAx>
      <c:valAx>
        <c:axId val="62546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4605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Istanbul (Nallrihan), Exports, in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(All)'!$AG$7:$AG$107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(All)'!$AG$7:$AG$107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9263264"/>
        <c:axId val="609263824"/>
      </c:scatterChart>
      <c:valAx>
        <c:axId val="60926326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9263824"/>
        <c:crosses val="autoZero"/>
        <c:crossBetween val="midCat"/>
        <c:majorUnit val="5"/>
      </c:valAx>
      <c:valAx>
        <c:axId val="609263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926326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Istanbul (Nallrihan), Bazaar (Local), in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(All)'!$AH$7:$AH$107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(All)'!$AH$7:$AH$107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9266624"/>
        <c:axId val="609267184"/>
      </c:scatterChart>
      <c:valAx>
        <c:axId val="60926662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9267184"/>
        <c:crosses val="autoZero"/>
        <c:crossBetween val="midCat"/>
        <c:majorUnit val="5"/>
      </c:valAx>
      <c:valAx>
        <c:axId val="609267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926662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>
                <a:solidFill>
                  <a:schemeClr val="tx1"/>
                </a:solidFill>
              </a:rPr>
              <a:t>Cotton, in</a:t>
            </a:r>
            <a:r>
              <a:rPr lang="en-US" sz="2000" b="1" baseline="0">
                <a:solidFill>
                  <a:schemeClr val="tx1"/>
                </a:solidFill>
              </a:rPr>
              <a:t> pound/ton</a:t>
            </a:r>
            <a:endParaRPr lang="en-US" sz="20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29568237258822105"/>
          <c:y val="3.453617106445374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1294848573010613E-2"/>
          <c:y val="3.7703768565431867E-2"/>
          <c:w val="0.51979701879312823"/>
          <c:h val="0.90432163943954558"/>
        </c:manualLayout>
      </c:layout>
      <c:lineChart>
        <c:grouping val="standard"/>
        <c:varyColors val="0"/>
        <c:ser>
          <c:idx val="1"/>
          <c:order val="0"/>
          <c:tx>
            <c:strRef>
              <c:f>'Cotton (All)'!$D$6</c:f>
              <c:strCache>
                <c:ptCount val="1"/>
                <c:pt idx="0">
                  <c:v>UK, Exports, in pound/ton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(All)'!$D$7:$D$107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2"/>
          <c:order val="1"/>
          <c:tx>
            <c:strRef>
              <c:f>'Cotton (All)'!$C$6</c:f>
              <c:strCache>
                <c:ptCount val="1"/>
                <c:pt idx="0">
                  <c:v>UK, Imports, in pound/ton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(All)'!$C$7:$C$107</c:f>
              <c:numCache>
                <c:formatCode>0.0000</c:formatCode>
                <c:ptCount val="92"/>
                <c:pt idx="14">
                  <c:v>50.931138031789246</c:v>
                </c:pt>
                <c:pt idx="15">
                  <c:v>52.369578216521809</c:v>
                </c:pt>
                <c:pt idx="16">
                  <c:v>57.861914480692192</c:v>
                </c:pt>
                <c:pt idx="17">
                  <c:v>67.6835794192544</c:v>
                </c:pt>
                <c:pt idx="18">
                  <c:v>65.200481895461252</c:v>
                </c:pt>
                <c:pt idx="19">
                  <c:v>63.143780322374681</c:v>
                </c:pt>
                <c:pt idx="20">
                  <c:v>57.58375050023794</c:v>
                </c:pt>
                <c:pt idx="21">
                  <c:v>68.881991197067322</c:v>
                </c:pt>
                <c:pt idx="22">
                  <c:v>132.92360761835465</c:v>
                </c:pt>
                <c:pt idx="23">
                  <c:v>188.14404533993084</c:v>
                </c:pt>
                <c:pt idx="24">
                  <c:v>195.96352875846935</c:v>
                </c:pt>
                <c:pt idx="25">
                  <c:v>151.19999999999999</c:v>
                </c:pt>
                <c:pt idx="26">
                  <c:v>126</c:v>
                </c:pt>
                <c:pt idx="27">
                  <c:v>92.2</c:v>
                </c:pt>
                <c:pt idx="28">
                  <c:v>93.000000000000014</c:v>
                </c:pt>
                <c:pt idx="29">
                  <c:v>104.2</c:v>
                </c:pt>
                <c:pt idx="30">
                  <c:v>89.4</c:v>
                </c:pt>
                <c:pt idx="31">
                  <c:v>70.400000000000006</c:v>
                </c:pt>
                <c:pt idx="32">
                  <c:v>84.800000000000011</c:v>
                </c:pt>
                <c:pt idx="33">
                  <c:v>80.2</c:v>
                </c:pt>
                <c:pt idx="34">
                  <c:v>72.400000000000006</c:v>
                </c:pt>
                <c:pt idx="35">
                  <c:v>69.400000000000006</c:v>
                </c:pt>
                <c:pt idx="36">
                  <c:v>60.4</c:v>
                </c:pt>
                <c:pt idx="37">
                  <c:v>58.6</c:v>
                </c:pt>
                <c:pt idx="38">
                  <c:v>55.999999999999993</c:v>
                </c:pt>
                <c:pt idx="39">
                  <c:v>55.199999999999996</c:v>
                </c:pt>
                <c:pt idx="40">
                  <c:v>58.8</c:v>
                </c:pt>
                <c:pt idx="41">
                  <c:v>58.4</c:v>
                </c:pt>
                <c:pt idx="42">
                  <c:v>58.6</c:v>
                </c:pt>
                <c:pt idx="43">
                  <c:v>58.20000000000001</c:v>
                </c:pt>
                <c:pt idx="44">
                  <c:v>57</c:v>
                </c:pt>
                <c:pt idx="45">
                  <c:v>57.199999999999996</c:v>
                </c:pt>
                <c:pt idx="46">
                  <c:v>49.800000000000004</c:v>
                </c:pt>
                <c:pt idx="47">
                  <c:v>50.199999999999996</c:v>
                </c:pt>
                <c:pt idx="48">
                  <c:v>51.8</c:v>
                </c:pt>
                <c:pt idx="49">
                  <c:v>52.8</c:v>
                </c:pt>
                <c:pt idx="50">
                  <c:v>53.399999999999991</c:v>
                </c:pt>
                <c:pt idx="51">
                  <c:v>51.8</c:v>
                </c:pt>
                <c:pt idx="52">
                  <c:v>47.800000000000004</c:v>
                </c:pt>
                <c:pt idx="53">
                  <c:v>48.533333333333331</c:v>
                </c:pt>
                <c:pt idx="54">
                  <c:v>41.25333333333333</c:v>
                </c:pt>
                <c:pt idx="55">
                  <c:v>38.826666666666668</c:v>
                </c:pt>
                <c:pt idx="56">
                  <c:v>46.293333333333329</c:v>
                </c:pt>
                <c:pt idx="57">
                  <c:v>41.81333333333334</c:v>
                </c:pt>
                <c:pt idx="58">
                  <c:v>35.93333333333333</c:v>
                </c:pt>
                <c:pt idx="59">
                  <c:v>38.080000000000005</c:v>
                </c:pt>
                <c:pt idx="60">
                  <c:v>52.173333333333332</c:v>
                </c:pt>
                <c:pt idx="61">
                  <c:v>51.426666666666662</c:v>
                </c:pt>
                <c:pt idx="62">
                  <c:v>50.773333333333333</c:v>
                </c:pt>
                <c:pt idx="63">
                  <c:v>56</c:v>
                </c:pt>
                <c:pt idx="64">
                  <c:v>62.626666666666665</c:v>
                </c:pt>
                <c:pt idx="65">
                  <c:v>53.013333333333328</c:v>
                </c:pt>
                <c:pt idx="66">
                  <c:v>70.14</c:v>
                </c:pt>
                <c:pt idx="67">
                  <c:v>77.513333333333335</c:v>
                </c:pt>
                <c:pt idx="68">
                  <c:v>71.586666666666659</c:v>
                </c:pt>
                <c:pt idx="69">
                  <c:v>71.213333333333338</c:v>
                </c:pt>
                <c:pt idx="70">
                  <c:v>97.486666666666665</c:v>
                </c:pt>
                <c:pt idx="71">
                  <c:v>85.726666666666674</c:v>
                </c:pt>
                <c:pt idx="72">
                  <c:v>75.88000000000001</c:v>
                </c:pt>
                <c:pt idx="73">
                  <c:v>82.506666666666661</c:v>
                </c:pt>
                <c:pt idx="74">
                  <c:v>76.066666666666663</c:v>
                </c:pt>
                <c:pt idx="75">
                  <c:v>63.186666666666675</c:v>
                </c:pt>
                <c:pt idx="76">
                  <c:v>100.61333333333336</c:v>
                </c:pt>
                <c:pt idx="77">
                  <c:v>174.06666666666666</c:v>
                </c:pt>
                <c:pt idx="78">
                  <c:v>237.01999999999998</c:v>
                </c:pt>
                <c:pt idx="79">
                  <c:v>239.11999999999998</c:v>
                </c:pt>
                <c:pt idx="80">
                  <c:v>374.22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'Cotton (All)'!$E$6</c:f>
              <c:strCache>
                <c:ptCount val="1"/>
                <c:pt idx="0">
                  <c:v>Baghdad, Imports, in pound/ton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(All)'!$E$7:$E$107</c:f>
              <c:numCache>
                <c:formatCode>0.0000</c:formatCode>
                <c:ptCount val="92"/>
                <c:pt idx="24">
                  <c:v>74.18274743394322</c:v>
                </c:pt>
                <c:pt idx="26">
                  <c:v>67.091321021145788</c:v>
                </c:pt>
                <c:pt idx="27">
                  <c:v>46.064025728701125</c:v>
                </c:pt>
                <c:pt idx="28">
                  <c:v>39.449722487319647</c:v>
                </c:pt>
                <c:pt idx="29">
                  <c:v>45.572142744683518</c:v>
                </c:pt>
                <c:pt idx="30">
                  <c:v>10.033633403981892</c:v>
                </c:pt>
                <c:pt idx="34">
                  <c:v>36.349610457438651</c:v>
                </c:pt>
                <c:pt idx="35">
                  <c:v>40.20980903930861</c:v>
                </c:pt>
                <c:pt idx="37">
                  <c:v>34.085901340793342</c:v>
                </c:pt>
                <c:pt idx="38">
                  <c:v>6.7428571428571367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'Cotton (All)'!$F$6</c:f>
              <c:strCache>
                <c:ptCount val="1"/>
                <c:pt idx="0">
                  <c:v>Baghdad, Exports, in pound/ton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(All)'!$F$7:$F$107</c:f>
              <c:numCache>
                <c:formatCode>0.0000</c:formatCode>
                <c:ptCount val="92"/>
                <c:pt idx="29">
                  <c:v>50.323108412070816</c:v>
                </c:pt>
                <c:pt idx="30">
                  <c:v>59.163495582220065</c:v>
                </c:pt>
                <c:pt idx="44">
                  <c:v>35.185185185185283</c:v>
                </c:pt>
                <c:pt idx="47">
                  <c:v>50.000000000000064</c:v>
                </c:pt>
                <c:pt idx="48">
                  <c:v>23.750000000000064</c:v>
                </c:pt>
                <c:pt idx="49">
                  <c:v>35</c:v>
                </c:pt>
                <c:pt idx="64">
                  <c:v>60.122699386503037</c:v>
                </c:pt>
                <c:pt idx="71">
                  <c:v>53.118279569892543</c:v>
                </c:pt>
              </c:numCache>
            </c:numRef>
          </c:val>
          <c:smooth val="0"/>
        </c:ser>
        <c:ser>
          <c:idx val="7"/>
          <c:order val="4"/>
          <c:tx>
            <c:strRef>
              <c:f>'Cotton (All)'!$G$6</c:f>
              <c:strCache>
                <c:ptCount val="1"/>
                <c:pt idx="0">
                  <c:v>Baghdad, Bazaar (Local), in pound/ton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(All)'!$G$7:$G$107</c:f>
              <c:numCache>
                <c:formatCode>0.0000</c:formatCode>
                <c:ptCount val="92"/>
                <c:pt idx="26">
                  <c:v>73.818069102730632</c:v>
                </c:pt>
              </c:numCache>
            </c:numRef>
          </c:val>
          <c:smooth val="0"/>
        </c:ser>
        <c:ser>
          <c:idx val="9"/>
          <c:order val="5"/>
          <c:tx>
            <c:strRef>
              <c:f>'Cotton (All)'!$H$6</c:f>
              <c:strCache>
                <c:ptCount val="1"/>
                <c:pt idx="0">
                  <c:v>Basrah, Imports,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(All)'!$H$7:$H$107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11"/>
          <c:order val="6"/>
          <c:tx>
            <c:strRef>
              <c:f>'Cotton (All)'!$I$6</c:f>
              <c:strCache>
                <c:ptCount val="1"/>
                <c:pt idx="0">
                  <c:v>Basrah, Exports, in pound/ton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(All)'!$I$7:$I$107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13"/>
          <c:order val="7"/>
          <c:tx>
            <c:strRef>
              <c:f>'Cotton (All)'!$J$6</c:f>
              <c:strCache>
                <c:ptCount val="1"/>
                <c:pt idx="0">
                  <c:v>Basrah, Bazaar (Local), in pound/ton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(All)'!$J$7:$J$107</c:f>
              <c:numCache>
                <c:formatCode>0.0000</c:formatCode>
                <c:ptCount val="92"/>
                <c:pt idx="24">
                  <c:v>130.6666666666666</c:v>
                </c:pt>
                <c:pt idx="25">
                  <c:v>130.6666666666666</c:v>
                </c:pt>
                <c:pt idx="26">
                  <c:v>71.555555555555458</c:v>
                </c:pt>
                <c:pt idx="28">
                  <c:v>74.666666666666586</c:v>
                </c:pt>
              </c:numCache>
            </c:numRef>
          </c:val>
          <c:smooth val="0"/>
        </c:ser>
        <c:ser>
          <c:idx val="15"/>
          <c:order val="8"/>
          <c:tx>
            <c:strRef>
              <c:f>'Cotton (All)'!$K$6</c:f>
              <c:strCache>
                <c:ptCount val="1"/>
                <c:pt idx="0">
                  <c:v>Mosul, Imports,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(All)'!$K$7:$K$107</c:f>
              <c:numCache>
                <c:formatCode>0.0000</c:formatCode>
                <c:ptCount val="92"/>
                <c:pt idx="44">
                  <c:v>7.6363636363636402</c:v>
                </c:pt>
              </c:numCache>
            </c:numRef>
          </c:val>
          <c:smooth val="0"/>
        </c:ser>
        <c:ser>
          <c:idx val="17"/>
          <c:order val="9"/>
          <c:tx>
            <c:strRef>
              <c:f>'Cotton (All)'!$L$6</c:f>
              <c:strCache>
                <c:ptCount val="1"/>
                <c:pt idx="0">
                  <c:v>Mosul, Exports, in pound/ton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(All)'!$L$7:$L$107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19"/>
          <c:order val="10"/>
          <c:tx>
            <c:strRef>
              <c:f>'Cotton (All)'!$M$6</c:f>
              <c:strCache>
                <c:ptCount val="1"/>
                <c:pt idx="0">
                  <c:v>Mosul, Bazaar (Local), in pound/ton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(All)'!$M$7:$M$107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21"/>
          <c:order val="11"/>
          <c:tx>
            <c:strRef>
              <c:f>'Cotton (All)'!$Q$6</c:f>
              <c:strCache>
                <c:ptCount val="1"/>
                <c:pt idx="0">
                  <c:v>Palestine, Imports,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(All)'!$Q$7:$Q$107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23"/>
          <c:order val="12"/>
          <c:tx>
            <c:strRef>
              <c:f>'Cotton (All)'!$R$6</c:f>
              <c:strCache>
                <c:ptCount val="1"/>
                <c:pt idx="0">
                  <c:v>Palestine, Exports, in pound/ton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(All)'!$R$7:$R$107</c:f>
              <c:numCache>
                <c:formatCode>0.0000</c:formatCode>
                <c:ptCount val="92"/>
                <c:pt idx="20">
                  <c:v>44.267154930963777</c:v>
                </c:pt>
                <c:pt idx="21">
                  <c:v>51.149003128498691</c:v>
                </c:pt>
                <c:pt idx="22">
                  <c:v>91.209725800190597</c:v>
                </c:pt>
                <c:pt idx="23">
                  <c:v>122.19506332476844</c:v>
                </c:pt>
                <c:pt idx="33">
                  <c:v>47.052734352025027</c:v>
                </c:pt>
                <c:pt idx="34">
                  <c:v>49.405371069626206</c:v>
                </c:pt>
                <c:pt idx="35">
                  <c:v>40.141863994071393</c:v>
                </c:pt>
                <c:pt idx="63">
                  <c:v>46.666666666666593</c:v>
                </c:pt>
                <c:pt idx="66">
                  <c:v>65.3333333333334</c:v>
                </c:pt>
              </c:numCache>
            </c:numRef>
          </c:val>
          <c:smooth val="0"/>
        </c:ser>
        <c:ser>
          <c:idx val="25"/>
          <c:order val="13"/>
          <c:tx>
            <c:strRef>
              <c:f>'Cotton (All)'!$S$6</c:f>
              <c:strCache>
                <c:ptCount val="1"/>
                <c:pt idx="0">
                  <c:v>Palestine, Bazaar (Local), in pound/ton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(All)'!$S$7:$S$107</c:f>
              <c:numCache>
                <c:formatCode>0.0000</c:formatCode>
                <c:ptCount val="92"/>
                <c:pt idx="22">
                  <c:v>92.223359329969057</c:v>
                </c:pt>
                <c:pt idx="23">
                  <c:v>122.19506332476844</c:v>
                </c:pt>
                <c:pt idx="25">
                  <c:v>111.98550775781958</c:v>
                </c:pt>
              </c:numCache>
            </c:numRef>
          </c:val>
          <c:smooth val="0"/>
        </c:ser>
        <c:ser>
          <c:idx val="29"/>
          <c:order val="14"/>
          <c:tx>
            <c:strRef>
              <c:f>'Cotton (All)'!$U$6</c:f>
              <c:strCache>
                <c:ptCount val="1"/>
                <c:pt idx="0">
                  <c:v>Damascus, Exports, in pound/ton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(All)'!$U$7:$U$107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31"/>
          <c:order val="15"/>
          <c:tx>
            <c:strRef>
              <c:f>'Cotton (All)'!$V$6</c:f>
              <c:strCache>
                <c:ptCount val="1"/>
                <c:pt idx="0">
                  <c:v>Damascus, Bazaar (Local), in pound/ton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(All)'!$V$7:$V$107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33"/>
          <c:order val="16"/>
          <c:tx>
            <c:strRef>
              <c:f>'Cotton (All)'!$W$6</c:f>
              <c:strCache>
                <c:ptCount val="1"/>
                <c:pt idx="0">
                  <c:v>Beirut, Imports,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(All)'!$W$7:$W$107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35"/>
          <c:order val="17"/>
          <c:tx>
            <c:strRef>
              <c:f>'Cotton (All)'!$X$6</c:f>
              <c:strCache>
                <c:ptCount val="1"/>
                <c:pt idx="0">
                  <c:v>Beirut, Exports, in pound/ton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(All)'!$X$7:$X$107</c:f>
              <c:numCache>
                <c:formatCode>0.0000</c:formatCode>
                <c:ptCount val="92"/>
                <c:pt idx="31">
                  <c:v>49</c:v>
                </c:pt>
                <c:pt idx="32">
                  <c:v>52.5</c:v>
                </c:pt>
                <c:pt idx="33">
                  <c:v>49</c:v>
                </c:pt>
              </c:numCache>
            </c:numRef>
          </c:val>
          <c:smooth val="0"/>
        </c:ser>
        <c:ser>
          <c:idx val="37"/>
          <c:order val="18"/>
          <c:tx>
            <c:strRef>
              <c:f>'Cotton (All)'!$Y$6</c:f>
              <c:strCache>
                <c:ptCount val="1"/>
                <c:pt idx="0">
                  <c:v>Beirut, Bazaar (Local), in pound/ton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(All)'!$Y$7:$Y$107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38"/>
          <c:order val="19"/>
          <c:tx>
            <c:strRef>
              <c:f>'Cotton (All)'!$Z$6</c:f>
              <c:strCache>
                <c:ptCount val="1"/>
                <c:pt idx="0">
                  <c:v>Istanbul (Malatya), Imports, in pound/ton</c:v>
                </c:pt>
              </c:strCache>
            </c:strRef>
          </c:tx>
          <c:spPr>
            <a:ln w="2857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(All)'!$Z$7:$Z$107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40"/>
          <c:order val="20"/>
          <c:tx>
            <c:strRef>
              <c:f>'Cotton (All)'!$AA$6</c:f>
              <c:strCache>
                <c:ptCount val="1"/>
                <c:pt idx="0">
                  <c:v>Istanbul (Malatya), Exports, in pound/ton</c:v>
                </c:pt>
              </c:strCache>
            </c:strRef>
          </c:tx>
          <c:spPr>
            <a:ln w="28575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(All)'!$AA$7:$AA$107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42"/>
          <c:order val="21"/>
          <c:tx>
            <c:strRef>
              <c:f>'Cotton (All)'!$AB$6</c:f>
              <c:strCache>
                <c:ptCount val="1"/>
                <c:pt idx="0">
                  <c:v>Istanbul (Malatya), Bazaar (Local), in pound/ton</c:v>
                </c:pt>
              </c:strCache>
            </c:strRef>
          </c:tx>
          <c:spPr>
            <a:ln w="28575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(All)'!$AB$7:$AB$107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43"/>
          <c:order val="22"/>
          <c:tx>
            <c:strRef>
              <c:f>'Cotton (All)'!$AC$6</c:f>
              <c:strCache>
                <c:ptCount val="1"/>
                <c:pt idx="0">
                  <c:v>Istanbul (Geyve),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(All)'!$AC$7:$AC$107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45"/>
          <c:order val="23"/>
          <c:tx>
            <c:strRef>
              <c:f>'Cotton (All)'!$AD$6</c:f>
              <c:strCache>
                <c:ptCount val="1"/>
                <c:pt idx="0">
                  <c:v>Istanbul (Geyve),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(All)'!$AD$7:$AD$107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47"/>
          <c:order val="24"/>
          <c:tx>
            <c:strRef>
              <c:f>'Cotton (All)'!$AE$6</c:f>
              <c:strCache>
                <c:ptCount val="1"/>
                <c:pt idx="0">
                  <c:v>Istanbul (Geyve),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(All)'!$AE$7:$AE$107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49"/>
          <c:order val="25"/>
          <c:tx>
            <c:strRef>
              <c:f>'Cotton (All)'!$AI$6</c:f>
              <c:strCache>
                <c:ptCount val="1"/>
                <c:pt idx="0">
                  <c:v>Turkey,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(All)'!$AI$7:$AI$107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51"/>
          <c:order val="26"/>
          <c:tx>
            <c:strRef>
              <c:f>'Cotton (All)'!$AJ$6</c:f>
              <c:strCache>
                <c:ptCount val="1"/>
                <c:pt idx="0">
                  <c:v>Turkey,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(All)'!$AJ$7:$AJ$107</c:f>
              <c:numCache>
                <c:formatCode>0.0000</c:formatCode>
                <c:ptCount val="92"/>
                <c:pt idx="71">
                  <c:v>49.634710835982375</c:v>
                </c:pt>
              </c:numCache>
            </c:numRef>
          </c:val>
          <c:smooth val="0"/>
        </c:ser>
        <c:ser>
          <c:idx val="53"/>
          <c:order val="27"/>
          <c:tx>
            <c:strRef>
              <c:f>'Cotton (All)'!$AK$6</c:f>
              <c:strCache>
                <c:ptCount val="1"/>
                <c:pt idx="0">
                  <c:v>Turkey,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(All)'!$AK$7:$AK$107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55"/>
          <c:order val="28"/>
          <c:tx>
            <c:strRef>
              <c:f>'Cotton (All)'!$AL$6</c:f>
              <c:strCache>
                <c:ptCount val="1"/>
                <c:pt idx="0">
                  <c:v>Constantinople, Imports, in pound/ton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(All)'!$AL$7:$AL$107</c:f>
              <c:numCache>
                <c:formatCode>0.0000</c:formatCode>
                <c:ptCount val="92"/>
                <c:pt idx="60">
                  <c:v>35.490605427974948</c:v>
                </c:pt>
                <c:pt idx="70">
                  <c:v>22.916666666666668</c:v>
                </c:pt>
              </c:numCache>
            </c:numRef>
          </c:val>
          <c:smooth val="0"/>
        </c:ser>
        <c:ser>
          <c:idx val="57"/>
          <c:order val="29"/>
          <c:tx>
            <c:strRef>
              <c:f>'Cotton (All)'!$AM$6</c:f>
              <c:strCache>
                <c:ptCount val="1"/>
                <c:pt idx="0">
                  <c:v>Constantinople, Exports, in pound/ton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(All)'!$AM$7:$AM$107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59"/>
          <c:order val="30"/>
          <c:tx>
            <c:strRef>
              <c:f>'Cotton (All)'!$AN$6</c:f>
              <c:strCache>
                <c:ptCount val="1"/>
                <c:pt idx="0">
                  <c:v>Constantinople, Bazaar (Local), in pound/ton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(All)'!$AN$7:$AN$107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61"/>
          <c:order val="31"/>
          <c:tx>
            <c:strRef>
              <c:f>'Cotton (All)'!$AO$6</c:f>
              <c:strCache>
                <c:ptCount val="1"/>
                <c:pt idx="0">
                  <c:v>Trebizond (Anatolia),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(All)'!$AO$7:$AO$107</c:f>
              <c:numCache>
                <c:formatCode>0.0000</c:formatCode>
                <c:ptCount val="92"/>
                <c:pt idx="43">
                  <c:v>40</c:v>
                </c:pt>
                <c:pt idx="44">
                  <c:v>40</c:v>
                </c:pt>
                <c:pt idx="45">
                  <c:v>41.428571428571431</c:v>
                </c:pt>
                <c:pt idx="46">
                  <c:v>40</c:v>
                </c:pt>
                <c:pt idx="47">
                  <c:v>39.677419354838712</c:v>
                </c:pt>
                <c:pt idx="48">
                  <c:v>40</c:v>
                </c:pt>
                <c:pt idx="49">
                  <c:v>36.721311475409834</c:v>
                </c:pt>
                <c:pt idx="50">
                  <c:v>40</c:v>
                </c:pt>
                <c:pt idx="51">
                  <c:v>40</c:v>
                </c:pt>
                <c:pt idx="52">
                  <c:v>40.128205128205124</c:v>
                </c:pt>
                <c:pt idx="53">
                  <c:v>40</c:v>
                </c:pt>
                <c:pt idx="54">
                  <c:v>40</c:v>
                </c:pt>
                <c:pt idx="55">
                  <c:v>40</c:v>
                </c:pt>
                <c:pt idx="56">
                  <c:v>40.149253731343286</c:v>
                </c:pt>
                <c:pt idx="57">
                  <c:v>40</c:v>
                </c:pt>
                <c:pt idx="58">
                  <c:v>40</c:v>
                </c:pt>
                <c:pt idx="59">
                  <c:v>40</c:v>
                </c:pt>
                <c:pt idx="60">
                  <c:v>48.695652173913047</c:v>
                </c:pt>
                <c:pt idx="61">
                  <c:v>51.981132075471699</c:v>
                </c:pt>
                <c:pt idx="62">
                  <c:v>48.078817733990149</c:v>
                </c:pt>
                <c:pt idx="63">
                  <c:v>51.980198019801982</c:v>
                </c:pt>
                <c:pt idx="64">
                  <c:v>60.111111111111114</c:v>
                </c:pt>
                <c:pt idx="65">
                  <c:v>60.08620689655173</c:v>
                </c:pt>
                <c:pt idx="66">
                  <c:v>72.173913043478265</c:v>
                </c:pt>
                <c:pt idx="67">
                  <c:v>79.941348973607035</c:v>
                </c:pt>
                <c:pt idx="68">
                  <c:v>45.453100158982515</c:v>
                </c:pt>
                <c:pt idx="69">
                  <c:v>26.97674418604651</c:v>
                </c:pt>
              </c:numCache>
            </c:numRef>
          </c:val>
          <c:smooth val="0"/>
        </c:ser>
        <c:ser>
          <c:idx val="63"/>
          <c:order val="32"/>
          <c:tx>
            <c:strRef>
              <c:f>'Cotton (All)'!$AP$6</c:f>
              <c:strCache>
                <c:ptCount val="1"/>
                <c:pt idx="0">
                  <c:v>Trebizond (Anatolia),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(All)'!$AP$7:$AP$107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65"/>
          <c:order val="33"/>
          <c:tx>
            <c:strRef>
              <c:f>'Cotton (All)'!$AQ$6</c:f>
              <c:strCache>
                <c:ptCount val="1"/>
                <c:pt idx="0">
                  <c:v>Trebizond (Anatolia),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(All)'!$AQ$7:$AQ$107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67"/>
          <c:order val="34"/>
          <c:tx>
            <c:strRef>
              <c:f>'Cotton (All)'!$AR$6</c:f>
              <c:strCache>
                <c:ptCount val="1"/>
                <c:pt idx="0">
                  <c:v>Trebizond (Persia),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(All)'!$AR$7:$AR$107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69"/>
          <c:order val="35"/>
          <c:tx>
            <c:strRef>
              <c:f>'Cotton (All)'!$AS$6</c:f>
              <c:strCache>
                <c:ptCount val="1"/>
                <c:pt idx="0">
                  <c:v>Trebizond (Persia),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(All)'!$AS$7:$AS$107</c:f>
              <c:numCache>
                <c:formatCode>0.0000</c:formatCode>
                <c:ptCount val="92"/>
                <c:pt idx="29">
                  <c:v>40</c:v>
                </c:pt>
                <c:pt idx="30">
                  <c:v>40</c:v>
                </c:pt>
                <c:pt idx="31">
                  <c:v>40</c:v>
                </c:pt>
                <c:pt idx="32">
                  <c:v>40</c:v>
                </c:pt>
                <c:pt idx="33">
                  <c:v>40</c:v>
                </c:pt>
                <c:pt idx="34">
                  <c:v>53.333333333333329</c:v>
                </c:pt>
                <c:pt idx="35">
                  <c:v>53.333333333333329</c:v>
                </c:pt>
                <c:pt idx="44">
                  <c:v>40</c:v>
                </c:pt>
                <c:pt idx="45">
                  <c:v>40</c:v>
                </c:pt>
                <c:pt idx="46">
                  <c:v>40</c:v>
                </c:pt>
                <c:pt idx="47">
                  <c:v>40</c:v>
                </c:pt>
                <c:pt idx="48">
                  <c:v>39.928057553956833</c:v>
                </c:pt>
              </c:numCache>
            </c:numRef>
          </c:val>
          <c:smooth val="0"/>
        </c:ser>
        <c:ser>
          <c:idx val="71"/>
          <c:order val="36"/>
          <c:tx>
            <c:strRef>
              <c:f>'Cotton (All)'!$AT$6</c:f>
              <c:strCache>
                <c:ptCount val="1"/>
                <c:pt idx="0">
                  <c:v>Adana, , in pound/ton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(All)'!$AT$7:$AT$107</c:f>
              <c:numCache>
                <c:formatCode>0.0000</c:formatCode>
                <c:ptCount val="92"/>
                <c:pt idx="36">
                  <c:v>39.478343779265451</c:v>
                </c:pt>
                <c:pt idx="37">
                  <c:v>46.221539145289043</c:v>
                </c:pt>
                <c:pt idx="38">
                  <c:v>44.355088421834061</c:v>
                </c:pt>
                <c:pt idx="39">
                  <c:v>43.757207747887684</c:v>
                </c:pt>
                <c:pt idx="40">
                  <c:v>59.926279625667441</c:v>
                </c:pt>
                <c:pt idx="41">
                  <c:v>48.040663595398485</c:v>
                </c:pt>
                <c:pt idx="42">
                  <c:v>52.524458864302346</c:v>
                </c:pt>
                <c:pt idx="45">
                  <c:v>43.699211033443966</c:v>
                </c:pt>
                <c:pt idx="46">
                  <c:v>44.411494739815019</c:v>
                </c:pt>
                <c:pt idx="47">
                  <c:v>44.857046164483954</c:v>
                </c:pt>
                <c:pt idx="48">
                  <c:v>41.989004129543581</c:v>
                </c:pt>
                <c:pt idx="49">
                  <c:v>47.663245460322351</c:v>
                </c:pt>
                <c:pt idx="50">
                  <c:v>43.781171169436369</c:v>
                </c:pt>
                <c:pt idx="51">
                  <c:v>39.392101347455736</c:v>
                </c:pt>
                <c:pt idx="52">
                  <c:v>35.104122236334526</c:v>
                </c:pt>
                <c:pt idx="53">
                  <c:v>37.694750811994204</c:v>
                </c:pt>
                <c:pt idx="54">
                  <c:v>32.488408764621433</c:v>
                </c:pt>
                <c:pt idx="55">
                  <c:v>27.519363415014876</c:v>
                </c:pt>
                <c:pt idx="56">
                  <c:v>31.510440370145325</c:v>
                </c:pt>
                <c:pt idx="57">
                  <c:v>30.003834008404805</c:v>
                </c:pt>
                <c:pt idx="58">
                  <c:v>30.700963259466892</c:v>
                </c:pt>
                <c:pt idx="59">
                  <c:v>29.08351680636807</c:v>
                </c:pt>
                <c:pt idx="60">
                  <c:v>41.329208093259894</c:v>
                </c:pt>
                <c:pt idx="61">
                  <c:v>33.663552278189762</c:v>
                </c:pt>
                <c:pt idx="62">
                  <c:v>35.910402726571</c:v>
                </c:pt>
                <c:pt idx="63">
                  <c:v>45.896435258491174</c:v>
                </c:pt>
                <c:pt idx="64">
                  <c:v>47.501334622798559</c:v>
                </c:pt>
                <c:pt idx="65">
                  <c:v>43.212655273317111</c:v>
                </c:pt>
                <c:pt idx="66">
                  <c:v>45.675143987034431</c:v>
                </c:pt>
                <c:pt idx="67">
                  <c:v>46.842760367131802</c:v>
                </c:pt>
                <c:pt idx="68">
                  <c:v>43.134158787622042</c:v>
                </c:pt>
              </c:numCache>
            </c:numRef>
          </c:val>
          <c:smooth val="0"/>
        </c:ser>
        <c:ser>
          <c:idx val="73"/>
          <c:order val="37"/>
          <c:tx>
            <c:strRef>
              <c:f>'Cotton (All)'!$AU$6</c:f>
              <c:strCache>
                <c:ptCount val="1"/>
                <c:pt idx="0">
                  <c:v>Izmir, , in pound/ton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(All)'!$AU$7:$AU$107</c:f>
              <c:numCache>
                <c:formatCode>0.0000</c:formatCode>
                <c:ptCount val="92"/>
                <c:pt idx="36">
                  <c:v>45.424616056577165</c:v>
                </c:pt>
                <c:pt idx="37">
                  <c:v>49.654438604355605</c:v>
                </c:pt>
                <c:pt idx="38">
                  <c:v>47.064695417058978</c:v>
                </c:pt>
                <c:pt idx="39">
                  <c:v>45.573102580798697</c:v>
                </c:pt>
                <c:pt idx="40">
                  <c:v>65.833501964064581</c:v>
                </c:pt>
                <c:pt idx="41">
                  <c:v>52.524458864302346</c:v>
                </c:pt>
                <c:pt idx="42">
                  <c:v>58.716366616598151</c:v>
                </c:pt>
                <c:pt idx="53">
                  <c:v>36.586081670464957</c:v>
                </c:pt>
                <c:pt idx="54">
                  <c:v>32.949704629433505</c:v>
                </c:pt>
                <c:pt idx="55">
                  <c:v>26.640366549179017</c:v>
                </c:pt>
                <c:pt idx="56">
                  <c:v>32.719644628141879</c:v>
                </c:pt>
                <c:pt idx="57">
                  <c:v>34.888179079540471</c:v>
                </c:pt>
                <c:pt idx="58">
                  <c:v>29.242320208677743</c:v>
                </c:pt>
                <c:pt idx="59">
                  <c:v>31.936206253882649</c:v>
                </c:pt>
                <c:pt idx="60">
                  <c:v>41.746674841676658</c:v>
                </c:pt>
                <c:pt idx="61">
                  <c:v>39.866567087214378</c:v>
                </c:pt>
                <c:pt idx="62">
                  <c:v>39.522280757096517</c:v>
                </c:pt>
                <c:pt idx="63">
                  <c:v>51.517859111856765</c:v>
                </c:pt>
                <c:pt idx="64">
                  <c:v>51.495440837328168</c:v>
                </c:pt>
                <c:pt idx="65">
                  <c:v>47.576148151078776</c:v>
                </c:pt>
                <c:pt idx="66">
                  <c:v>51.402213124727616</c:v>
                </c:pt>
                <c:pt idx="67">
                  <c:v>49.984652830780881</c:v>
                </c:pt>
                <c:pt idx="68">
                  <c:v>46.153549902755586</c:v>
                </c:pt>
              </c:numCache>
            </c:numRef>
          </c:val>
          <c:smooth val="0"/>
        </c:ser>
        <c:ser>
          <c:idx val="75"/>
          <c:order val="38"/>
          <c:tx>
            <c:strRef>
              <c:f>'Cotton (All)'!$AV$6</c:f>
              <c:strCache>
                <c:ptCount val="1"/>
                <c:pt idx="0">
                  <c:v>Izmir,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(All)'!$AV$7:$AV$107</c:f>
              <c:numCache>
                <c:formatCode>0.0000</c:formatCode>
                <c:ptCount val="92"/>
                <c:pt idx="25">
                  <c:v>128.65232424203094</c:v>
                </c:pt>
                <c:pt idx="26">
                  <c:v>77.587866366058606</c:v>
                </c:pt>
                <c:pt idx="28">
                  <c:v>35.288499462715478</c:v>
                </c:pt>
                <c:pt idx="29">
                  <c:v>70.669324130361346</c:v>
                </c:pt>
                <c:pt idx="31">
                  <c:v>20.735714285714284</c:v>
                </c:pt>
                <c:pt idx="32">
                  <c:v>72.443284936479131</c:v>
                </c:pt>
                <c:pt idx="34">
                  <c:v>57.023214285714282</c:v>
                </c:pt>
                <c:pt idx="35">
                  <c:v>43.930882109855723</c:v>
                </c:pt>
                <c:pt idx="36">
                  <c:v>48.363827544132548</c:v>
                </c:pt>
                <c:pt idx="42">
                  <c:v>51.933156853281858</c:v>
                </c:pt>
                <c:pt idx="43">
                  <c:v>46.674163953488367</c:v>
                </c:pt>
                <c:pt idx="44">
                  <c:v>47.296060568316044</c:v>
                </c:pt>
                <c:pt idx="45">
                  <c:v>46.01674651360544</c:v>
                </c:pt>
                <c:pt idx="46">
                  <c:v>42.645048018677436</c:v>
                </c:pt>
                <c:pt idx="48">
                  <c:v>41.471428571428568</c:v>
                </c:pt>
                <c:pt idx="49">
                  <c:v>48.72883308554588</c:v>
                </c:pt>
                <c:pt idx="50">
                  <c:v>50.802345846402197</c:v>
                </c:pt>
                <c:pt idx="51">
                  <c:v>81.986016351118764</c:v>
                </c:pt>
                <c:pt idx="52">
                  <c:v>47.692192383545567</c:v>
                </c:pt>
                <c:pt idx="54">
                  <c:v>28.511291473110983</c:v>
                </c:pt>
                <c:pt idx="58">
                  <c:v>15.253036437246964</c:v>
                </c:pt>
                <c:pt idx="59">
                  <c:v>40.39259708737864</c:v>
                </c:pt>
                <c:pt idx="60">
                  <c:v>39.099964551577457</c:v>
                </c:pt>
                <c:pt idx="61">
                  <c:v>41.180425205899255</c:v>
                </c:pt>
                <c:pt idx="62">
                  <c:v>53.525356967011327</c:v>
                </c:pt>
                <c:pt idx="63">
                  <c:v>39.013746273600532</c:v>
                </c:pt>
                <c:pt idx="64">
                  <c:v>39.041346721795627</c:v>
                </c:pt>
                <c:pt idx="65">
                  <c:v>39.075633773308191</c:v>
                </c:pt>
                <c:pt idx="66">
                  <c:v>43.011929460580916</c:v>
                </c:pt>
                <c:pt idx="67">
                  <c:v>44.257885681514054</c:v>
                </c:pt>
                <c:pt idx="68">
                  <c:v>38.704803493449781</c:v>
                </c:pt>
                <c:pt idx="70">
                  <c:v>42.214558058925476</c:v>
                </c:pt>
              </c:numCache>
            </c:numRef>
          </c:val>
          <c:smooth val="0"/>
        </c:ser>
        <c:ser>
          <c:idx val="77"/>
          <c:order val="39"/>
          <c:tx>
            <c:strRef>
              <c:f>'Cotton (All)'!$AW$6</c:f>
              <c:strCache>
                <c:ptCount val="1"/>
                <c:pt idx="0">
                  <c:v>Izmir, , in pound/ton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(All)'!$AW$7:$AW$107</c:f>
              <c:numCache>
                <c:formatCode>0.0000</c:formatCode>
                <c:ptCount val="92"/>
                <c:pt idx="5">
                  <c:v>32.333362665674706</c:v>
                </c:pt>
                <c:pt idx="6">
                  <c:v>35.250031978300107</c:v>
                </c:pt>
                <c:pt idx="7">
                  <c:v>40.000036287432756</c:v>
                </c:pt>
                <c:pt idx="8">
                  <c:v>32.833363119267617</c:v>
                </c:pt>
                <c:pt idx="9">
                  <c:v>37.166700383739496</c:v>
                </c:pt>
                <c:pt idx="10">
                  <c:v>44.083381262984091</c:v>
                </c:pt>
                <c:pt idx="11">
                  <c:v>36.000007257486544</c:v>
                </c:pt>
                <c:pt idx="12">
                  <c:v>36.666738031951084</c:v>
                </c:pt>
                <c:pt idx="13">
                  <c:v>48.749988660177259</c:v>
                </c:pt>
                <c:pt idx="14">
                  <c:v>44.000065317378962</c:v>
                </c:pt>
                <c:pt idx="15">
                  <c:v>49.500035380246935</c:v>
                </c:pt>
                <c:pt idx="16">
                  <c:v>53.958352913427255</c:v>
                </c:pt>
                <c:pt idx="17">
                  <c:v>58.416670446607576</c:v>
                </c:pt>
                <c:pt idx="18">
                  <c:v>25.833328192613692</c:v>
                </c:pt>
                <c:pt idx="19">
                  <c:v>23.094773702497481</c:v>
                </c:pt>
                <c:pt idx="20">
                  <c:v>25.411363409567183</c:v>
                </c:pt>
                <c:pt idx="21">
                  <c:v>27.738113597808237</c:v>
                </c:pt>
                <c:pt idx="22">
                  <c:v>139.33372644718818</c:v>
                </c:pt>
                <c:pt idx="23">
                  <c:v>158.66709002004879</c:v>
                </c:pt>
                <c:pt idx="24">
                  <c:v>162.41732362039716</c:v>
                </c:pt>
                <c:pt idx="25">
                  <c:v>121.33341800400976</c:v>
                </c:pt>
                <c:pt idx="26">
                  <c:v>93.333468806415624</c:v>
                </c:pt>
                <c:pt idx="27">
                  <c:v>81.66669630140342</c:v>
                </c:pt>
                <c:pt idx="28">
                  <c:v>74.666734403207798</c:v>
                </c:pt>
                <c:pt idx="29">
                  <c:v>93.333468806415624</c:v>
                </c:pt>
                <c:pt idx="30">
                  <c:v>65.250102058404622</c:v>
                </c:pt>
                <c:pt idx="31">
                  <c:v>84.000050802405852</c:v>
                </c:pt>
                <c:pt idx="32">
                  <c:v>74.666734403207798</c:v>
                </c:pt>
                <c:pt idx="33">
                  <c:v>64.333423447124673</c:v>
                </c:pt>
                <c:pt idx="34">
                  <c:v>56.000101604811711</c:v>
                </c:pt>
                <c:pt idx="35">
                  <c:v>46.666683600801953</c:v>
                </c:pt>
                <c:pt idx="36">
                  <c:v>53.472377099001186</c:v>
                </c:pt>
                <c:pt idx="37">
                  <c:v>58.451622501837043</c:v>
                </c:pt>
                <c:pt idx="38">
                  <c:v>57.657885712730533</c:v>
                </c:pt>
                <c:pt idx="39">
                  <c:v>56.142449946022438</c:v>
                </c:pt>
                <c:pt idx="40">
                  <c:v>66.750297103355678</c:v>
                </c:pt>
                <c:pt idx="41">
                  <c:v>53.25595885005125</c:v>
                </c:pt>
                <c:pt idx="42">
                  <c:v>59.534120165833563</c:v>
                </c:pt>
                <c:pt idx="43">
                  <c:v>57.007614917763604</c:v>
                </c:pt>
                <c:pt idx="44">
                  <c:v>54.482735346681054</c:v>
                </c:pt>
                <c:pt idx="45">
                  <c:v>51.957042937104809</c:v>
                </c:pt>
                <c:pt idx="46">
                  <c:v>46.905658117952299</c:v>
                </c:pt>
                <c:pt idx="47">
                  <c:v>51.235343959503219</c:v>
                </c:pt>
                <c:pt idx="48">
                  <c:v>49.070551841133614</c:v>
                </c:pt>
                <c:pt idx="49">
                  <c:v>46.905658117952299</c:v>
                </c:pt>
                <c:pt idx="50">
                  <c:v>46.616998847874008</c:v>
                </c:pt>
                <c:pt idx="51">
                  <c:v>48.709651549926967</c:v>
                </c:pt>
                <c:pt idx="52">
                  <c:v>41.204815342326569</c:v>
                </c:pt>
                <c:pt idx="53">
                  <c:v>38.101804392593735</c:v>
                </c:pt>
                <c:pt idx="54">
                  <c:v>36.081291106857421</c:v>
                </c:pt>
                <c:pt idx="55">
                  <c:v>28.432074461812011</c:v>
                </c:pt>
                <c:pt idx="56">
                  <c:v>33.194800010886226</c:v>
                </c:pt>
                <c:pt idx="57">
                  <c:v>36.081291106857421</c:v>
                </c:pt>
                <c:pt idx="58">
                  <c:v>30.380448331231687</c:v>
                </c:pt>
                <c:pt idx="59">
                  <c:v>33.12255898975787</c:v>
                </c:pt>
                <c:pt idx="60">
                  <c:v>43.297468044379528</c:v>
                </c:pt>
                <c:pt idx="61">
                  <c:v>41.276954758643214</c:v>
                </c:pt>
                <c:pt idx="62">
                  <c:v>41.060434904881568</c:v>
                </c:pt>
                <c:pt idx="63">
                  <c:v>52.245702207183093</c:v>
                </c:pt>
                <c:pt idx="64">
                  <c:v>52.101321769738092</c:v>
                </c:pt>
                <c:pt idx="65">
                  <c:v>48.78189257105533</c:v>
                </c:pt>
                <c:pt idx="66">
                  <c:v>52.462120456133022</c:v>
                </c:pt>
                <c:pt idx="67">
                  <c:v>50.513746586713353</c:v>
                </c:pt>
                <c:pt idx="68">
                  <c:v>40.755214050493962</c:v>
                </c:pt>
                <c:pt idx="69">
                  <c:v>43.228275167602575</c:v>
                </c:pt>
                <c:pt idx="70">
                  <c:v>45.814524044960123</c:v>
                </c:pt>
                <c:pt idx="71">
                  <c:v>55.236033420725562</c:v>
                </c:pt>
                <c:pt idx="72">
                  <c:v>50.525329535248702</c:v>
                </c:pt>
                <c:pt idx="73">
                  <c:v>47.107648483638897</c:v>
                </c:pt>
              </c:numCache>
            </c:numRef>
          </c:val>
          <c:smooth val="0"/>
        </c:ser>
        <c:ser>
          <c:idx val="79"/>
          <c:order val="40"/>
          <c:tx>
            <c:strRef>
              <c:f>'Cotton (All)'!$AX$6</c:f>
              <c:strCache>
                <c:ptCount val="1"/>
                <c:pt idx="0">
                  <c:v>Alexandretta,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(All)'!$AX$7:$AX$107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81"/>
          <c:order val="41"/>
          <c:tx>
            <c:strRef>
              <c:f>'Cotton (All)'!$AY$6</c:f>
              <c:strCache>
                <c:ptCount val="1"/>
                <c:pt idx="0">
                  <c:v>Alexandretta,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(All)'!$AY$7:$AY$107</c:f>
              <c:numCache>
                <c:formatCode>0.0000</c:formatCode>
                <c:ptCount val="92"/>
                <c:pt idx="38">
                  <c:v>51.99999999999995</c:v>
                </c:pt>
                <c:pt idx="39">
                  <c:v>56.119047619047571</c:v>
                </c:pt>
                <c:pt idx="40">
                  <c:v>49.99999999999995</c:v>
                </c:pt>
                <c:pt idx="41">
                  <c:v>49.99999999999995</c:v>
                </c:pt>
                <c:pt idx="42">
                  <c:v>49.019607843137209</c:v>
                </c:pt>
                <c:pt idx="43">
                  <c:v>50.026490066225115</c:v>
                </c:pt>
                <c:pt idx="47">
                  <c:v>41.999999999999964</c:v>
                </c:pt>
                <c:pt idx="48">
                  <c:v>42.210256410256378</c:v>
                </c:pt>
                <c:pt idx="49">
                  <c:v>41.485049833887004</c:v>
                </c:pt>
                <c:pt idx="50">
                  <c:v>40.01515151515148</c:v>
                </c:pt>
                <c:pt idx="51">
                  <c:v>31.999999999999972</c:v>
                </c:pt>
                <c:pt idx="52">
                  <c:v>28.666666666666639</c:v>
                </c:pt>
                <c:pt idx="53">
                  <c:v>30.571428571428548</c:v>
                </c:pt>
                <c:pt idx="54">
                  <c:v>32.307692307692278</c:v>
                </c:pt>
                <c:pt idx="55">
                  <c:v>32.137614678899055</c:v>
                </c:pt>
                <c:pt idx="56">
                  <c:v>32.222836095764237</c:v>
                </c:pt>
                <c:pt idx="57">
                  <c:v>31.983240223463657</c:v>
                </c:pt>
                <c:pt idx="58">
                  <c:v>31.555023923444946</c:v>
                </c:pt>
                <c:pt idx="59">
                  <c:v>21.999999999999979</c:v>
                </c:pt>
                <c:pt idx="60">
                  <c:v>29.979094076655027</c:v>
                </c:pt>
                <c:pt idx="61">
                  <c:v>29.999999999999972</c:v>
                </c:pt>
                <c:pt idx="62">
                  <c:v>29.999999999999972</c:v>
                </c:pt>
                <c:pt idx="63">
                  <c:v>36.218637992831511</c:v>
                </c:pt>
                <c:pt idx="64">
                  <c:v>35.92401215805468</c:v>
                </c:pt>
                <c:pt idx="65">
                  <c:v>36.01801801801799</c:v>
                </c:pt>
                <c:pt idx="66">
                  <c:v>37.182680901542078</c:v>
                </c:pt>
                <c:pt idx="67">
                  <c:v>35.999999999999964</c:v>
                </c:pt>
                <c:pt idx="68">
                  <c:v>35.999999999999972</c:v>
                </c:pt>
                <c:pt idx="69">
                  <c:v>55.824742268041177</c:v>
                </c:pt>
                <c:pt idx="70">
                  <c:v>57.879133409350004</c:v>
                </c:pt>
                <c:pt idx="71">
                  <c:v>56.379721669980121</c:v>
                </c:pt>
                <c:pt idx="72">
                  <c:v>52.494366197183098</c:v>
                </c:pt>
                <c:pt idx="73">
                  <c:v>44.13134328358209</c:v>
                </c:pt>
              </c:numCache>
            </c:numRef>
          </c:val>
          <c:smooth val="0"/>
        </c:ser>
        <c:ser>
          <c:idx val="83"/>
          <c:order val="42"/>
          <c:tx>
            <c:strRef>
              <c:f>'Cotton (All)'!$AZ$6</c:f>
              <c:strCache>
                <c:ptCount val="1"/>
                <c:pt idx="0">
                  <c:v>Alexandretta,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(All)'!$AZ$7:$AZ$107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85"/>
          <c:order val="43"/>
          <c:tx>
            <c:strRef>
              <c:f>'Cotton (All)'!$BA$6</c:f>
              <c:strCache>
                <c:ptCount val="1"/>
                <c:pt idx="0">
                  <c:v>Ispahan,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(All)'!$BA$7:$BA$107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87"/>
          <c:order val="44"/>
          <c:tx>
            <c:strRef>
              <c:f>'Cotton (All)'!$BB$6</c:f>
              <c:strCache>
                <c:ptCount val="1"/>
                <c:pt idx="0">
                  <c:v>Ispahan,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(All)'!$BB$7:$BB$107</c:f>
              <c:numCache>
                <c:formatCode>0.0000</c:formatCode>
                <c:ptCount val="92"/>
                <c:pt idx="61">
                  <c:v>40.205128205128204</c:v>
                </c:pt>
                <c:pt idx="62">
                  <c:v>26.923076923077002</c:v>
                </c:pt>
                <c:pt idx="65">
                  <c:v>28.208780234712201</c:v>
                </c:pt>
                <c:pt idx="70">
                  <c:v>51.3886073383336</c:v>
                </c:pt>
                <c:pt idx="71">
                  <c:v>36.186099942561796</c:v>
                </c:pt>
                <c:pt idx="72">
                  <c:v>41.559324778366999</c:v>
                </c:pt>
              </c:numCache>
            </c:numRef>
          </c:val>
          <c:smooth val="0"/>
        </c:ser>
        <c:ser>
          <c:idx val="89"/>
          <c:order val="45"/>
          <c:tx>
            <c:strRef>
              <c:f>'Cotton (All)'!$BC$6</c:f>
              <c:strCache>
                <c:ptCount val="1"/>
                <c:pt idx="0">
                  <c:v>Ispahan,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(All)'!$BC$7:$BC$107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91"/>
          <c:order val="46"/>
          <c:tx>
            <c:strRef>
              <c:f>'Cotton (All)'!$BD$6</c:f>
              <c:strCache>
                <c:ptCount val="1"/>
                <c:pt idx="0">
                  <c:v>Yezd,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(All)'!$BD$7:$BD$107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93"/>
          <c:order val="47"/>
          <c:tx>
            <c:strRef>
              <c:f>'Cotton (All)'!$BE$6</c:f>
              <c:strCache>
                <c:ptCount val="1"/>
                <c:pt idx="0">
                  <c:v>Yezd,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(All)'!$BE$7:$BE$107</c:f>
              <c:numCache>
                <c:formatCode>0.0000</c:formatCode>
                <c:ptCount val="92"/>
                <c:pt idx="52">
                  <c:v>17.230769230769226</c:v>
                </c:pt>
                <c:pt idx="53">
                  <c:v>16.497545008183298</c:v>
                </c:pt>
                <c:pt idx="71">
                  <c:v>33.29999999999994</c:v>
                </c:pt>
                <c:pt idx="72">
                  <c:v>34.188034188034194</c:v>
                </c:pt>
              </c:numCache>
            </c:numRef>
          </c:val>
          <c:smooth val="0"/>
        </c:ser>
        <c:ser>
          <c:idx val="95"/>
          <c:order val="48"/>
          <c:tx>
            <c:strRef>
              <c:f>'Cotton (All)'!$BF$6</c:f>
              <c:strCache>
                <c:ptCount val="1"/>
                <c:pt idx="0">
                  <c:v>Yezd,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(All)'!$BF$7:$BF$107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97"/>
          <c:order val="49"/>
          <c:tx>
            <c:strRef>
              <c:f>'Cotton (All)'!$BG$6</c:f>
              <c:strCache>
                <c:ptCount val="1"/>
                <c:pt idx="0">
                  <c:v>Khorasan,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(All)'!$BG$7:$BG$107</c:f>
              <c:numCache>
                <c:formatCode>0.0000</c:formatCode>
                <c:ptCount val="92"/>
                <c:pt idx="62">
                  <c:v>33.407765372438014</c:v>
                </c:pt>
                <c:pt idx="63">
                  <c:v>41.659563800451295</c:v>
                </c:pt>
                <c:pt idx="64">
                  <c:v>15.882770030725608</c:v>
                </c:pt>
                <c:pt idx="65">
                  <c:v>24.643891140706433</c:v>
                </c:pt>
                <c:pt idx="66">
                  <c:v>34.821763602251359</c:v>
                </c:pt>
                <c:pt idx="67">
                  <c:v>26.926187619428607</c:v>
                </c:pt>
                <c:pt idx="68">
                  <c:v>21.758991861380949</c:v>
                </c:pt>
                <c:pt idx="69">
                  <c:v>13.429225539393665</c:v>
                </c:pt>
                <c:pt idx="70">
                  <c:v>17.742729033271107</c:v>
                </c:pt>
                <c:pt idx="71">
                  <c:v>17.057110862262039</c:v>
                </c:pt>
                <c:pt idx="72">
                  <c:v>20.700755230902566</c:v>
                </c:pt>
              </c:numCache>
            </c:numRef>
          </c:val>
          <c:smooth val="0"/>
        </c:ser>
        <c:ser>
          <c:idx val="99"/>
          <c:order val="50"/>
          <c:tx>
            <c:strRef>
              <c:f>'Cotton (All)'!$BH$6</c:f>
              <c:strCache>
                <c:ptCount val="1"/>
                <c:pt idx="0">
                  <c:v>Khorasan,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(All)'!$BH$7:$BH$107</c:f>
              <c:numCache>
                <c:formatCode>0.0000</c:formatCode>
                <c:ptCount val="92"/>
                <c:pt idx="62">
                  <c:v>40.301074303957598</c:v>
                </c:pt>
                <c:pt idx="63">
                  <c:v>40.520119351388765</c:v>
                </c:pt>
                <c:pt idx="64">
                  <c:v>43.455886175046466</c:v>
                </c:pt>
                <c:pt idx="65">
                  <c:v>39.14044860768179</c:v>
                </c:pt>
                <c:pt idx="66">
                  <c:v>46.489670728566239</c:v>
                </c:pt>
                <c:pt idx="67">
                  <c:v>43.689719199285378</c:v>
                </c:pt>
                <c:pt idx="68">
                  <c:v>42.941139224824958</c:v>
                </c:pt>
                <c:pt idx="69">
                  <c:v>41.820393422288092</c:v>
                </c:pt>
                <c:pt idx="70">
                  <c:v>51.818613533682239</c:v>
                </c:pt>
                <c:pt idx="71">
                  <c:v>63.777312555710431</c:v>
                </c:pt>
                <c:pt idx="72">
                  <c:v>68.243247173208132</c:v>
                </c:pt>
              </c:numCache>
            </c:numRef>
          </c:val>
          <c:smooth val="0"/>
        </c:ser>
        <c:ser>
          <c:idx val="101"/>
          <c:order val="51"/>
          <c:tx>
            <c:strRef>
              <c:f>'Cotton (All)'!$BI$6</c:f>
              <c:strCache>
                <c:ptCount val="1"/>
                <c:pt idx="0">
                  <c:v>Khorasan,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(All)'!$BI$7:$BI$107</c:f>
              <c:numCache>
                <c:formatCode>0.0000</c:formatCode>
                <c:ptCount val="92"/>
                <c:pt idx="49">
                  <c:v>98.000116546697356</c:v>
                </c:pt>
              </c:numCache>
            </c:numRef>
          </c:val>
          <c:smooth val="0"/>
        </c:ser>
        <c:ser>
          <c:idx val="103"/>
          <c:order val="52"/>
          <c:tx>
            <c:strRef>
              <c:f>'Cotton (All)'!$BJ$6</c:f>
              <c:strCache>
                <c:ptCount val="1"/>
                <c:pt idx="0">
                  <c:v>Kermanshah,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(All)'!$BJ$7:$BJ$107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105"/>
          <c:order val="53"/>
          <c:tx>
            <c:strRef>
              <c:f>'Cotton (All)'!$BK$6</c:f>
              <c:strCache>
                <c:ptCount val="1"/>
                <c:pt idx="0">
                  <c:v>Kermanshah,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(All)'!$BK$7:$BK$107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107"/>
          <c:order val="54"/>
          <c:tx>
            <c:strRef>
              <c:f>'Cotton (All)'!$BL$6</c:f>
              <c:strCache>
                <c:ptCount val="1"/>
                <c:pt idx="0">
                  <c:v>Kermanshah,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(All)'!$BL$7:$BL$107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109"/>
          <c:order val="55"/>
          <c:tx>
            <c:strRef>
              <c:f>'Cotton (All)'!$BM$6</c:f>
              <c:strCache>
                <c:ptCount val="1"/>
                <c:pt idx="0">
                  <c:v>Kerman, Imports, in pound/ton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(All)'!$BM$7:$BM$107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111"/>
          <c:order val="56"/>
          <c:tx>
            <c:strRef>
              <c:f>'Cotton (All)'!$BN$6</c:f>
              <c:strCache>
                <c:ptCount val="1"/>
                <c:pt idx="0">
                  <c:v>Kerman, Exports, in pound/ton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(All)'!$BN$7:$BN$107</c:f>
              <c:numCache>
                <c:formatCode>0.0000</c:formatCode>
                <c:ptCount val="92"/>
                <c:pt idx="54">
                  <c:v>20.676923076923075</c:v>
                </c:pt>
                <c:pt idx="67">
                  <c:v>32.000000000000028</c:v>
                </c:pt>
                <c:pt idx="68">
                  <c:v>32.000000000000028</c:v>
                </c:pt>
                <c:pt idx="69">
                  <c:v>9.329600000000001</c:v>
                </c:pt>
                <c:pt idx="70">
                  <c:v>9.3279999999999905</c:v>
                </c:pt>
              </c:numCache>
            </c:numRef>
          </c:val>
          <c:smooth val="0"/>
        </c:ser>
        <c:ser>
          <c:idx val="113"/>
          <c:order val="57"/>
          <c:tx>
            <c:strRef>
              <c:f>'Cotton (All)'!$BO$6</c:f>
              <c:strCache>
                <c:ptCount val="1"/>
                <c:pt idx="0">
                  <c:v>Kerman, Bazaar (Local), in pound/ton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(All)'!$BO$7:$BO$107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115"/>
          <c:order val="58"/>
          <c:tx>
            <c:strRef>
              <c:f>'Cotton (All)'!$BP$6</c:f>
              <c:strCache>
                <c:ptCount val="1"/>
                <c:pt idx="0">
                  <c:v>Bam,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(All)'!$BP$7:$BP$107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117"/>
          <c:order val="59"/>
          <c:tx>
            <c:strRef>
              <c:f>'Cotton (All)'!$BQ$6</c:f>
              <c:strCache>
                <c:ptCount val="1"/>
                <c:pt idx="0">
                  <c:v>Bam,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(All)'!$BQ$7:$BQ$107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119"/>
          <c:order val="60"/>
          <c:tx>
            <c:strRef>
              <c:f>'Cotton (All)'!$BR$6</c:f>
              <c:strCache>
                <c:ptCount val="1"/>
                <c:pt idx="0">
                  <c:v>Bam,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(All)'!$BR$7:$BR$107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121"/>
          <c:order val="61"/>
          <c:tx>
            <c:strRef>
              <c:f>'Cotton (All)'!$BS$6</c:f>
              <c:strCache>
                <c:ptCount val="1"/>
                <c:pt idx="0">
                  <c:v>Resht,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(All)'!$BS$7:$BS$107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123"/>
          <c:order val="62"/>
          <c:tx>
            <c:strRef>
              <c:f>'Cotton (All)'!$BT$6</c:f>
              <c:strCache>
                <c:ptCount val="1"/>
                <c:pt idx="0">
                  <c:v>Resht,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(All)'!$BT$7:$BT$107</c:f>
              <c:numCache>
                <c:formatCode>0.0000</c:formatCode>
                <c:ptCount val="92"/>
                <c:pt idx="33">
                  <c:v>49.158918918918815</c:v>
                </c:pt>
                <c:pt idx="34">
                  <c:v>38.828967642526884</c:v>
                </c:pt>
                <c:pt idx="35">
                  <c:v>40.545882352941277</c:v>
                </c:pt>
                <c:pt idx="54">
                  <c:v>19.101877891681021</c:v>
                </c:pt>
                <c:pt idx="55">
                  <c:v>18.646025141534537</c:v>
                </c:pt>
                <c:pt idx="62">
                  <c:v>32.777638405266273</c:v>
                </c:pt>
              </c:numCache>
            </c:numRef>
          </c:val>
          <c:smooth val="0"/>
        </c:ser>
        <c:ser>
          <c:idx val="125"/>
          <c:order val="63"/>
          <c:tx>
            <c:strRef>
              <c:f>'Cotton (All)'!$BU$6</c:f>
              <c:strCache>
                <c:ptCount val="1"/>
                <c:pt idx="0">
                  <c:v>Resht,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(All)'!$BU$7:$BU$107</c:f>
              <c:numCache>
                <c:formatCode>0.0000</c:formatCode>
                <c:ptCount val="92"/>
                <c:pt idx="34">
                  <c:v>38.650980392156832</c:v>
                </c:pt>
                <c:pt idx="51">
                  <c:v>35.137254901960738</c:v>
                </c:pt>
                <c:pt idx="52">
                  <c:v>45.751633986928127</c:v>
                </c:pt>
                <c:pt idx="53">
                  <c:v>51.241830065359579</c:v>
                </c:pt>
                <c:pt idx="57">
                  <c:v>42.590612002376702</c:v>
                </c:pt>
              </c:numCache>
            </c:numRef>
          </c:val>
          <c:smooth val="0"/>
        </c:ser>
        <c:ser>
          <c:idx val="127"/>
          <c:order val="64"/>
          <c:tx>
            <c:strRef>
              <c:f>'Cotton (All)'!$BV$6</c:f>
              <c:strCache>
                <c:ptCount val="1"/>
                <c:pt idx="0">
                  <c:v>Mazandaran,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(All)'!$BV$7:$BV$107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129"/>
          <c:order val="65"/>
          <c:tx>
            <c:strRef>
              <c:f>'Cotton (All)'!$BW$6</c:f>
              <c:strCache>
                <c:ptCount val="1"/>
                <c:pt idx="0">
                  <c:v>Mazandaran,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(All)'!$BW$7:$BW$107</c:f>
              <c:numCache>
                <c:formatCode>0.0000</c:formatCode>
                <c:ptCount val="92"/>
                <c:pt idx="66">
                  <c:v>46.141273049734913</c:v>
                </c:pt>
                <c:pt idx="67">
                  <c:v>53.527130468842465</c:v>
                </c:pt>
                <c:pt idx="68">
                  <c:v>52.672628402253885</c:v>
                </c:pt>
                <c:pt idx="69">
                  <c:v>60.111774265358818</c:v>
                </c:pt>
                <c:pt idx="70">
                  <c:v>75.053765036170361</c:v>
                </c:pt>
              </c:numCache>
            </c:numRef>
          </c:val>
          <c:smooth val="0"/>
        </c:ser>
        <c:ser>
          <c:idx val="131"/>
          <c:order val="66"/>
          <c:tx>
            <c:strRef>
              <c:f>'Cotton (All)'!$BX$6</c:f>
              <c:strCache>
                <c:ptCount val="1"/>
                <c:pt idx="0">
                  <c:v>Mazandaran,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(All)'!$BX$7:$BX$107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133"/>
          <c:order val="67"/>
          <c:tx>
            <c:strRef>
              <c:f>'Cotton (All)'!$BY$6</c:f>
              <c:strCache>
                <c:ptCount val="1"/>
                <c:pt idx="0">
                  <c:v>Ghilan &amp; Tunekabun,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(All)'!$BY$7:$BY$107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135"/>
          <c:order val="68"/>
          <c:tx>
            <c:strRef>
              <c:f>'Cotton (All)'!$BZ$6</c:f>
              <c:strCache>
                <c:ptCount val="1"/>
                <c:pt idx="0">
                  <c:v>Ghilan &amp; Tunekabun,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(All)'!$BZ$7:$BZ$107</c:f>
              <c:numCache>
                <c:formatCode>0.0000</c:formatCode>
                <c:ptCount val="92"/>
                <c:pt idx="66">
                  <c:v>48.549819774093791</c:v>
                </c:pt>
                <c:pt idx="67">
                  <c:v>44.598048718545733</c:v>
                </c:pt>
                <c:pt idx="68">
                  <c:v>45.414721421043296</c:v>
                </c:pt>
                <c:pt idx="69">
                  <c:v>49.526252755926912</c:v>
                </c:pt>
                <c:pt idx="70">
                  <c:v>44.799973716998302</c:v>
                </c:pt>
              </c:numCache>
            </c:numRef>
          </c:val>
          <c:smooth val="0"/>
        </c:ser>
        <c:ser>
          <c:idx val="137"/>
          <c:order val="69"/>
          <c:tx>
            <c:strRef>
              <c:f>'Cotton (All)'!$CA$6</c:f>
              <c:strCache>
                <c:ptCount val="1"/>
                <c:pt idx="0">
                  <c:v>Ghilan &amp; Tunekabun,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(All)'!$CA$7:$CA$107</c:f>
              <c:numCache>
                <c:formatCode>0.0000</c:formatCode>
                <c:ptCount val="92"/>
                <c:pt idx="35">
                  <c:v>46.000000000000028</c:v>
                </c:pt>
                <c:pt idx="36">
                  <c:v>33.000000000000099</c:v>
                </c:pt>
              </c:numCache>
            </c:numRef>
          </c:val>
          <c:smooth val="0"/>
        </c:ser>
        <c:ser>
          <c:idx val="139"/>
          <c:order val="70"/>
          <c:tx>
            <c:strRef>
              <c:f>'Cotton (All)'!$CB$6</c:f>
              <c:strCache>
                <c:ptCount val="1"/>
                <c:pt idx="0">
                  <c:v>Bender Gez &amp; Astarabad,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(All)'!$CB$7:$CB$107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141"/>
          <c:order val="71"/>
          <c:tx>
            <c:strRef>
              <c:f>'Cotton (All)'!$CC$6</c:f>
              <c:strCache>
                <c:ptCount val="1"/>
                <c:pt idx="0">
                  <c:v>Bender Gez &amp; Astarabad,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(All)'!$CC$7:$CC$107</c:f>
              <c:numCache>
                <c:formatCode>0.0000</c:formatCode>
                <c:ptCount val="92"/>
                <c:pt idx="51">
                  <c:v>21.473103448275854</c:v>
                </c:pt>
                <c:pt idx="52">
                  <c:v>20.303448275862081</c:v>
                </c:pt>
                <c:pt idx="66">
                  <c:v>51.81263712036003</c:v>
                </c:pt>
                <c:pt idx="67">
                  <c:v>52.974791466252093</c:v>
                </c:pt>
                <c:pt idx="68">
                  <c:v>55.649644643566404</c:v>
                </c:pt>
                <c:pt idx="69">
                  <c:v>59.254542399267486</c:v>
                </c:pt>
                <c:pt idx="70">
                  <c:v>69.021967086933273</c:v>
                </c:pt>
              </c:numCache>
            </c:numRef>
          </c:val>
          <c:smooth val="0"/>
        </c:ser>
        <c:ser>
          <c:idx val="143"/>
          <c:order val="72"/>
          <c:tx>
            <c:strRef>
              <c:f>'Cotton (All)'!$CD$6</c:f>
              <c:strCache>
                <c:ptCount val="1"/>
                <c:pt idx="0">
                  <c:v>Bender Gez &amp; Astarabad,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(All)'!$CD$7:$CD$107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145"/>
          <c:order val="73"/>
          <c:tx>
            <c:strRef>
              <c:f>'Cotton (All)'!$CE$6</c:f>
              <c:strCache>
                <c:ptCount val="1"/>
                <c:pt idx="0">
                  <c:v>Astara,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(All)'!$CE$7:$CE$107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147"/>
          <c:order val="74"/>
          <c:tx>
            <c:strRef>
              <c:f>'Cotton (All)'!$CF$6</c:f>
              <c:strCache>
                <c:ptCount val="1"/>
                <c:pt idx="0">
                  <c:v>Astara,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(All)'!$CF$7:$CF$107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149"/>
          <c:order val="75"/>
          <c:tx>
            <c:strRef>
              <c:f>'Cotton (All)'!$CG$6</c:f>
              <c:strCache>
                <c:ptCount val="1"/>
                <c:pt idx="0">
                  <c:v>Astara,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(All)'!$CG$7:$CG$107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151"/>
          <c:order val="76"/>
          <c:tx>
            <c:strRef>
              <c:f>'Cotton (All)'!$CH$6</c:f>
              <c:strCache>
                <c:ptCount val="1"/>
                <c:pt idx="0">
                  <c:v>Sultanabad,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(All)'!$CH$7:$CH$107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153"/>
          <c:order val="77"/>
          <c:tx>
            <c:strRef>
              <c:f>'Cotton (All)'!$CI$6</c:f>
              <c:strCache>
                <c:ptCount val="1"/>
                <c:pt idx="0">
                  <c:v>Sultanabad,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(All)'!$CI$7:$CI$107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155"/>
          <c:order val="78"/>
          <c:tx>
            <c:strRef>
              <c:f>'Cotton (All)'!$CJ$6</c:f>
              <c:strCache>
                <c:ptCount val="1"/>
                <c:pt idx="0">
                  <c:v>Sultanabad,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(All)'!$CJ$7:$CJ$107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156"/>
          <c:order val="79"/>
          <c:tx>
            <c:strRef>
              <c:f>'Cotton (All)'!$CK$6</c:f>
              <c:strCache>
                <c:ptCount val="1"/>
                <c:pt idx="0">
                  <c:v>Bahrain, Imports, in pound/ton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(All)'!$CK$7:$CK$107</c:f>
              <c:numCache>
                <c:formatCode>0.0000</c:formatCode>
                <c:ptCount val="92"/>
                <c:pt idx="48">
                  <c:v>33.079166666666666</c:v>
                </c:pt>
                <c:pt idx="49">
                  <c:v>35.940067665538905</c:v>
                </c:pt>
                <c:pt idx="51">
                  <c:v>34.152923538230887</c:v>
                </c:pt>
                <c:pt idx="52">
                  <c:v>29.277108433734938</c:v>
                </c:pt>
                <c:pt idx="53">
                  <c:v>28.858299595141702</c:v>
                </c:pt>
                <c:pt idx="54">
                  <c:v>25.28</c:v>
                </c:pt>
                <c:pt idx="55">
                  <c:v>31.043137254901964</c:v>
                </c:pt>
                <c:pt idx="56">
                  <c:v>25.342756183745582</c:v>
                </c:pt>
                <c:pt idx="57">
                  <c:v>28.858638743455497</c:v>
                </c:pt>
                <c:pt idx="58">
                  <c:v>24.903225806451612</c:v>
                </c:pt>
                <c:pt idx="59">
                  <c:v>30.196078431372548</c:v>
                </c:pt>
                <c:pt idx="60">
                  <c:v>28.197325956662059</c:v>
                </c:pt>
                <c:pt idx="61">
                  <c:v>30.02290950744559</c:v>
                </c:pt>
                <c:pt idx="62">
                  <c:v>33.297872340425535</c:v>
                </c:pt>
                <c:pt idx="63">
                  <c:v>37.599999999999994</c:v>
                </c:pt>
                <c:pt idx="64">
                  <c:v>25.699958211450063</c:v>
                </c:pt>
                <c:pt idx="65">
                  <c:v>29.467330016583748</c:v>
                </c:pt>
                <c:pt idx="66">
                  <c:v>23.108851518706818</c:v>
                </c:pt>
                <c:pt idx="67">
                  <c:v>27.986798679867988</c:v>
                </c:pt>
                <c:pt idx="68">
                  <c:v>33.704052780395855</c:v>
                </c:pt>
                <c:pt idx="69">
                  <c:v>13.564888384411653</c:v>
                </c:pt>
                <c:pt idx="70">
                  <c:v>53.926701570680621</c:v>
                </c:pt>
                <c:pt idx="71">
                  <c:v>27.318489835430782</c:v>
                </c:pt>
                <c:pt idx="72">
                  <c:v>26.064516129032256</c:v>
                </c:pt>
                <c:pt idx="73">
                  <c:v>37.481481481481481</c:v>
                </c:pt>
              </c:numCache>
            </c:numRef>
          </c:val>
          <c:smooth val="0"/>
        </c:ser>
        <c:ser>
          <c:idx val="157"/>
          <c:order val="80"/>
          <c:tx>
            <c:strRef>
              <c:f>'Cotton (All)'!$CL$6</c:f>
              <c:strCache>
                <c:ptCount val="1"/>
                <c:pt idx="0">
                  <c:v>Bahrain, Exports,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(All)'!$CL$7:$CL$107</c:f>
              <c:numCache>
                <c:formatCode>0.0000</c:formatCode>
                <c:ptCount val="92"/>
                <c:pt idx="57">
                  <c:v>17.333333333333336</c:v>
                </c:pt>
                <c:pt idx="58">
                  <c:v>23.846153846153847</c:v>
                </c:pt>
                <c:pt idx="59">
                  <c:v>27.878787878787882</c:v>
                </c:pt>
                <c:pt idx="60">
                  <c:v>33</c:v>
                </c:pt>
                <c:pt idx="61">
                  <c:v>34.883720930232556</c:v>
                </c:pt>
                <c:pt idx="62">
                  <c:v>30.434782608695656</c:v>
                </c:pt>
                <c:pt idx="63">
                  <c:v>40</c:v>
                </c:pt>
                <c:pt idx="64">
                  <c:v>37.209302325581397</c:v>
                </c:pt>
                <c:pt idx="65">
                  <c:v>36.028368794326241</c:v>
                </c:pt>
                <c:pt idx="66">
                  <c:v>28.000000000000004</c:v>
                </c:pt>
              </c:numCache>
            </c:numRef>
          </c:val>
          <c:smooth val="0"/>
        </c:ser>
        <c:ser>
          <c:idx val="158"/>
          <c:order val="81"/>
          <c:tx>
            <c:strRef>
              <c:f>'Cotton (All)'!$CM$6</c:f>
              <c:strCache>
                <c:ptCount val="1"/>
                <c:pt idx="0">
                  <c:v>Bahrain, Bazaar (Local), in pound/ton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(All)'!$CM$7:$CM$107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160"/>
          <c:order val="82"/>
          <c:tx>
            <c:strRef>
              <c:f>'Cotton (All)'!$CN$6</c:f>
              <c:strCache>
                <c:ptCount val="1"/>
                <c:pt idx="0">
                  <c:v>Muscat, Imports, in pound/ton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(All)'!$CN$7:$CN$107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162"/>
          <c:order val="83"/>
          <c:tx>
            <c:strRef>
              <c:f>'Cotton (All)'!$CO$6</c:f>
              <c:strCache>
                <c:ptCount val="1"/>
                <c:pt idx="0">
                  <c:v>Muscat, Exports, in pound/ton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(All)'!$CO$7:$CO$107</c:f>
              <c:numCache>
                <c:formatCode>0.0000</c:formatCode>
                <c:ptCount val="92"/>
                <c:pt idx="34">
                  <c:v>32.923704954954999</c:v>
                </c:pt>
                <c:pt idx="35">
                  <c:v>26.974147982387603</c:v>
                </c:pt>
                <c:pt idx="36">
                  <c:v>25.017781205643001</c:v>
                </c:pt>
                <c:pt idx="37">
                  <c:v>24.758061518109802</c:v>
                </c:pt>
                <c:pt idx="38">
                  <c:v>23.741767088631999</c:v>
                </c:pt>
                <c:pt idx="39">
                  <c:v>33.852890118396203</c:v>
                </c:pt>
                <c:pt idx="40">
                  <c:v>29.500768855672401</c:v>
                </c:pt>
                <c:pt idx="41">
                  <c:v>35.0198122157528</c:v>
                </c:pt>
                <c:pt idx="42">
                  <c:v>8.0717230648902607</c:v>
                </c:pt>
                <c:pt idx="43">
                  <c:v>9.3494676511821204</c:v>
                </c:pt>
                <c:pt idx="44">
                  <c:v>32.013274528547797</c:v>
                </c:pt>
                <c:pt idx="45">
                  <c:v>5.9407349723115397</c:v>
                </c:pt>
                <c:pt idx="46">
                  <c:v>14.63947928176224</c:v>
                </c:pt>
                <c:pt idx="47">
                  <c:v>16.14778926836804</c:v>
                </c:pt>
                <c:pt idx="48">
                  <c:v>20.334357709799804</c:v>
                </c:pt>
                <c:pt idx="49">
                  <c:v>20.157789384678399</c:v>
                </c:pt>
                <c:pt idx="50">
                  <c:v>22.646427536861601</c:v>
                </c:pt>
                <c:pt idx="51">
                  <c:v>20.354118990372999</c:v>
                </c:pt>
                <c:pt idx="52">
                  <c:v>19.74998841285014</c:v>
                </c:pt>
                <c:pt idx="53">
                  <c:v>20.637962838606001</c:v>
                </c:pt>
                <c:pt idx="54">
                  <c:v>14.3777431370277</c:v>
                </c:pt>
                <c:pt idx="70">
                  <c:v>55.490196078431396</c:v>
                </c:pt>
                <c:pt idx="71">
                  <c:v>63.8888888888888</c:v>
                </c:pt>
              </c:numCache>
            </c:numRef>
          </c:val>
          <c:smooth val="0"/>
        </c:ser>
        <c:ser>
          <c:idx val="164"/>
          <c:order val="84"/>
          <c:tx>
            <c:strRef>
              <c:f>'Cotton (All)'!$CP$6</c:f>
              <c:strCache>
                <c:ptCount val="1"/>
                <c:pt idx="0">
                  <c:v>Muscat, Bazaar (Local), in pound/ton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(All)'!$CP$7:$CP$107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166"/>
          <c:order val="85"/>
          <c:tx>
            <c:strRef>
              <c:f>'Cotton (All)'!$CQ$6</c:f>
              <c:strCache>
                <c:ptCount val="1"/>
                <c:pt idx="0">
                  <c:v>Mohammerah, Imports, in pound/ton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(All)'!$CQ$7:$CQ$107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168"/>
          <c:order val="86"/>
          <c:tx>
            <c:strRef>
              <c:f>'Cotton (All)'!$CR$6</c:f>
              <c:strCache>
                <c:ptCount val="1"/>
                <c:pt idx="0">
                  <c:v>Mohammerah, Exports, in pound/ton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(All)'!$CR$7:$CR$107</c:f>
              <c:numCache>
                <c:formatCode>0.0000</c:formatCode>
                <c:ptCount val="92"/>
                <c:pt idx="50">
                  <c:v>30.6666666666666</c:v>
                </c:pt>
                <c:pt idx="60">
                  <c:v>25.886654478976201</c:v>
                </c:pt>
                <c:pt idx="61">
                  <c:v>22.788844621513999</c:v>
                </c:pt>
                <c:pt idx="62">
                  <c:v>22.956669498725599</c:v>
                </c:pt>
              </c:numCache>
            </c:numRef>
          </c:val>
          <c:smooth val="0"/>
        </c:ser>
        <c:ser>
          <c:idx val="170"/>
          <c:order val="87"/>
          <c:tx>
            <c:strRef>
              <c:f>'Cotton (All)'!$CS$6</c:f>
              <c:strCache>
                <c:ptCount val="1"/>
                <c:pt idx="0">
                  <c:v>Mohammerah, Bazaar (Local), in pound/ton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(All)'!$CS$7:$CS$107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172"/>
          <c:order val="88"/>
          <c:tx>
            <c:strRef>
              <c:f>'Cotton (All)'!$CT$6</c:f>
              <c:strCache>
                <c:ptCount val="1"/>
                <c:pt idx="0">
                  <c:v>Lingah, Imports, in pound/ton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(All)'!$CT$7:$CT$107</c:f>
              <c:numCache>
                <c:formatCode>0.0000</c:formatCode>
                <c:ptCount val="92"/>
                <c:pt idx="47">
                  <c:v>41.592039800994996</c:v>
                </c:pt>
                <c:pt idx="48">
                  <c:v>29.846153846153797</c:v>
                </c:pt>
                <c:pt idx="49">
                  <c:v>27.3555555555556</c:v>
                </c:pt>
                <c:pt idx="50">
                  <c:v>27.9850746268656</c:v>
                </c:pt>
                <c:pt idx="51">
                  <c:v>21.446111869031398</c:v>
                </c:pt>
                <c:pt idx="52">
                  <c:v>22.135593220339</c:v>
                </c:pt>
                <c:pt idx="53">
                  <c:v>38.685714285714198</c:v>
                </c:pt>
                <c:pt idx="54">
                  <c:v>20.453333333333397</c:v>
                </c:pt>
                <c:pt idx="55">
                  <c:v>22.025000000000002</c:v>
                </c:pt>
                <c:pt idx="56">
                  <c:v>17.649999999999999</c:v>
                </c:pt>
                <c:pt idx="57">
                  <c:v>19.650000000000002</c:v>
                </c:pt>
                <c:pt idx="58">
                  <c:v>15.625</c:v>
                </c:pt>
                <c:pt idx="59">
                  <c:v>20.714285714285801</c:v>
                </c:pt>
                <c:pt idx="60">
                  <c:v>23.173913043478201</c:v>
                </c:pt>
                <c:pt idx="61">
                  <c:v>20.9142857142858</c:v>
                </c:pt>
                <c:pt idx="67">
                  <c:v>34.375</c:v>
                </c:pt>
                <c:pt idx="70">
                  <c:v>21.818181818181799</c:v>
                </c:pt>
                <c:pt idx="71">
                  <c:v>42.531645569620196</c:v>
                </c:pt>
                <c:pt idx="72">
                  <c:v>46.956521739130402</c:v>
                </c:pt>
              </c:numCache>
            </c:numRef>
          </c:val>
          <c:smooth val="0"/>
        </c:ser>
        <c:ser>
          <c:idx val="174"/>
          <c:order val="89"/>
          <c:tx>
            <c:strRef>
              <c:f>'Cotton (All)'!$CU$6</c:f>
              <c:strCache>
                <c:ptCount val="1"/>
                <c:pt idx="0">
                  <c:v>Lingah, Exports, in pound/ton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(All)'!$CU$7:$CU$107</c:f>
              <c:numCache>
                <c:formatCode>0.0000</c:formatCode>
                <c:ptCount val="92"/>
                <c:pt idx="57">
                  <c:v>22.5</c:v>
                </c:pt>
                <c:pt idx="58">
                  <c:v>18.785714285714278</c:v>
                </c:pt>
                <c:pt idx="59">
                  <c:v>20</c:v>
                </c:pt>
                <c:pt idx="60">
                  <c:v>20</c:v>
                </c:pt>
                <c:pt idx="61">
                  <c:v>19.2</c:v>
                </c:pt>
                <c:pt idx="66">
                  <c:v>36.754385964912203</c:v>
                </c:pt>
                <c:pt idx="67">
                  <c:v>39.122807017543799</c:v>
                </c:pt>
                <c:pt idx="68">
                  <c:v>33.157894736842202</c:v>
                </c:pt>
                <c:pt idx="69">
                  <c:v>33.714285714285801</c:v>
                </c:pt>
                <c:pt idx="70">
                  <c:v>43.267973856209203</c:v>
                </c:pt>
                <c:pt idx="71">
                  <c:v>50.940170940171001</c:v>
                </c:pt>
                <c:pt idx="72">
                  <c:v>56.25</c:v>
                </c:pt>
              </c:numCache>
            </c:numRef>
          </c:val>
          <c:smooth val="0"/>
        </c:ser>
        <c:ser>
          <c:idx val="176"/>
          <c:order val="90"/>
          <c:tx>
            <c:strRef>
              <c:f>'Cotton (All)'!$CV$6</c:f>
              <c:strCache>
                <c:ptCount val="1"/>
                <c:pt idx="0">
                  <c:v>Lingah, Bazaar (Local), in pound/ton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(All)'!$CV$7:$CV$107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178"/>
          <c:order val="91"/>
          <c:tx>
            <c:strRef>
              <c:f>'Cotton (All)'!$CW$6</c:f>
              <c:strCache>
                <c:ptCount val="1"/>
                <c:pt idx="0">
                  <c:v>Shiraz, Imports, in pound/ton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(All)'!$CW$7:$CW$107</c:f>
              <c:numCache>
                <c:formatCode>General</c:formatCode>
                <c:ptCount val="92"/>
              </c:numCache>
            </c:numRef>
          </c:val>
          <c:smooth val="0"/>
        </c:ser>
        <c:ser>
          <c:idx val="180"/>
          <c:order val="92"/>
          <c:tx>
            <c:strRef>
              <c:f>'Cotton (All)'!$CX$6</c:f>
              <c:strCache>
                <c:ptCount val="1"/>
                <c:pt idx="0">
                  <c:v>Shiraz, Exports, in pound/ton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(All)'!$CX$7:$CX$107</c:f>
              <c:numCache>
                <c:formatCode>General</c:formatCode>
                <c:ptCount val="92"/>
                <c:pt idx="47" formatCode="0.0000">
                  <c:v>25.5647508010126</c:v>
                </c:pt>
                <c:pt idx="48" formatCode="0.0000">
                  <c:v>22.711864503954203</c:v>
                </c:pt>
                <c:pt idx="49" formatCode="0.0000">
                  <c:v>24.088995135765799</c:v>
                </c:pt>
                <c:pt idx="50" formatCode="0.0000">
                  <c:v>20.667916249074199</c:v>
                </c:pt>
                <c:pt idx="51" formatCode="0.0000">
                  <c:v>26.044226044226001</c:v>
                </c:pt>
                <c:pt idx="52" formatCode="0.0000">
                  <c:v>9.5237854251012202</c:v>
                </c:pt>
                <c:pt idx="54" formatCode="0.0000">
                  <c:v>10.371111111111119</c:v>
                </c:pt>
                <c:pt idx="55" formatCode="0.0000">
                  <c:v>12.34545454545454</c:v>
                </c:pt>
                <c:pt idx="56" formatCode="0.0000">
                  <c:v>10.457333333333342</c:v>
                </c:pt>
                <c:pt idx="58" formatCode="0.0000">
                  <c:v>10.649251135980579</c:v>
                </c:pt>
                <c:pt idx="59" formatCode="0.0000">
                  <c:v>11.660773996879481</c:v>
                </c:pt>
                <c:pt idx="60" formatCode="0.0000">
                  <c:v>9.7364404621986793</c:v>
                </c:pt>
                <c:pt idx="61" formatCode="0.0000">
                  <c:v>8.8886486486486405</c:v>
                </c:pt>
              </c:numCache>
            </c:numRef>
          </c:val>
          <c:smooth val="0"/>
        </c:ser>
        <c:ser>
          <c:idx val="182"/>
          <c:order val="93"/>
          <c:tx>
            <c:strRef>
              <c:f>'Cotton (All)'!$CY$6</c:f>
              <c:strCache>
                <c:ptCount val="1"/>
                <c:pt idx="0">
                  <c:v>Shiraz, Bazaar (Local), in pound/ton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(All)'!$CY$7:$CY$107</c:f>
              <c:numCache>
                <c:formatCode>General</c:formatCode>
                <c:ptCount val="92"/>
              </c:numCache>
            </c:numRef>
          </c:val>
          <c:smooth val="0"/>
        </c:ser>
        <c:ser>
          <c:idx val="0"/>
          <c:order val="94"/>
          <c:tx>
            <c:strRef>
              <c:f>'Cotton (All)'!$CZ$6</c:f>
              <c:strCache>
                <c:ptCount val="1"/>
                <c:pt idx="0">
                  <c:v>India, Imports, in pound/ton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(All)'!$CZ$7:$CZ$107</c:f>
              <c:numCache>
                <c:formatCode>General</c:formatCode>
                <c:ptCount val="92"/>
                <c:pt idx="55" formatCode="0.0000">
                  <c:v>26.441727695381072</c:v>
                </c:pt>
                <c:pt idx="56" formatCode="0.0000">
                  <c:v>22.227095956327233</c:v>
                </c:pt>
                <c:pt idx="57" formatCode="0.0000">
                  <c:v>27.554470625297881</c:v>
                </c:pt>
                <c:pt idx="58" formatCode="0.0000">
                  <c:v>27.267846051859745</c:v>
                </c:pt>
                <c:pt idx="59" formatCode="0.0000">
                  <c:v>30.717412191736951</c:v>
                </c:pt>
                <c:pt idx="60" formatCode="0.0000">
                  <c:v>32.649805344421196</c:v>
                </c:pt>
                <c:pt idx="61" formatCode="0.0000">
                  <c:v>41.493868054383832</c:v>
                </c:pt>
                <c:pt idx="62" formatCode="0.0000">
                  <c:v>34.557332789975042</c:v>
                </c:pt>
                <c:pt idx="63" formatCode="0.0000">
                  <c:v>33.476361805771482</c:v>
                </c:pt>
                <c:pt idx="64" formatCode="0.0000">
                  <c:v>36.686908474205367</c:v>
                </c:pt>
                <c:pt idx="65" formatCode="0.0000">
                  <c:v>44.215440863342231</c:v>
                </c:pt>
                <c:pt idx="66" formatCode="0.0000">
                  <c:v>44.615794297604594</c:v>
                </c:pt>
                <c:pt idx="67" formatCode="0.0000">
                  <c:v>52.656844351882128</c:v>
                </c:pt>
                <c:pt idx="68" formatCode="0.0000">
                  <c:v>60.056878416037677</c:v>
                </c:pt>
                <c:pt idx="69" formatCode="0.0000">
                  <c:v>56.345916310056019</c:v>
                </c:pt>
                <c:pt idx="70" formatCode="0.0000">
                  <c:v>47.637083218077755</c:v>
                </c:pt>
                <c:pt idx="71" formatCode="0.0000">
                  <c:v>56.748139807025673</c:v>
                </c:pt>
                <c:pt idx="72" formatCode="0.0000">
                  <c:v>57.621267825888836</c:v>
                </c:pt>
                <c:pt idx="73" formatCode="0.0000">
                  <c:v>54.101457657858198</c:v>
                </c:pt>
                <c:pt idx="74" formatCode="0.0000">
                  <c:v>64.846193626620533</c:v>
                </c:pt>
                <c:pt idx="75" formatCode="0.0000">
                  <c:v>45.244909831297264</c:v>
                </c:pt>
                <c:pt idx="76" formatCode="0.0000">
                  <c:v>51.444856311530948</c:v>
                </c:pt>
                <c:pt idx="77" formatCode="0.0000">
                  <c:v>87.170590170799557</c:v>
                </c:pt>
                <c:pt idx="78" formatCode="0.0000">
                  <c:v>106.46591725396547</c:v>
                </c:pt>
                <c:pt idx="79" formatCode="0.0000">
                  <c:v>172.01157370197717</c:v>
                </c:pt>
                <c:pt idx="80" formatCode="0.0000">
                  <c:v>205.260146232913</c:v>
                </c:pt>
              </c:numCache>
            </c:numRef>
          </c:val>
          <c:smooth val="0"/>
        </c:ser>
        <c:ser>
          <c:idx val="3"/>
          <c:order val="95"/>
          <c:tx>
            <c:strRef>
              <c:f>'Cotton (All)'!$DA$6</c:f>
              <c:strCache>
                <c:ptCount val="1"/>
                <c:pt idx="0">
                  <c:v>India, Exports, in pound/ton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(All)'!$DA$7:$DA$107</c:f>
              <c:numCache>
                <c:formatCode>General</c:formatCode>
                <c:ptCount val="92"/>
                <c:pt idx="21" formatCode="0.0000">
                  <c:v>37.70899959444975</c:v>
                </c:pt>
                <c:pt idx="22" formatCode="0.0000">
                  <c:v>56.322602546276173</c:v>
                </c:pt>
                <c:pt idx="23" formatCode="0.0000">
                  <c:v>100.62043755974622</c:v>
                </c:pt>
                <c:pt idx="24" formatCode="0.0000">
                  <c:v>160.17130876857561</c:v>
                </c:pt>
                <c:pt idx="25" formatCode="0.0000">
                  <c:v>93.298037788592438</c:v>
                </c:pt>
                <c:pt idx="26" formatCode="0.0000">
                  <c:v>111.45870448422698</c:v>
                </c:pt>
                <c:pt idx="27" formatCode="0.0000">
                  <c:v>72.946575997219071</c:v>
                </c:pt>
                <c:pt idx="28" formatCode="0.0000">
                  <c:v>62.354972385053273</c:v>
                </c:pt>
                <c:pt idx="29" formatCode="0.0000">
                  <c:v>65.242224828628878</c:v>
                </c:pt>
                <c:pt idx="30" formatCode="0.0000">
                  <c:v>79.3095805844371</c:v>
                </c:pt>
                <c:pt idx="31" formatCode="0.0000">
                  <c:v>64.725131759869257</c:v>
                </c:pt>
                <c:pt idx="32" formatCode="0.0000">
                  <c:v>62.13158962889414</c:v>
                </c:pt>
                <c:pt idx="33" formatCode="0.0000">
                  <c:v>67.133429452399582</c:v>
                </c:pt>
                <c:pt idx="34" formatCode="0.0000">
                  <c:v>58.017297260756493</c:v>
                </c:pt>
                <c:pt idx="35" formatCode="0.0000">
                  <c:v>54.461256135023739</c:v>
                </c:pt>
                <c:pt idx="36" formatCode="0.0000">
                  <c:v>50.019138274550848</c:v>
                </c:pt>
                <c:pt idx="37" formatCode="0.0000">
                  <c:v>52.673788614885112</c:v>
                </c:pt>
                <c:pt idx="38" formatCode="0.0000">
                  <c:v>48.723339719647981</c:v>
                </c:pt>
                <c:pt idx="39" formatCode="0.0000">
                  <c:v>48.868662062639274</c:v>
                </c:pt>
                <c:pt idx="40" formatCode="0.0000">
                  <c:v>54.846983567403811</c:v>
                </c:pt>
                <c:pt idx="41" formatCode="0.0000">
                  <c:v>54.076030695455401</c:v>
                </c:pt>
                <c:pt idx="42" formatCode="0.0000">
                  <c:v>50.107432185228362</c:v>
                </c:pt>
                <c:pt idx="43" formatCode="0.0000">
                  <c:v>44.889346113824601</c:v>
                </c:pt>
                <c:pt idx="44" formatCode="0.0000">
                  <c:v>45.534567705318757</c:v>
                </c:pt>
                <c:pt idx="45" formatCode="0.0000">
                  <c:v>46.883211521405293</c:v>
                </c:pt>
                <c:pt idx="46" formatCode="0.0000">
                  <c:v>41.920012454000762</c:v>
                </c:pt>
                <c:pt idx="47" formatCode="0.0000">
                  <c:v>40.837894338652362</c:v>
                </c:pt>
                <c:pt idx="48" formatCode="0.0000">
                  <c:v>43.212732775731311</c:v>
                </c:pt>
                <c:pt idx="49" formatCode="0.0000">
                  <c:v>43.155922860875648</c:v>
                </c:pt>
                <c:pt idx="50" formatCode="0.0000">
                  <c:v>49.185332178642042</c:v>
                </c:pt>
                <c:pt idx="51" formatCode="0.0000">
                  <c:v>43.26866260756475</c:v>
                </c:pt>
                <c:pt idx="52" formatCode="0.0000">
                  <c:v>33.586925534239327</c:v>
                </c:pt>
                <c:pt idx="53" formatCode="0.0000">
                  <c:v>38.029469549926489</c:v>
                </c:pt>
                <c:pt idx="54" formatCode="0.0000">
                  <c:v>29.271050703460567</c:v>
                </c:pt>
                <c:pt idx="55" formatCode="0.0000">
                  <c:v>27.517253428424659</c:v>
                </c:pt>
                <c:pt idx="56" formatCode="0.0000">
                  <c:v>33.243164452342747</c:v>
                </c:pt>
                <c:pt idx="57" formatCode="0.0000">
                  <c:v>32.479581515352351</c:v>
                </c:pt>
                <c:pt idx="58" formatCode="0.0000">
                  <c:v>29.626052566780515</c:v>
                </c:pt>
                <c:pt idx="59" formatCode="0.0000">
                  <c:v>27.140638062816155</c:v>
                </c:pt>
                <c:pt idx="60" formatCode="0.0000">
                  <c:v>34.281129971023475</c:v>
                </c:pt>
                <c:pt idx="61" formatCode="0.0000">
                  <c:v>38.506902392765689</c:v>
                </c:pt>
                <c:pt idx="62" formatCode="0.0000">
                  <c:v>35.630626878015036</c:v>
                </c:pt>
                <c:pt idx="63" formatCode="0.0000">
                  <c:v>33.49689387469067</c:v>
                </c:pt>
                <c:pt idx="64" formatCode="0.0000">
                  <c:v>42.008924410792218</c:v>
                </c:pt>
                <c:pt idx="65" formatCode="0.0000">
                  <c:v>39.07758067546952</c:v>
                </c:pt>
                <c:pt idx="66" formatCode="0.0000">
                  <c:v>41.075471274282258</c:v>
                </c:pt>
                <c:pt idx="67" formatCode="0.0000">
                  <c:v>42.992426937771562</c:v>
                </c:pt>
                <c:pt idx="68" formatCode="0.0000">
                  <c:v>41.620566720092008</c:v>
                </c:pt>
                <c:pt idx="69" formatCode="0.0000">
                  <c:v>40.492000610959579</c:v>
                </c:pt>
                <c:pt idx="70" formatCode="0.0000">
                  <c:v>46.913200675754325</c:v>
                </c:pt>
                <c:pt idx="71" formatCode="0.0000">
                  <c:v>55.310472808964064</c:v>
                </c:pt>
                <c:pt idx="72" formatCode="0.0000">
                  <c:v>49.467507394354492</c:v>
                </c:pt>
                <c:pt idx="73" formatCode="0.0000">
                  <c:v>50.900062145978126</c:v>
                </c:pt>
                <c:pt idx="74" formatCode="0.0000">
                  <c:v>41.257894910832121</c:v>
                </c:pt>
                <c:pt idx="75" formatCode="0.0000">
                  <c:v>21.964285714285719</c:v>
                </c:pt>
                <c:pt idx="76" formatCode="0.0000">
                  <c:v>31.285714285714288</c:v>
                </c:pt>
                <c:pt idx="77" formatCode="0.0000">
                  <c:v>49.392857142857146</c:v>
                </c:pt>
                <c:pt idx="78" formatCode="0.0000">
                  <c:v>69.964285714285722</c:v>
                </c:pt>
                <c:pt idx="79" formatCode="0.0000">
                  <c:v>68.035714285714292</c:v>
                </c:pt>
                <c:pt idx="80" formatCode="0.0000">
                  <c:v>53.866071428571438</c:v>
                </c:pt>
                <c:pt idx="81" formatCode="0.0000">
                  <c:v>34.607142857142861</c:v>
                </c:pt>
                <c:pt idx="82" formatCode="0.0000">
                  <c:v>54.937500000000007</c:v>
                </c:pt>
                <c:pt idx="83" formatCode="0.0000">
                  <c:v>53.517857142857153</c:v>
                </c:pt>
                <c:pt idx="84" formatCode="0.0000">
                  <c:v>62.383928571428577</c:v>
                </c:pt>
                <c:pt idx="85" formatCode="0.0000">
                  <c:v>49.232142857142868</c:v>
                </c:pt>
                <c:pt idx="86" formatCode="0.0000">
                  <c:v>37.098214285714292</c:v>
                </c:pt>
                <c:pt idx="87" formatCode="0.0000">
                  <c:v>31.714285714285719</c:v>
                </c:pt>
                <c:pt idx="88" formatCode="0.0000">
                  <c:v>42.589285714285722</c:v>
                </c:pt>
                <c:pt idx="89" formatCode="0.0000">
                  <c:v>36.375000000000007</c:v>
                </c:pt>
                <c:pt idx="90" formatCode="0.0000">
                  <c:v>25.046218487394956</c:v>
                </c:pt>
                <c:pt idx="91" formatCode="0.0000">
                  <c:v>18.025210084033613</c:v>
                </c:pt>
              </c:numCache>
            </c:numRef>
          </c:val>
          <c:smooth val="0"/>
        </c:ser>
        <c:ser>
          <c:idx val="6"/>
          <c:order val="96"/>
          <c:tx>
            <c:strRef>
              <c:f>'Cotton (All)'!$DB$6</c:f>
              <c:strCache>
                <c:ptCount val="1"/>
                <c:pt idx="0">
                  <c:v>India, Wholesale, in pound/ton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'Cotton (All)'!$DB$7:$DB$107</c:f>
              <c:numCache>
                <c:formatCode>General</c:formatCode>
                <c:ptCount val="92"/>
                <c:pt idx="33" formatCode="0.0000">
                  <c:v>64.005187005186997</c:v>
                </c:pt>
                <c:pt idx="44" formatCode="0.0000">
                  <c:v>43.960737320112329</c:v>
                </c:pt>
                <c:pt idx="45" formatCode="0.0000">
                  <c:v>44.295691287878789</c:v>
                </c:pt>
                <c:pt idx="46" formatCode="0.0000">
                  <c:v>37.586872586872595</c:v>
                </c:pt>
                <c:pt idx="47" formatCode="0.0000">
                  <c:v>40.141369047619051</c:v>
                </c:pt>
                <c:pt idx="48" formatCode="0.0000">
                  <c:v>39.785118925743937</c:v>
                </c:pt>
                <c:pt idx="49" formatCode="0.0000">
                  <c:v>45.788309402939042</c:v>
                </c:pt>
                <c:pt idx="50" formatCode="0.0000">
                  <c:v>45.672900579150586</c:v>
                </c:pt>
                <c:pt idx="51" formatCode="0.0000">
                  <c:v>38.80188853626354</c:v>
                </c:pt>
                <c:pt idx="52" formatCode="0.0000">
                  <c:v>34.49369317655318</c:v>
                </c:pt>
                <c:pt idx="53" formatCode="0.0000">
                  <c:v>37.750710099740132</c:v>
                </c:pt>
                <c:pt idx="54" formatCode="0.0000">
                  <c:v>29.70512333745312</c:v>
                </c:pt>
                <c:pt idx="55" formatCode="0.0000">
                  <c:v>29.8348502310734</c:v>
                </c:pt>
                <c:pt idx="56" formatCode="0.0000">
                  <c:v>33.307096818580185</c:v>
                </c:pt>
                <c:pt idx="57" formatCode="0.0000">
                  <c:v>31.924256800790662</c:v>
                </c:pt>
                <c:pt idx="58" formatCode="0.0000">
                  <c:v>27.10253853985056</c:v>
                </c:pt>
                <c:pt idx="59" formatCode="0.0000">
                  <c:v>29.183052208926451</c:v>
                </c:pt>
                <c:pt idx="60" formatCode="0.0000">
                  <c:v>44.153751886413488</c:v>
                </c:pt>
                <c:pt idx="61" formatCode="0.0000">
                  <c:v>36.323255966572518</c:v>
                </c:pt>
                <c:pt idx="62" formatCode="0.0000">
                  <c:v>34.203217503217502</c:v>
                </c:pt>
                <c:pt idx="63" formatCode="0.0000">
                  <c:v>42.621307673240395</c:v>
                </c:pt>
                <c:pt idx="64" formatCode="0.0000">
                  <c:v>52.067436585563151</c:v>
                </c:pt>
                <c:pt idx="65" formatCode="0.0000">
                  <c:v>39.306850683425246</c:v>
                </c:pt>
                <c:pt idx="66" formatCode="0.0000">
                  <c:v>45.149619749591032</c:v>
                </c:pt>
                <c:pt idx="67" formatCode="0.0000">
                  <c:v>45.880511763116182</c:v>
                </c:pt>
                <c:pt idx="68" formatCode="0.0000">
                  <c:v>43.233213097821761</c:v>
                </c:pt>
                <c:pt idx="69" formatCode="0.0000">
                  <c:v>49.973607855304287</c:v>
                </c:pt>
                <c:pt idx="70" formatCode="0.0000">
                  <c:v>58.73648672135684</c:v>
                </c:pt>
                <c:pt idx="71" formatCode="0.0000">
                  <c:v>56.264084492018846</c:v>
                </c:pt>
                <c:pt idx="72" formatCode="0.0000">
                  <c:v>53.130238203936322</c:v>
                </c:pt>
                <c:pt idx="73" formatCode="0.0000">
                  <c:v>55.561888376411112</c:v>
                </c:pt>
                <c:pt idx="74" formatCode="0.0000">
                  <c:v>39.666666666666664</c:v>
                </c:pt>
                <c:pt idx="75" formatCode="0.0000">
                  <c:v>40.541666666666664</c:v>
                </c:pt>
                <c:pt idx="76" formatCode="0.0000">
                  <c:v>57.166666666666664</c:v>
                </c:pt>
                <c:pt idx="77" formatCode="0.0000">
                  <c:v>91.956018311111109</c:v>
                </c:pt>
                <c:pt idx="78" formatCode="0.0000">
                  <c:v>137.92534248888887</c:v>
                </c:pt>
                <c:pt idx="79" formatCode="0.0000">
                  <c:v>120.48563084870447</c:v>
                </c:pt>
                <c:pt idx="80" formatCode="0.0000">
                  <c:v>120.32973756542037</c:v>
                </c:pt>
              </c:numCache>
            </c:numRef>
          </c:val>
          <c:smooth val="0"/>
        </c:ser>
        <c:ser>
          <c:idx val="8"/>
          <c:order val="97"/>
          <c:tx>
            <c:strRef>
              <c:f>'Cotton (All)'!$AF$6</c:f>
              <c:strCache>
                <c:ptCount val="1"/>
                <c:pt idx="0">
                  <c:v>Istanbul (Nallrihan), Imports, in pound/ton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val>
            <c:numRef>
              <c:f>'Cotton (All)'!$AF$7:$AF$107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10"/>
          <c:order val="98"/>
          <c:tx>
            <c:strRef>
              <c:f>'Cotton (All)'!$AG$6</c:f>
              <c:strCache>
                <c:ptCount val="1"/>
                <c:pt idx="0">
                  <c:v>Istanbul (Nallrihan), Exports, in pound/ton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val>
            <c:numRef>
              <c:f>'Cotton (All)'!$AG$7:$AG$107</c:f>
              <c:numCache>
                <c:formatCode>0.0000</c:formatCode>
                <c:ptCount val="92"/>
              </c:numCache>
            </c:numRef>
          </c:val>
          <c:smooth val="0"/>
        </c:ser>
        <c:ser>
          <c:idx val="12"/>
          <c:order val="99"/>
          <c:tx>
            <c:strRef>
              <c:f>'Cotton (All)'!$AH$6</c:f>
              <c:strCache>
                <c:ptCount val="1"/>
                <c:pt idx="0">
                  <c:v>Istanbul (Nallrihan), Bazaar (Local), in pound/ton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val>
            <c:numRef>
              <c:f>'Cotton (All)'!$AH$7:$AH$107</c:f>
              <c:numCache>
                <c:formatCode>0.0000</c:formatCode>
                <c:ptCount val="92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324864"/>
        <c:axId val="609325424"/>
      </c:lineChart>
      <c:catAx>
        <c:axId val="609324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325424"/>
        <c:crosses val="autoZero"/>
        <c:auto val="1"/>
        <c:lblAlgn val="ctr"/>
        <c:lblOffset val="100"/>
        <c:noMultiLvlLbl val="0"/>
      </c:catAx>
      <c:valAx>
        <c:axId val="609325424"/>
        <c:scaling>
          <c:orientation val="minMax"/>
          <c:max val="2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32486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5480540778341336"/>
          <c:y val="2.7022325866908663E-2"/>
          <c:w val="0.42450218554367336"/>
          <c:h val="0.849736654897174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Cotton, UK &amp; Ottomon Empire, in pound/ton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'Cotton (Adjusted)'!$C$6</c:f>
              <c:strCache>
                <c:ptCount val="1"/>
                <c:pt idx="0">
                  <c:v>UK, Imports, in pound/ton</c:v>
                </c:pt>
              </c:strCache>
            </c:strRef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(Adjusted)'!$C$7:$C$107</c:f>
              <c:numCache>
                <c:formatCode>0.0000</c:formatCode>
                <c:ptCount val="81"/>
                <c:pt idx="3">
                  <c:v>50.931138031789246</c:v>
                </c:pt>
                <c:pt idx="4">
                  <c:v>52.369578216521809</c:v>
                </c:pt>
                <c:pt idx="5">
                  <c:v>57.861914480692192</c:v>
                </c:pt>
                <c:pt idx="6">
                  <c:v>67.6835794192544</c:v>
                </c:pt>
                <c:pt idx="7">
                  <c:v>65.200481895461252</c:v>
                </c:pt>
                <c:pt idx="8">
                  <c:v>63.143780322374681</c:v>
                </c:pt>
                <c:pt idx="9">
                  <c:v>57.58375050023794</c:v>
                </c:pt>
                <c:pt idx="10">
                  <c:v>68.881991197067322</c:v>
                </c:pt>
                <c:pt idx="11">
                  <c:v>132.92360761835465</c:v>
                </c:pt>
                <c:pt idx="12">
                  <c:v>188.14404533993084</c:v>
                </c:pt>
                <c:pt idx="13">
                  <c:v>195.96352875846935</c:v>
                </c:pt>
                <c:pt idx="14">
                  <c:v>151.19999999999999</c:v>
                </c:pt>
                <c:pt idx="15">
                  <c:v>126</c:v>
                </c:pt>
                <c:pt idx="16">
                  <c:v>92.2</c:v>
                </c:pt>
                <c:pt idx="17">
                  <c:v>93.000000000000014</c:v>
                </c:pt>
                <c:pt idx="18">
                  <c:v>104.2</c:v>
                </c:pt>
                <c:pt idx="19">
                  <c:v>89.4</c:v>
                </c:pt>
                <c:pt idx="20">
                  <c:v>70.400000000000006</c:v>
                </c:pt>
                <c:pt idx="21">
                  <c:v>84.800000000000011</c:v>
                </c:pt>
                <c:pt idx="22">
                  <c:v>80.2</c:v>
                </c:pt>
                <c:pt idx="23">
                  <c:v>72.400000000000006</c:v>
                </c:pt>
                <c:pt idx="24">
                  <c:v>69.400000000000006</c:v>
                </c:pt>
                <c:pt idx="25">
                  <c:v>60.4</c:v>
                </c:pt>
                <c:pt idx="26">
                  <c:v>58.6</c:v>
                </c:pt>
                <c:pt idx="27">
                  <c:v>55.999999999999993</c:v>
                </c:pt>
                <c:pt idx="28">
                  <c:v>55.199999999999996</c:v>
                </c:pt>
                <c:pt idx="29">
                  <c:v>58.8</c:v>
                </c:pt>
                <c:pt idx="30">
                  <c:v>58.4</c:v>
                </c:pt>
                <c:pt idx="31">
                  <c:v>58.6</c:v>
                </c:pt>
                <c:pt idx="32">
                  <c:v>58.20000000000001</c:v>
                </c:pt>
                <c:pt idx="33">
                  <c:v>57</c:v>
                </c:pt>
                <c:pt idx="34">
                  <c:v>57.199999999999996</c:v>
                </c:pt>
                <c:pt idx="35">
                  <c:v>49.800000000000004</c:v>
                </c:pt>
                <c:pt idx="36">
                  <c:v>50.199999999999996</c:v>
                </c:pt>
                <c:pt idx="37">
                  <c:v>51.8</c:v>
                </c:pt>
                <c:pt idx="38">
                  <c:v>52.8</c:v>
                </c:pt>
                <c:pt idx="39">
                  <c:v>53.399999999999991</c:v>
                </c:pt>
                <c:pt idx="40">
                  <c:v>51.8</c:v>
                </c:pt>
                <c:pt idx="41">
                  <c:v>47.800000000000004</c:v>
                </c:pt>
                <c:pt idx="42">
                  <c:v>48.533333333333331</c:v>
                </c:pt>
                <c:pt idx="43">
                  <c:v>41.25333333333333</c:v>
                </c:pt>
                <c:pt idx="44">
                  <c:v>38.826666666666668</c:v>
                </c:pt>
                <c:pt idx="45">
                  <c:v>46.293333333333329</c:v>
                </c:pt>
                <c:pt idx="46">
                  <c:v>41.81333333333334</c:v>
                </c:pt>
                <c:pt idx="47">
                  <c:v>35.93333333333333</c:v>
                </c:pt>
                <c:pt idx="48">
                  <c:v>38.080000000000005</c:v>
                </c:pt>
                <c:pt idx="49">
                  <c:v>52.173333333333332</c:v>
                </c:pt>
                <c:pt idx="50">
                  <c:v>51.426666666666662</c:v>
                </c:pt>
                <c:pt idx="51">
                  <c:v>50.773333333333333</c:v>
                </c:pt>
                <c:pt idx="52">
                  <c:v>56</c:v>
                </c:pt>
                <c:pt idx="53">
                  <c:v>62.626666666666665</c:v>
                </c:pt>
                <c:pt idx="54">
                  <c:v>53.013333333333328</c:v>
                </c:pt>
                <c:pt idx="55">
                  <c:v>70.14</c:v>
                </c:pt>
                <c:pt idx="56">
                  <c:v>77.513333333333335</c:v>
                </c:pt>
                <c:pt idx="57">
                  <c:v>71.586666666666659</c:v>
                </c:pt>
                <c:pt idx="58">
                  <c:v>71.213333333333338</c:v>
                </c:pt>
                <c:pt idx="59">
                  <c:v>97.486666666666665</c:v>
                </c:pt>
                <c:pt idx="60">
                  <c:v>85.726666666666674</c:v>
                </c:pt>
                <c:pt idx="61">
                  <c:v>75.88000000000001</c:v>
                </c:pt>
                <c:pt idx="62">
                  <c:v>82.506666666666661</c:v>
                </c:pt>
                <c:pt idx="63">
                  <c:v>76.066666666666663</c:v>
                </c:pt>
                <c:pt idx="64">
                  <c:v>63.186666666666675</c:v>
                </c:pt>
                <c:pt idx="65">
                  <c:v>100.61333333333336</c:v>
                </c:pt>
                <c:pt idx="66">
                  <c:v>174.06666666666666</c:v>
                </c:pt>
                <c:pt idx="67">
                  <c:v>237.01999999999998</c:v>
                </c:pt>
                <c:pt idx="68">
                  <c:v>239.11999999999998</c:v>
                </c:pt>
                <c:pt idx="69">
                  <c:v>374.22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'Cotton (Adjusted)'!$D$6</c:f>
              <c:strCache>
                <c:ptCount val="1"/>
                <c:pt idx="0">
                  <c:v>Baghdad, Imports, in pound/ton</c:v>
                </c:pt>
              </c:strCache>
            </c:strRef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(Adjusted)'!$D$7:$D$107</c:f>
              <c:numCache>
                <c:formatCode>0.0000</c:formatCode>
                <c:ptCount val="81"/>
                <c:pt idx="13">
                  <c:v>74.18274743394322</c:v>
                </c:pt>
                <c:pt idx="15">
                  <c:v>67.091321021145788</c:v>
                </c:pt>
                <c:pt idx="16">
                  <c:v>46.064025728701125</c:v>
                </c:pt>
                <c:pt idx="17">
                  <c:v>39.449722487319647</c:v>
                </c:pt>
                <c:pt idx="18">
                  <c:v>45.572142744683518</c:v>
                </c:pt>
                <c:pt idx="19">
                  <c:v>10.033633403981892</c:v>
                </c:pt>
                <c:pt idx="23">
                  <c:v>36.349610457438651</c:v>
                </c:pt>
                <c:pt idx="24">
                  <c:v>40.20980903930861</c:v>
                </c:pt>
                <c:pt idx="26">
                  <c:v>34.085901340793342</c:v>
                </c:pt>
                <c:pt idx="27">
                  <c:v>6.7428571428571367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'Cotton (Adjusted)'!$E$6</c:f>
              <c:strCache>
                <c:ptCount val="1"/>
                <c:pt idx="0">
                  <c:v>Baghdad, Exports, in pound/ton</c:v>
                </c:pt>
              </c:strCache>
            </c:strRef>
          </c:tx>
          <c:spPr>
            <a:ln w="158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(Adjusted)'!$E$7:$E$107</c:f>
              <c:numCache>
                <c:formatCode>0.0000</c:formatCode>
                <c:ptCount val="81"/>
                <c:pt idx="18">
                  <c:v>50.323108412070816</c:v>
                </c:pt>
                <c:pt idx="19">
                  <c:v>59.163495582220065</c:v>
                </c:pt>
                <c:pt idx="33">
                  <c:v>35.185185185185283</c:v>
                </c:pt>
                <c:pt idx="36">
                  <c:v>50.000000000000064</c:v>
                </c:pt>
                <c:pt idx="37">
                  <c:v>23.750000000000064</c:v>
                </c:pt>
                <c:pt idx="38">
                  <c:v>35</c:v>
                </c:pt>
                <c:pt idx="53">
                  <c:v>60.122699386503037</c:v>
                </c:pt>
                <c:pt idx="60">
                  <c:v>53.118279569892543</c:v>
                </c:pt>
              </c:numCache>
            </c:numRef>
          </c:val>
          <c:smooth val="0"/>
        </c:ser>
        <c:ser>
          <c:idx val="7"/>
          <c:order val="3"/>
          <c:tx>
            <c:strRef>
              <c:f>'Cotton (Adjusted)'!$H$6</c:f>
              <c:strCache>
                <c:ptCount val="1"/>
                <c:pt idx="0">
                  <c:v>Mosul, Imports,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(Adjusted)'!$H$7:$H$107</c:f>
              <c:numCache>
                <c:formatCode>0.0000</c:formatCode>
                <c:ptCount val="81"/>
                <c:pt idx="33">
                  <c:v>7.6363636363636402</c:v>
                </c:pt>
              </c:numCache>
            </c:numRef>
          </c:val>
          <c:smooth val="0"/>
        </c:ser>
        <c:ser>
          <c:idx val="8"/>
          <c:order val="4"/>
          <c:tx>
            <c:strRef>
              <c:f>'Cotton (Adjusted)'!$I$6</c:f>
              <c:strCache>
                <c:ptCount val="1"/>
                <c:pt idx="0">
                  <c:v>Egypt, Exports,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(Adjusted)'!$I$7:$I$107</c:f>
              <c:numCache>
                <c:formatCode>0.0000</c:formatCode>
                <c:ptCount val="81"/>
                <c:pt idx="34">
                  <c:v>20.298024459078082</c:v>
                </c:pt>
                <c:pt idx="35">
                  <c:v>19.669976981256166</c:v>
                </c:pt>
                <c:pt idx="36">
                  <c:v>20.659015324421258</c:v>
                </c:pt>
                <c:pt idx="37">
                  <c:v>21.290193164933136</c:v>
                </c:pt>
                <c:pt idx="38">
                  <c:v>22.396506550218341</c:v>
                </c:pt>
                <c:pt idx="39">
                  <c:v>20.878846153846155</c:v>
                </c:pt>
                <c:pt idx="40">
                  <c:v>17.71231527093596</c:v>
                </c:pt>
                <c:pt idx="41">
                  <c:v>14.599646017699115</c:v>
                </c:pt>
                <c:pt idx="42">
                  <c:v>15.98625</c:v>
                </c:pt>
                <c:pt idx="43">
                  <c:v>12.718933925596891</c:v>
                </c:pt>
                <c:pt idx="44">
                  <c:v>15.100531914893617</c:v>
                </c:pt>
                <c:pt idx="45">
                  <c:v>16.217050067658999</c:v>
                </c:pt>
                <c:pt idx="46">
                  <c:v>13.093426573426575</c:v>
                </c:pt>
                <c:pt idx="47">
                  <c:v>11.848347245409014</c:v>
                </c:pt>
                <c:pt idx="48">
                  <c:v>14.586494984279085</c:v>
                </c:pt>
                <c:pt idx="49">
                  <c:v>20.181978993919291</c:v>
                </c:pt>
                <c:pt idx="50">
                  <c:v>16.233414992650662</c:v>
                </c:pt>
                <c:pt idx="51">
                  <c:v>17.534936861094408</c:v>
                </c:pt>
                <c:pt idx="52">
                  <c:v>23.561782071926999</c:v>
                </c:pt>
                <c:pt idx="53">
                  <c:v>23.728259766615931</c:v>
                </c:pt>
                <c:pt idx="54">
                  <c:v>20.34171901332925</c:v>
                </c:pt>
                <c:pt idx="55">
                  <c:v>25.748126026579065</c:v>
                </c:pt>
                <c:pt idx="56">
                  <c:v>28.899722991689753</c:v>
                </c:pt>
                <c:pt idx="57">
                  <c:v>22.617013232514179</c:v>
                </c:pt>
                <c:pt idx="58">
                  <c:v>25.951553509781359</c:v>
                </c:pt>
                <c:pt idx="59">
                  <c:v>33.887968047928112</c:v>
                </c:pt>
                <c:pt idx="60">
                  <c:v>29.089966857487198</c:v>
                </c:pt>
                <c:pt idx="61">
                  <c:v>27.8371975442398</c:v>
                </c:pt>
                <c:pt idx="62">
                  <c:v>30.734145991682205</c:v>
                </c:pt>
              </c:numCache>
            </c:numRef>
          </c:val>
          <c:smooth val="0"/>
        </c:ser>
        <c:ser>
          <c:idx val="9"/>
          <c:order val="5"/>
          <c:tx>
            <c:strRef>
              <c:f>'Cotton (Adjusted)'!$J$6</c:f>
              <c:strCache>
                <c:ptCount val="1"/>
                <c:pt idx="0">
                  <c:v>Palestine, Exports, in pound/ton</c:v>
                </c:pt>
              </c:strCache>
            </c:strRef>
          </c:tx>
          <c:spPr>
            <a:ln w="158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(Adjusted)'!$J$7:$J$107</c:f>
              <c:numCache>
                <c:formatCode>0.0000</c:formatCode>
                <c:ptCount val="81"/>
                <c:pt idx="9">
                  <c:v>44.267154930963777</c:v>
                </c:pt>
                <c:pt idx="10">
                  <c:v>51.149003128498691</c:v>
                </c:pt>
                <c:pt idx="11">
                  <c:v>91.209725800190597</c:v>
                </c:pt>
                <c:pt idx="12">
                  <c:v>122.19506332476844</c:v>
                </c:pt>
                <c:pt idx="22">
                  <c:v>47.052734352025027</c:v>
                </c:pt>
                <c:pt idx="23">
                  <c:v>49.405371069626206</c:v>
                </c:pt>
                <c:pt idx="24">
                  <c:v>40.141863994071393</c:v>
                </c:pt>
                <c:pt idx="52">
                  <c:v>46.666666666666593</c:v>
                </c:pt>
                <c:pt idx="55">
                  <c:v>65.3333333333334</c:v>
                </c:pt>
              </c:numCache>
            </c:numRef>
          </c:val>
          <c:smooth val="0"/>
        </c:ser>
        <c:ser>
          <c:idx val="11"/>
          <c:order val="6"/>
          <c:tx>
            <c:strRef>
              <c:f>'Cotton (Adjusted)'!$L$6</c:f>
              <c:strCache>
                <c:ptCount val="1"/>
                <c:pt idx="0">
                  <c:v>Damascus, Imports, in pound/ton</c:v>
                </c:pt>
              </c:strCache>
            </c:strRef>
          </c:tx>
          <c:spPr>
            <a:ln w="158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(Adjusted)'!$L$7:$L$107</c:f>
              <c:numCache>
                <c:formatCode>0.0000</c:formatCode>
                <c:ptCount val="81"/>
                <c:pt idx="50">
                  <c:v>40</c:v>
                </c:pt>
                <c:pt idx="51">
                  <c:v>42.5</c:v>
                </c:pt>
                <c:pt idx="52">
                  <c:v>50</c:v>
                </c:pt>
                <c:pt idx="53">
                  <c:v>50</c:v>
                </c:pt>
                <c:pt idx="54">
                  <c:v>41.6666666666666</c:v>
                </c:pt>
                <c:pt idx="55">
                  <c:v>41.25</c:v>
                </c:pt>
                <c:pt idx="56">
                  <c:v>40</c:v>
                </c:pt>
                <c:pt idx="57">
                  <c:v>42.105263157894797</c:v>
                </c:pt>
                <c:pt idx="58">
                  <c:v>50</c:v>
                </c:pt>
                <c:pt idx="59">
                  <c:v>50</c:v>
                </c:pt>
                <c:pt idx="60">
                  <c:v>60</c:v>
                </c:pt>
              </c:numCache>
            </c:numRef>
          </c:val>
          <c:smooth val="0"/>
        </c:ser>
        <c:ser>
          <c:idx val="12"/>
          <c:order val="7"/>
          <c:tx>
            <c:strRef>
              <c:f>'Cotton (Adjusted)'!$M$6</c:f>
              <c:strCache>
                <c:ptCount val="1"/>
                <c:pt idx="0">
                  <c:v>Beirut, Exports,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(Adjusted)'!$M$7:$M$107</c:f>
              <c:numCache>
                <c:formatCode>0.0000</c:formatCode>
                <c:ptCount val="81"/>
                <c:pt idx="20">
                  <c:v>49</c:v>
                </c:pt>
                <c:pt idx="21">
                  <c:v>52.5</c:v>
                </c:pt>
                <c:pt idx="22">
                  <c:v>49</c:v>
                </c:pt>
              </c:numCache>
            </c:numRef>
          </c:val>
          <c:smooth val="0"/>
        </c:ser>
        <c:ser>
          <c:idx val="13"/>
          <c:order val="8"/>
          <c:tx>
            <c:strRef>
              <c:f>'Cotton (Adjusted)'!$N$6</c:f>
              <c:strCache>
                <c:ptCount val="1"/>
                <c:pt idx="0">
                  <c:v>Turkey, Exports,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(Adjusted)'!$N$7:$N$107</c:f>
              <c:numCache>
                <c:formatCode>0.0000</c:formatCode>
                <c:ptCount val="81"/>
                <c:pt idx="60">
                  <c:v>49.634710835982375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'Cotton (Adjusted)'!$O$6</c:f>
              <c:strCache>
                <c:ptCount val="1"/>
                <c:pt idx="0">
                  <c:v>Constantinople, Imports,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(Adjusted)'!$O$7:$O$107</c:f>
              <c:numCache>
                <c:formatCode>0.0000</c:formatCode>
                <c:ptCount val="81"/>
                <c:pt idx="49">
                  <c:v>35.490605427974948</c:v>
                </c:pt>
                <c:pt idx="59">
                  <c:v>22.916666666666668</c:v>
                </c:pt>
              </c:numCache>
            </c:numRef>
          </c:val>
          <c:smooth val="0"/>
        </c:ser>
        <c:ser>
          <c:idx val="15"/>
          <c:order val="10"/>
          <c:tx>
            <c:strRef>
              <c:f>'Cotton (Adjusted)'!$P$6</c:f>
              <c:strCache>
                <c:ptCount val="1"/>
                <c:pt idx="0">
                  <c:v>Trebizond (Anatolia), Imports, in pound/ton</c:v>
                </c:pt>
              </c:strCache>
            </c:strRef>
          </c:tx>
          <c:spPr>
            <a:ln w="158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(Adjusted)'!$P$7:$P$107</c:f>
              <c:numCache>
                <c:formatCode>0.0000</c:formatCode>
                <c:ptCount val="81"/>
                <c:pt idx="32">
                  <c:v>40</c:v>
                </c:pt>
                <c:pt idx="33">
                  <c:v>40</c:v>
                </c:pt>
                <c:pt idx="34">
                  <c:v>41.428571428571431</c:v>
                </c:pt>
                <c:pt idx="35">
                  <c:v>40</c:v>
                </c:pt>
                <c:pt idx="36">
                  <c:v>39.677419354838712</c:v>
                </c:pt>
                <c:pt idx="37">
                  <c:v>40</c:v>
                </c:pt>
                <c:pt idx="38">
                  <c:v>36.721311475409834</c:v>
                </c:pt>
                <c:pt idx="39">
                  <c:v>40</c:v>
                </c:pt>
                <c:pt idx="40">
                  <c:v>40</c:v>
                </c:pt>
                <c:pt idx="41">
                  <c:v>40.128205128205124</c:v>
                </c:pt>
                <c:pt idx="42">
                  <c:v>40</c:v>
                </c:pt>
                <c:pt idx="43">
                  <c:v>40</c:v>
                </c:pt>
                <c:pt idx="44">
                  <c:v>40</c:v>
                </c:pt>
                <c:pt idx="45">
                  <c:v>40.149253731343286</c:v>
                </c:pt>
                <c:pt idx="46">
                  <c:v>40</c:v>
                </c:pt>
                <c:pt idx="47">
                  <c:v>40</c:v>
                </c:pt>
                <c:pt idx="48">
                  <c:v>40</c:v>
                </c:pt>
                <c:pt idx="49">
                  <c:v>48.695652173913047</c:v>
                </c:pt>
                <c:pt idx="50">
                  <c:v>51.981132075471699</c:v>
                </c:pt>
                <c:pt idx="51">
                  <c:v>48.078817733990149</c:v>
                </c:pt>
                <c:pt idx="52">
                  <c:v>51.980198019801982</c:v>
                </c:pt>
                <c:pt idx="53">
                  <c:v>60.111111111111114</c:v>
                </c:pt>
                <c:pt idx="54">
                  <c:v>60.08620689655173</c:v>
                </c:pt>
                <c:pt idx="55">
                  <c:v>72.173913043478265</c:v>
                </c:pt>
                <c:pt idx="56">
                  <c:v>79.941348973607035</c:v>
                </c:pt>
                <c:pt idx="57">
                  <c:v>45.453100158982515</c:v>
                </c:pt>
                <c:pt idx="58">
                  <c:v>26.97674418604651</c:v>
                </c:pt>
              </c:numCache>
            </c:numRef>
          </c:val>
          <c:smooth val="0"/>
        </c:ser>
        <c:ser>
          <c:idx val="16"/>
          <c:order val="11"/>
          <c:tx>
            <c:strRef>
              <c:f>'Cotton (Adjusted)'!$Q$6</c:f>
              <c:strCache>
                <c:ptCount val="1"/>
                <c:pt idx="0">
                  <c:v>Trebizond (Persia), Exports,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(Adjusted)'!$Q$7:$Q$107</c:f>
              <c:numCache>
                <c:formatCode>0.0000</c:formatCode>
                <c:ptCount val="81"/>
                <c:pt idx="18">
                  <c:v>40</c:v>
                </c:pt>
                <c:pt idx="19">
                  <c:v>40</c:v>
                </c:pt>
                <c:pt idx="20">
                  <c:v>40</c:v>
                </c:pt>
                <c:pt idx="21">
                  <c:v>40</c:v>
                </c:pt>
                <c:pt idx="22">
                  <c:v>40</c:v>
                </c:pt>
                <c:pt idx="23">
                  <c:v>53.333333333333329</c:v>
                </c:pt>
                <c:pt idx="24">
                  <c:v>53.333333333333329</c:v>
                </c:pt>
                <c:pt idx="33">
                  <c:v>40</c:v>
                </c:pt>
                <c:pt idx="34">
                  <c:v>40</c:v>
                </c:pt>
                <c:pt idx="35">
                  <c:v>40</c:v>
                </c:pt>
                <c:pt idx="36">
                  <c:v>40</c:v>
                </c:pt>
                <c:pt idx="37">
                  <c:v>39.928057553956833</c:v>
                </c:pt>
              </c:numCache>
            </c:numRef>
          </c:val>
          <c:smooth val="0"/>
        </c:ser>
        <c:ser>
          <c:idx val="17"/>
          <c:order val="12"/>
          <c:tx>
            <c:strRef>
              <c:f>'Cotton (Adjusted)'!$R$6</c:f>
              <c:strCache>
                <c:ptCount val="1"/>
                <c:pt idx="0">
                  <c:v>Adana, , in pound/ton</c:v>
                </c:pt>
              </c:strCache>
            </c:strRef>
          </c:tx>
          <c:spPr>
            <a:ln w="158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(Adjusted)'!$R$7:$R$107</c:f>
              <c:numCache>
                <c:formatCode>0.0000</c:formatCode>
                <c:ptCount val="81"/>
                <c:pt idx="25">
                  <c:v>39.478343779265451</c:v>
                </c:pt>
                <c:pt idx="26">
                  <c:v>46.221539145289043</c:v>
                </c:pt>
                <c:pt idx="27">
                  <c:v>44.355088421834061</c:v>
                </c:pt>
                <c:pt idx="28">
                  <c:v>43.757207747887684</c:v>
                </c:pt>
                <c:pt idx="29">
                  <c:v>59.926279625667441</c:v>
                </c:pt>
                <c:pt idx="30">
                  <c:v>48.040663595398485</c:v>
                </c:pt>
                <c:pt idx="31">
                  <c:v>52.524458864302346</c:v>
                </c:pt>
                <c:pt idx="34">
                  <c:v>43.699211033443966</c:v>
                </c:pt>
                <c:pt idx="35">
                  <c:v>44.411494739815019</c:v>
                </c:pt>
                <c:pt idx="36">
                  <c:v>44.857046164483954</c:v>
                </c:pt>
                <c:pt idx="37">
                  <c:v>41.989004129543581</c:v>
                </c:pt>
                <c:pt idx="38">
                  <c:v>47.663245460322351</c:v>
                </c:pt>
                <c:pt idx="39">
                  <c:v>43.781171169436369</c:v>
                </c:pt>
                <c:pt idx="40">
                  <c:v>39.392101347455736</c:v>
                </c:pt>
                <c:pt idx="41">
                  <c:v>35.104122236334526</c:v>
                </c:pt>
                <c:pt idx="42">
                  <c:v>37.694750811994204</c:v>
                </c:pt>
                <c:pt idx="43">
                  <c:v>32.488408764621433</c:v>
                </c:pt>
                <c:pt idx="44">
                  <c:v>27.519363415014876</c:v>
                </c:pt>
                <c:pt idx="45">
                  <c:v>31.510440370145325</c:v>
                </c:pt>
                <c:pt idx="46">
                  <c:v>30.003834008404805</c:v>
                </c:pt>
                <c:pt idx="47">
                  <c:v>30.700963259466892</c:v>
                </c:pt>
                <c:pt idx="48">
                  <c:v>29.08351680636807</c:v>
                </c:pt>
                <c:pt idx="49">
                  <c:v>41.329208093259894</c:v>
                </c:pt>
                <c:pt idx="50">
                  <c:v>33.663552278189762</c:v>
                </c:pt>
                <c:pt idx="51">
                  <c:v>35.910402726571</c:v>
                </c:pt>
                <c:pt idx="52">
                  <c:v>45.896435258491174</c:v>
                </c:pt>
                <c:pt idx="53">
                  <c:v>47.501334622798559</c:v>
                </c:pt>
                <c:pt idx="54">
                  <c:v>43.212655273317111</c:v>
                </c:pt>
                <c:pt idx="55">
                  <c:v>45.675143987034431</c:v>
                </c:pt>
                <c:pt idx="56">
                  <c:v>46.842760367131802</c:v>
                </c:pt>
                <c:pt idx="57">
                  <c:v>43.134158787622042</c:v>
                </c:pt>
              </c:numCache>
            </c:numRef>
          </c:val>
          <c:smooth val="0"/>
        </c:ser>
        <c:ser>
          <c:idx val="18"/>
          <c:order val="13"/>
          <c:tx>
            <c:strRef>
              <c:f>'Cotton (Adjusted)'!$S$6</c:f>
              <c:strCache>
                <c:ptCount val="1"/>
                <c:pt idx="0">
                  <c:v>Izmir, , in pound/ton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(Adjusted)'!$S$7:$S$107</c:f>
              <c:numCache>
                <c:formatCode>0.0000</c:formatCode>
                <c:ptCount val="81"/>
                <c:pt idx="25">
                  <c:v>45.424616056577165</c:v>
                </c:pt>
                <c:pt idx="26">
                  <c:v>49.654438604355605</c:v>
                </c:pt>
                <c:pt idx="27">
                  <c:v>47.064695417058978</c:v>
                </c:pt>
                <c:pt idx="28">
                  <c:v>45.573102580798697</c:v>
                </c:pt>
                <c:pt idx="29">
                  <c:v>65.833501964064581</c:v>
                </c:pt>
                <c:pt idx="30">
                  <c:v>52.524458864302346</c:v>
                </c:pt>
                <c:pt idx="31">
                  <c:v>58.716366616598151</c:v>
                </c:pt>
                <c:pt idx="42">
                  <c:v>36.586081670464957</c:v>
                </c:pt>
                <c:pt idx="43">
                  <c:v>32.949704629433505</c:v>
                </c:pt>
                <c:pt idx="44">
                  <c:v>26.640366549179017</c:v>
                </c:pt>
                <c:pt idx="45">
                  <c:v>32.719644628141879</c:v>
                </c:pt>
                <c:pt idx="46">
                  <c:v>34.888179079540471</c:v>
                </c:pt>
                <c:pt idx="47">
                  <c:v>29.242320208677743</c:v>
                </c:pt>
                <c:pt idx="48">
                  <c:v>31.936206253882649</c:v>
                </c:pt>
                <c:pt idx="49">
                  <c:v>41.746674841676658</c:v>
                </c:pt>
                <c:pt idx="50">
                  <c:v>39.866567087214378</c:v>
                </c:pt>
                <c:pt idx="51">
                  <c:v>39.522280757096517</c:v>
                </c:pt>
                <c:pt idx="52">
                  <c:v>51.517859111856765</c:v>
                </c:pt>
                <c:pt idx="53">
                  <c:v>51.495440837328168</c:v>
                </c:pt>
                <c:pt idx="54">
                  <c:v>47.576148151078776</c:v>
                </c:pt>
                <c:pt idx="55">
                  <c:v>51.402213124727616</c:v>
                </c:pt>
                <c:pt idx="56">
                  <c:v>49.984652830780881</c:v>
                </c:pt>
                <c:pt idx="57">
                  <c:v>46.153549902755586</c:v>
                </c:pt>
              </c:numCache>
            </c:numRef>
          </c:val>
          <c:smooth val="0"/>
        </c:ser>
        <c:ser>
          <c:idx val="19"/>
          <c:order val="14"/>
          <c:tx>
            <c:strRef>
              <c:f>'Cotton (Adjusted)'!$T$6</c:f>
              <c:strCache>
                <c:ptCount val="1"/>
                <c:pt idx="0">
                  <c:v>Izmir, Exports,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(Adjusted)'!$T$7:$T$107</c:f>
              <c:numCache>
                <c:formatCode>0.0000</c:formatCode>
                <c:ptCount val="81"/>
                <c:pt idx="14">
                  <c:v>128.65232424203094</c:v>
                </c:pt>
                <c:pt idx="15">
                  <c:v>77.587866366058606</c:v>
                </c:pt>
                <c:pt idx="17">
                  <c:v>35.288499462715478</c:v>
                </c:pt>
                <c:pt idx="18">
                  <c:v>70.669324130361346</c:v>
                </c:pt>
                <c:pt idx="20">
                  <c:v>20.735714285714284</c:v>
                </c:pt>
                <c:pt idx="21">
                  <c:v>72.443284936479131</c:v>
                </c:pt>
                <c:pt idx="23">
                  <c:v>57.023214285714282</c:v>
                </c:pt>
                <c:pt idx="24">
                  <c:v>43.930882109855723</c:v>
                </c:pt>
                <c:pt idx="25">
                  <c:v>48.363827544132548</c:v>
                </c:pt>
                <c:pt idx="31">
                  <c:v>51.933156853281858</c:v>
                </c:pt>
                <c:pt idx="32">
                  <c:v>46.674163953488367</c:v>
                </c:pt>
                <c:pt idx="33">
                  <c:v>47.296060568316044</c:v>
                </c:pt>
                <c:pt idx="34">
                  <c:v>46.01674651360544</c:v>
                </c:pt>
                <c:pt idx="35">
                  <c:v>42.645048018677436</c:v>
                </c:pt>
                <c:pt idx="37">
                  <c:v>41.471428571428568</c:v>
                </c:pt>
                <c:pt idx="38">
                  <c:v>48.72883308554588</c:v>
                </c:pt>
                <c:pt idx="39">
                  <c:v>50.802345846402197</c:v>
                </c:pt>
                <c:pt idx="40">
                  <c:v>81.986016351118764</c:v>
                </c:pt>
                <c:pt idx="41">
                  <c:v>47.692192383545567</c:v>
                </c:pt>
                <c:pt idx="43">
                  <c:v>28.511291473110983</c:v>
                </c:pt>
                <c:pt idx="47">
                  <c:v>15.253036437246964</c:v>
                </c:pt>
                <c:pt idx="48">
                  <c:v>40.39259708737864</c:v>
                </c:pt>
                <c:pt idx="49">
                  <c:v>39.099964551577457</c:v>
                </c:pt>
                <c:pt idx="50">
                  <c:v>41.180425205899255</c:v>
                </c:pt>
                <c:pt idx="51">
                  <c:v>53.525356967011327</c:v>
                </c:pt>
                <c:pt idx="52">
                  <c:v>39.013746273600532</c:v>
                </c:pt>
                <c:pt idx="53">
                  <c:v>39.041346721795627</c:v>
                </c:pt>
                <c:pt idx="54">
                  <c:v>39.075633773308191</c:v>
                </c:pt>
                <c:pt idx="55">
                  <c:v>43.011929460580916</c:v>
                </c:pt>
                <c:pt idx="56">
                  <c:v>44.257885681514054</c:v>
                </c:pt>
                <c:pt idx="57">
                  <c:v>38.704803493449781</c:v>
                </c:pt>
                <c:pt idx="59">
                  <c:v>42.214558058925476</c:v>
                </c:pt>
              </c:numCache>
            </c:numRef>
          </c:val>
          <c:smooth val="0"/>
        </c:ser>
        <c:ser>
          <c:idx val="20"/>
          <c:order val="15"/>
          <c:tx>
            <c:strRef>
              <c:f>'Cotton (Adjusted)'!$U$6</c:f>
              <c:strCache>
                <c:ptCount val="1"/>
                <c:pt idx="0">
                  <c:v>Izmir, , in pound/ton</c:v>
                </c:pt>
              </c:strCache>
            </c:strRef>
          </c:tx>
          <c:spPr>
            <a:ln w="158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(Adjusted)'!$U$7:$U$107</c:f>
              <c:numCache>
                <c:formatCode>0.0000</c:formatCode>
                <c:ptCount val="81"/>
                <c:pt idx="0">
                  <c:v>36.000007257486544</c:v>
                </c:pt>
                <c:pt idx="1">
                  <c:v>36.666738031951084</c:v>
                </c:pt>
                <c:pt idx="2">
                  <c:v>48.749988660177259</c:v>
                </c:pt>
                <c:pt idx="3">
                  <c:v>44.000065317378962</c:v>
                </c:pt>
                <c:pt idx="4">
                  <c:v>49.500035380246935</c:v>
                </c:pt>
                <c:pt idx="5">
                  <c:v>53.958352913427255</c:v>
                </c:pt>
                <c:pt idx="6">
                  <c:v>58.416670446607576</c:v>
                </c:pt>
                <c:pt idx="7">
                  <c:v>25.833328192613692</c:v>
                </c:pt>
                <c:pt idx="8">
                  <c:v>23.094773702497481</c:v>
                </c:pt>
                <c:pt idx="9">
                  <c:v>25.411363409567183</c:v>
                </c:pt>
                <c:pt idx="10">
                  <c:v>27.738113597808237</c:v>
                </c:pt>
                <c:pt idx="11">
                  <c:v>139.33372644718818</c:v>
                </c:pt>
                <c:pt idx="12">
                  <c:v>158.66709002004879</c:v>
                </c:pt>
                <c:pt idx="13">
                  <c:v>162.41732362039716</c:v>
                </c:pt>
                <c:pt idx="14">
                  <c:v>121.33341800400976</c:v>
                </c:pt>
                <c:pt idx="15">
                  <c:v>93.333468806415624</c:v>
                </c:pt>
                <c:pt idx="16">
                  <c:v>81.66669630140342</c:v>
                </c:pt>
                <c:pt idx="17">
                  <c:v>74.666734403207798</c:v>
                </c:pt>
                <c:pt idx="18">
                  <c:v>93.333468806415624</c:v>
                </c:pt>
                <c:pt idx="19">
                  <c:v>65.250102058404622</c:v>
                </c:pt>
                <c:pt idx="20">
                  <c:v>84.000050802405852</c:v>
                </c:pt>
                <c:pt idx="21">
                  <c:v>74.666734403207798</c:v>
                </c:pt>
                <c:pt idx="22">
                  <c:v>64.333423447124673</c:v>
                </c:pt>
                <c:pt idx="23">
                  <c:v>56.000101604811711</c:v>
                </c:pt>
                <c:pt idx="24">
                  <c:v>46.666683600801953</c:v>
                </c:pt>
                <c:pt idx="25">
                  <c:v>53.472377099001186</c:v>
                </c:pt>
                <c:pt idx="26">
                  <c:v>58.451622501837043</c:v>
                </c:pt>
                <c:pt idx="27">
                  <c:v>57.657885712730533</c:v>
                </c:pt>
                <c:pt idx="28">
                  <c:v>56.142449946022438</c:v>
                </c:pt>
                <c:pt idx="29">
                  <c:v>66.750297103355678</c:v>
                </c:pt>
                <c:pt idx="30">
                  <c:v>53.25595885005125</c:v>
                </c:pt>
                <c:pt idx="31">
                  <c:v>59.534120165833563</c:v>
                </c:pt>
                <c:pt idx="32">
                  <c:v>57.007614917763604</c:v>
                </c:pt>
                <c:pt idx="33">
                  <c:v>54.482735346681054</c:v>
                </c:pt>
                <c:pt idx="34">
                  <c:v>51.957042937104809</c:v>
                </c:pt>
                <c:pt idx="35">
                  <c:v>46.905658117952299</c:v>
                </c:pt>
                <c:pt idx="36">
                  <c:v>51.235343959503219</c:v>
                </c:pt>
                <c:pt idx="37">
                  <c:v>49.070551841133614</c:v>
                </c:pt>
                <c:pt idx="38">
                  <c:v>46.905658117952299</c:v>
                </c:pt>
                <c:pt idx="39">
                  <c:v>46.616998847874008</c:v>
                </c:pt>
                <c:pt idx="40">
                  <c:v>48.709651549926967</c:v>
                </c:pt>
                <c:pt idx="41">
                  <c:v>41.204815342326569</c:v>
                </c:pt>
                <c:pt idx="42">
                  <c:v>38.101804392593735</c:v>
                </c:pt>
                <c:pt idx="43">
                  <c:v>36.081291106857421</c:v>
                </c:pt>
                <c:pt idx="44">
                  <c:v>28.432074461812011</c:v>
                </c:pt>
                <c:pt idx="45">
                  <c:v>33.194800010886226</c:v>
                </c:pt>
                <c:pt idx="46">
                  <c:v>36.081291106857421</c:v>
                </c:pt>
                <c:pt idx="47">
                  <c:v>30.380448331231687</c:v>
                </c:pt>
                <c:pt idx="48">
                  <c:v>33.12255898975787</c:v>
                </c:pt>
                <c:pt idx="49">
                  <c:v>43.297468044379528</c:v>
                </c:pt>
                <c:pt idx="50">
                  <c:v>41.276954758643214</c:v>
                </c:pt>
                <c:pt idx="51">
                  <c:v>41.060434904881568</c:v>
                </c:pt>
                <c:pt idx="52">
                  <c:v>52.245702207183093</c:v>
                </c:pt>
                <c:pt idx="53">
                  <c:v>52.101321769738092</c:v>
                </c:pt>
                <c:pt idx="54">
                  <c:v>48.78189257105533</c:v>
                </c:pt>
                <c:pt idx="55">
                  <c:v>52.462120456133022</c:v>
                </c:pt>
                <c:pt idx="56">
                  <c:v>50.513746586713353</c:v>
                </c:pt>
                <c:pt idx="57">
                  <c:v>40.755214050493962</c:v>
                </c:pt>
                <c:pt idx="58">
                  <c:v>43.228275167602575</c:v>
                </c:pt>
                <c:pt idx="59">
                  <c:v>45.814524044960123</c:v>
                </c:pt>
                <c:pt idx="60">
                  <c:v>55.236033420725562</c:v>
                </c:pt>
                <c:pt idx="61">
                  <c:v>50.525329535248702</c:v>
                </c:pt>
                <c:pt idx="62">
                  <c:v>47.107648483638897</c:v>
                </c:pt>
              </c:numCache>
            </c:numRef>
          </c:val>
          <c:smooth val="0"/>
        </c:ser>
        <c:ser>
          <c:idx val="21"/>
          <c:order val="16"/>
          <c:tx>
            <c:strRef>
              <c:f>'Cotton (Adjusted)'!$V$6</c:f>
              <c:strCache>
                <c:ptCount val="1"/>
                <c:pt idx="0">
                  <c:v>Alexandretta, Exports, in pound/ton</c:v>
                </c:pt>
              </c:strCache>
            </c:strRef>
          </c:tx>
          <c:spPr>
            <a:ln w="158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(Adjusted)'!$V$7:$V$107</c:f>
              <c:numCache>
                <c:formatCode>0.0000</c:formatCode>
                <c:ptCount val="81"/>
                <c:pt idx="27">
                  <c:v>51.99999999999995</c:v>
                </c:pt>
                <c:pt idx="28">
                  <c:v>56.119047619047571</c:v>
                </c:pt>
                <c:pt idx="29">
                  <c:v>49.99999999999995</c:v>
                </c:pt>
                <c:pt idx="30">
                  <c:v>49.99999999999995</c:v>
                </c:pt>
                <c:pt idx="31">
                  <c:v>49.019607843137209</c:v>
                </c:pt>
                <c:pt idx="32">
                  <c:v>50.026490066225115</c:v>
                </c:pt>
                <c:pt idx="36">
                  <c:v>41.999999999999964</c:v>
                </c:pt>
                <c:pt idx="37">
                  <c:v>42.210256410256378</c:v>
                </c:pt>
                <c:pt idx="38">
                  <c:v>41.485049833887004</c:v>
                </c:pt>
                <c:pt idx="39">
                  <c:v>40.01515151515148</c:v>
                </c:pt>
                <c:pt idx="40">
                  <c:v>31.999999999999972</c:v>
                </c:pt>
                <c:pt idx="41">
                  <c:v>28.666666666666639</c:v>
                </c:pt>
                <c:pt idx="42">
                  <c:v>30.571428571428548</c:v>
                </c:pt>
                <c:pt idx="43">
                  <c:v>32.307692307692278</c:v>
                </c:pt>
                <c:pt idx="44">
                  <c:v>32.137614678899055</c:v>
                </c:pt>
                <c:pt idx="45">
                  <c:v>32.222836095764237</c:v>
                </c:pt>
                <c:pt idx="46">
                  <c:v>31.983240223463657</c:v>
                </c:pt>
                <c:pt idx="47">
                  <c:v>31.555023923444946</c:v>
                </c:pt>
                <c:pt idx="48">
                  <c:v>21.999999999999979</c:v>
                </c:pt>
                <c:pt idx="49">
                  <c:v>29.979094076655027</c:v>
                </c:pt>
                <c:pt idx="50">
                  <c:v>29.999999999999972</c:v>
                </c:pt>
                <c:pt idx="51">
                  <c:v>29.999999999999972</c:v>
                </c:pt>
                <c:pt idx="52">
                  <c:v>36.218637992831511</c:v>
                </c:pt>
                <c:pt idx="53">
                  <c:v>35.92401215805468</c:v>
                </c:pt>
                <c:pt idx="54">
                  <c:v>36.01801801801799</c:v>
                </c:pt>
                <c:pt idx="55">
                  <c:v>37.182680901542078</c:v>
                </c:pt>
                <c:pt idx="56">
                  <c:v>35.999999999999964</c:v>
                </c:pt>
                <c:pt idx="57">
                  <c:v>35.999999999999972</c:v>
                </c:pt>
                <c:pt idx="58">
                  <c:v>55.824742268041177</c:v>
                </c:pt>
                <c:pt idx="59">
                  <c:v>57.879133409350004</c:v>
                </c:pt>
                <c:pt idx="60">
                  <c:v>56.379721669980121</c:v>
                </c:pt>
                <c:pt idx="61">
                  <c:v>52.494366197183098</c:v>
                </c:pt>
                <c:pt idx="62">
                  <c:v>44.13134328358209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336624"/>
        <c:axId val="609337184"/>
      </c:lineChart>
      <c:catAx>
        <c:axId val="60933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337184"/>
        <c:crosses val="autoZero"/>
        <c:auto val="1"/>
        <c:lblAlgn val="ctr"/>
        <c:lblOffset val="100"/>
        <c:noMultiLvlLbl val="0"/>
      </c:catAx>
      <c:valAx>
        <c:axId val="609337184"/>
        <c:scaling>
          <c:orientation val="minMax"/>
          <c:max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336624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32274239924254"/>
          <c:y val="0.18887154990648861"/>
          <c:w val="0.21014127627282664"/>
          <c:h val="0.705690892269328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1" i="0" u="none" strike="noStrike" kern="1200" spc="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Cotton, UK, Mediterranean Sea, Caspian Sea and Persian Gulf, in pound/ton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1" i="0" u="none" strike="noStrike" kern="1200" spc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'Cotton (Adjusted)'!$C$6</c:f>
              <c:strCache>
                <c:ptCount val="1"/>
                <c:pt idx="0">
                  <c:v>UK, Imports, in pound/ton</c:v>
                </c:pt>
              </c:strCache>
            </c:strRef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(Adjusted)'!$C$7:$C$107</c:f>
              <c:numCache>
                <c:formatCode>0.0000</c:formatCode>
                <c:ptCount val="81"/>
                <c:pt idx="3">
                  <c:v>50.931138031789246</c:v>
                </c:pt>
                <c:pt idx="4">
                  <c:v>52.369578216521809</c:v>
                </c:pt>
                <c:pt idx="5">
                  <c:v>57.861914480692192</c:v>
                </c:pt>
                <c:pt idx="6">
                  <c:v>67.6835794192544</c:v>
                </c:pt>
                <c:pt idx="7">
                  <c:v>65.200481895461252</c:v>
                </c:pt>
                <c:pt idx="8">
                  <c:v>63.143780322374681</c:v>
                </c:pt>
                <c:pt idx="9">
                  <c:v>57.58375050023794</c:v>
                </c:pt>
                <c:pt idx="10">
                  <c:v>68.881991197067322</c:v>
                </c:pt>
                <c:pt idx="11">
                  <c:v>132.92360761835465</c:v>
                </c:pt>
                <c:pt idx="12">
                  <c:v>188.14404533993084</c:v>
                </c:pt>
                <c:pt idx="13">
                  <c:v>195.96352875846935</c:v>
                </c:pt>
                <c:pt idx="14">
                  <c:v>151.19999999999999</c:v>
                </c:pt>
                <c:pt idx="15">
                  <c:v>126</c:v>
                </c:pt>
                <c:pt idx="16">
                  <c:v>92.2</c:v>
                </c:pt>
                <c:pt idx="17">
                  <c:v>93.000000000000014</c:v>
                </c:pt>
                <c:pt idx="18">
                  <c:v>104.2</c:v>
                </c:pt>
                <c:pt idx="19">
                  <c:v>89.4</c:v>
                </c:pt>
                <c:pt idx="20">
                  <c:v>70.400000000000006</c:v>
                </c:pt>
                <c:pt idx="21">
                  <c:v>84.800000000000011</c:v>
                </c:pt>
                <c:pt idx="22">
                  <c:v>80.2</c:v>
                </c:pt>
                <c:pt idx="23">
                  <c:v>72.400000000000006</c:v>
                </c:pt>
                <c:pt idx="24">
                  <c:v>69.400000000000006</c:v>
                </c:pt>
                <c:pt idx="25">
                  <c:v>60.4</c:v>
                </c:pt>
                <c:pt idx="26">
                  <c:v>58.6</c:v>
                </c:pt>
                <c:pt idx="27">
                  <c:v>55.999999999999993</c:v>
                </c:pt>
                <c:pt idx="28">
                  <c:v>55.199999999999996</c:v>
                </c:pt>
                <c:pt idx="29">
                  <c:v>58.8</c:v>
                </c:pt>
                <c:pt idx="30">
                  <c:v>58.4</c:v>
                </c:pt>
                <c:pt idx="31">
                  <c:v>58.6</c:v>
                </c:pt>
                <c:pt idx="32">
                  <c:v>58.20000000000001</c:v>
                </c:pt>
                <c:pt idx="33">
                  <c:v>57</c:v>
                </c:pt>
                <c:pt idx="34">
                  <c:v>57.199999999999996</c:v>
                </c:pt>
                <c:pt idx="35">
                  <c:v>49.800000000000004</c:v>
                </c:pt>
                <c:pt idx="36">
                  <c:v>50.199999999999996</c:v>
                </c:pt>
                <c:pt idx="37">
                  <c:v>51.8</c:v>
                </c:pt>
                <c:pt idx="38">
                  <c:v>52.8</c:v>
                </c:pt>
                <c:pt idx="39">
                  <c:v>53.399999999999991</c:v>
                </c:pt>
                <c:pt idx="40">
                  <c:v>51.8</c:v>
                </c:pt>
                <c:pt idx="41">
                  <c:v>47.800000000000004</c:v>
                </c:pt>
                <c:pt idx="42">
                  <c:v>48.533333333333331</c:v>
                </c:pt>
                <c:pt idx="43">
                  <c:v>41.25333333333333</c:v>
                </c:pt>
                <c:pt idx="44">
                  <c:v>38.826666666666668</c:v>
                </c:pt>
                <c:pt idx="45">
                  <c:v>46.293333333333329</c:v>
                </c:pt>
                <c:pt idx="46">
                  <c:v>41.81333333333334</c:v>
                </c:pt>
                <c:pt idx="47">
                  <c:v>35.93333333333333</c:v>
                </c:pt>
                <c:pt idx="48">
                  <c:v>38.080000000000005</c:v>
                </c:pt>
                <c:pt idx="49">
                  <c:v>52.173333333333332</c:v>
                </c:pt>
                <c:pt idx="50">
                  <c:v>51.426666666666662</c:v>
                </c:pt>
                <c:pt idx="51">
                  <c:v>50.773333333333333</c:v>
                </c:pt>
                <c:pt idx="52">
                  <c:v>56</c:v>
                </c:pt>
                <c:pt idx="53">
                  <c:v>62.626666666666665</c:v>
                </c:pt>
                <c:pt idx="54">
                  <c:v>53.013333333333328</c:v>
                </c:pt>
                <c:pt idx="55">
                  <c:v>70.14</c:v>
                </c:pt>
                <c:pt idx="56">
                  <c:v>77.513333333333335</c:v>
                </c:pt>
                <c:pt idx="57">
                  <c:v>71.586666666666659</c:v>
                </c:pt>
                <c:pt idx="58">
                  <c:v>71.213333333333338</c:v>
                </c:pt>
                <c:pt idx="59">
                  <c:v>97.486666666666665</c:v>
                </c:pt>
                <c:pt idx="60">
                  <c:v>85.726666666666674</c:v>
                </c:pt>
                <c:pt idx="61">
                  <c:v>75.88000000000001</c:v>
                </c:pt>
                <c:pt idx="62">
                  <c:v>82.506666666666661</c:v>
                </c:pt>
                <c:pt idx="63">
                  <c:v>76.066666666666663</c:v>
                </c:pt>
                <c:pt idx="64">
                  <c:v>63.186666666666675</c:v>
                </c:pt>
                <c:pt idx="65">
                  <c:v>100.61333333333336</c:v>
                </c:pt>
                <c:pt idx="66">
                  <c:v>174.06666666666666</c:v>
                </c:pt>
                <c:pt idx="67">
                  <c:v>237.01999999999998</c:v>
                </c:pt>
                <c:pt idx="68">
                  <c:v>239.11999999999998</c:v>
                </c:pt>
                <c:pt idx="69">
                  <c:v>374.22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'Cotton (Adjusted)'!$I$6</c:f>
              <c:strCache>
                <c:ptCount val="1"/>
                <c:pt idx="0">
                  <c:v>Egypt, Exports, in pound/ton</c:v>
                </c:pt>
              </c:strCache>
            </c:strRef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(Adjusted)'!$I$7:$I$107</c:f>
              <c:numCache>
                <c:formatCode>0.0000</c:formatCode>
                <c:ptCount val="81"/>
                <c:pt idx="34">
                  <c:v>20.298024459078082</c:v>
                </c:pt>
                <c:pt idx="35">
                  <c:v>19.669976981256166</c:v>
                </c:pt>
                <c:pt idx="36">
                  <c:v>20.659015324421258</c:v>
                </c:pt>
                <c:pt idx="37">
                  <c:v>21.290193164933136</c:v>
                </c:pt>
                <c:pt idx="38">
                  <c:v>22.396506550218341</c:v>
                </c:pt>
                <c:pt idx="39">
                  <c:v>20.878846153846155</c:v>
                </c:pt>
                <c:pt idx="40">
                  <c:v>17.71231527093596</c:v>
                </c:pt>
                <c:pt idx="41">
                  <c:v>14.599646017699115</c:v>
                </c:pt>
                <c:pt idx="42">
                  <c:v>15.98625</c:v>
                </c:pt>
                <c:pt idx="43">
                  <c:v>12.718933925596891</c:v>
                </c:pt>
                <c:pt idx="44">
                  <c:v>15.100531914893617</c:v>
                </c:pt>
                <c:pt idx="45">
                  <c:v>16.217050067658999</c:v>
                </c:pt>
                <c:pt idx="46">
                  <c:v>13.093426573426575</c:v>
                </c:pt>
                <c:pt idx="47">
                  <c:v>11.848347245409014</c:v>
                </c:pt>
                <c:pt idx="48">
                  <c:v>14.586494984279085</c:v>
                </c:pt>
                <c:pt idx="49">
                  <c:v>20.181978993919291</c:v>
                </c:pt>
                <c:pt idx="50">
                  <c:v>16.233414992650662</c:v>
                </c:pt>
                <c:pt idx="51">
                  <c:v>17.534936861094408</c:v>
                </c:pt>
                <c:pt idx="52">
                  <c:v>23.561782071926999</c:v>
                </c:pt>
                <c:pt idx="53">
                  <c:v>23.728259766615931</c:v>
                </c:pt>
                <c:pt idx="54">
                  <c:v>20.34171901332925</c:v>
                </c:pt>
                <c:pt idx="55">
                  <c:v>25.748126026579065</c:v>
                </c:pt>
                <c:pt idx="56">
                  <c:v>28.899722991689753</c:v>
                </c:pt>
                <c:pt idx="57">
                  <c:v>22.617013232514179</c:v>
                </c:pt>
                <c:pt idx="58">
                  <c:v>25.951553509781359</c:v>
                </c:pt>
                <c:pt idx="59">
                  <c:v>33.887968047928112</c:v>
                </c:pt>
                <c:pt idx="60">
                  <c:v>29.089966857487198</c:v>
                </c:pt>
                <c:pt idx="61">
                  <c:v>27.8371975442398</c:v>
                </c:pt>
                <c:pt idx="62">
                  <c:v>30.734145991682205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'Cotton (Adjusted)'!$J$6</c:f>
              <c:strCache>
                <c:ptCount val="1"/>
                <c:pt idx="0">
                  <c:v>Palestine, Exports, in pound/ton</c:v>
                </c:pt>
              </c:strCache>
            </c:strRef>
          </c:tx>
          <c:spPr>
            <a:ln w="158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(Adjusted)'!$J$7:$J$107</c:f>
              <c:numCache>
                <c:formatCode>0.0000</c:formatCode>
                <c:ptCount val="81"/>
                <c:pt idx="9">
                  <c:v>44.267154930963777</c:v>
                </c:pt>
                <c:pt idx="10">
                  <c:v>51.149003128498691</c:v>
                </c:pt>
                <c:pt idx="11">
                  <c:v>91.209725800190597</c:v>
                </c:pt>
                <c:pt idx="12">
                  <c:v>122.19506332476844</c:v>
                </c:pt>
                <c:pt idx="22">
                  <c:v>47.052734352025027</c:v>
                </c:pt>
                <c:pt idx="23">
                  <c:v>49.405371069626206</c:v>
                </c:pt>
                <c:pt idx="24">
                  <c:v>40.141863994071393</c:v>
                </c:pt>
                <c:pt idx="52">
                  <c:v>46.666666666666593</c:v>
                </c:pt>
                <c:pt idx="55">
                  <c:v>65.3333333333334</c:v>
                </c:pt>
              </c:numCache>
            </c:numRef>
          </c:val>
          <c:smooth val="0"/>
        </c:ser>
        <c:ser>
          <c:idx val="6"/>
          <c:order val="3"/>
          <c:tx>
            <c:strRef>
              <c:f>'Cotton (Adjusted)'!$L$6</c:f>
              <c:strCache>
                <c:ptCount val="1"/>
                <c:pt idx="0">
                  <c:v>Damascus, Imports,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(Adjusted)'!$L$7:$L$107</c:f>
              <c:numCache>
                <c:formatCode>0.0000</c:formatCode>
                <c:ptCount val="81"/>
                <c:pt idx="50">
                  <c:v>40</c:v>
                </c:pt>
                <c:pt idx="51">
                  <c:v>42.5</c:v>
                </c:pt>
                <c:pt idx="52">
                  <c:v>50</c:v>
                </c:pt>
                <c:pt idx="53">
                  <c:v>50</c:v>
                </c:pt>
                <c:pt idx="54">
                  <c:v>41.6666666666666</c:v>
                </c:pt>
                <c:pt idx="55">
                  <c:v>41.25</c:v>
                </c:pt>
                <c:pt idx="56">
                  <c:v>40</c:v>
                </c:pt>
                <c:pt idx="57">
                  <c:v>42.105263157894797</c:v>
                </c:pt>
                <c:pt idx="58">
                  <c:v>50</c:v>
                </c:pt>
                <c:pt idx="59">
                  <c:v>50</c:v>
                </c:pt>
                <c:pt idx="60">
                  <c:v>60</c:v>
                </c:pt>
              </c:numCache>
            </c:numRef>
          </c:val>
          <c:smooth val="0"/>
        </c:ser>
        <c:ser>
          <c:idx val="7"/>
          <c:order val="4"/>
          <c:tx>
            <c:strRef>
              <c:f>'Cotton (Adjusted)'!$M$6</c:f>
              <c:strCache>
                <c:ptCount val="1"/>
                <c:pt idx="0">
                  <c:v>Beirut, Exports,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(Adjusted)'!$M$7:$M$107</c:f>
              <c:numCache>
                <c:formatCode>0.0000</c:formatCode>
                <c:ptCount val="81"/>
                <c:pt idx="20">
                  <c:v>49</c:v>
                </c:pt>
                <c:pt idx="21">
                  <c:v>52.5</c:v>
                </c:pt>
                <c:pt idx="22">
                  <c:v>49</c:v>
                </c:pt>
              </c:numCache>
            </c:numRef>
          </c:val>
          <c:smooth val="0"/>
        </c:ser>
        <c:ser>
          <c:idx val="8"/>
          <c:order val="5"/>
          <c:tx>
            <c:strRef>
              <c:f>'Cotton (Adjusted)'!$N$6</c:f>
              <c:strCache>
                <c:ptCount val="1"/>
                <c:pt idx="0">
                  <c:v>Turkey, Exports,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(Adjusted)'!$N$7:$N$107</c:f>
              <c:numCache>
                <c:formatCode>0.0000</c:formatCode>
                <c:ptCount val="81"/>
                <c:pt idx="60">
                  <c:v>49.634710835982375</c:v>
                </c:pt>
              </c:numCache>
            </c:numRef>
          </c:val>
          <c:smooth val="0"/>
        </c:ser>
        <c:ser>
          <c:idx val="9"/>
          <c:order val="6"/>
          <c:tx>
            <c:strRef>
              <c:f>'Cotton (Adjusted)'!$O$6</c:f>
              <c:strCache>
                <c:ptCount val="1"/>
                <c:pt idx="0">
                  <c:v>Constantinople, Imports, in pound/ton</c:v>
                </c:pt>
              </c:strCache>
            </c:strRef>
          </c:tx>
          <c:spPr>
            <a:ln w="158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(Adjusted)'!$O$7:$O$107</c:f>
              <c:numCache>
                <c:formatCode>0.0000</c:formatCode>
                <c:ptCount val="81"/>
                <c:pt idx="49">
                  <c:v>35.490605427974948</c:v>
                </c:pt>
                <c:pt idx="59">
                  <c:v>22.916666666666668</c:v>
                </c:pt>
              </c:numCache>
            </c:numRef>
          </c:val>
          <c:smooth val="0"/>
        </c:ser>
        <c:ser>
          <c:idx val="10"/>
          <c:order val="7"/>
          <c:tx>
            <c:strRef>
              <c:f>'Cotton (Adjusted)'!$R$6</c:f>
              <c:strCache>
                <c:ptCount val="1"/>
                <c:pt idx="0">
                  <c:v>Adana, , in pound/ton</c:v>
                </c:pt>
              </c:strCache>
            </c:strRef>
          </c:tx>
          <c:spPr>
            <a:ln w="158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(Adjusted)'!$R$7:$R$107</c:f>
              <c:numCache>
                <c:formatCode>0.0000</c:formatCode>
                <c:ptCount val="81"/>
                <c:pt idx="25">
                  <c:v>39.478343779265451</c:v>
                </c:pt>
                <c:pt idx="26">
                  <c:v>46.221539145289043</c:v>
                </c:pt>
                <c:pt idx="27">
                  <c:v>44.355088421834061</c:v>
                </c:pt>
                <c:pt idx="28">
                  <c:v>43.757207747887684</c:v>
                </c:pt>
                <c:pt idx="29">
                  <c:v>59.926279625667441</c:v>
                </c:pt>
                <c:pt idx="30">
                  <c:v>48.040663595398485</c:v>
                </c:pt>
                <c:pt idx="31">
                  <c:v>52.524458864302346</c:v>
                </c:pt>
                <c:pt idx="34">
                  <c:v>43.699211033443966</c:v>
                </c:pt>
                <c:pt idx="35">
                  <c:v>44.411494739815019</c:v>
                </c:pt>
                <c:pt idx="36">
                  <c:v>44.857046164483954</c:v>
                </c:pt>
                <c:pt idx="37">
                  <c:v>41.989004129543581</c:v>
                </c:pt>
                <c:pt idx="38">
                  <c:v>47.663245460322351</c:v>
                </c:pt>
                <c:pt idx="39">
                  <c:v>43.781171169436369</c:v>
                </c:pt>
                <c:pt idx="40">
                  <c:v>39.392101347455736</c:v>
                </c:pt>
                <c:pt idx="41">
                  <c:v>35.104122236334526</c:v>
                </c:pt>
                <c:pt idx="42">
                  <c:v>37.694750811994204</c:v>
                </c:pt>
                <c:pt idx="43">
                  <c:v>32.488408764621433</c:v>
                </c:pt>
                <c:pt idx="44">
                  <c:v>27.519363415014876</c:v>
                </c:pt>
                <c:pt idx="45">
                  <c:v>31.510440370145325</c:v>
                </c:pt>
                <c:pt idx="46">
                  <c:v>30.003834008404805</c:v>
                </c:pt>
                <c:pt idx="47">
                  <c:v>30.700963259466892</c:v>
                </c:pt>
                <c:pt idx="48">
                  <c:v>29.08351680636807</c:v>
                </c:pt>
                <c:pt idx="49">
                  <c:v>41.329208093259894</c:v>
                </c:pt>
                <c:pt idx="50">
                  <c:v>33.663552278189762</c:v>
                </c:pt>
                <c:pt idx="51">
                  <c:v>35.910402726571</c:v>
                </c:pt>
                <c:pt idx="52">
                  <c:v>45.896435258491174</c:v>
                </c:pt>
                <c:pt idx="53">
                  <c:v>47.501334622798559</c:v>
                </c:pt>
                <c:pt idx="54">
                  <c:v>43.212655273317111</c:v>
                </c:pt>
                <c:pt idx="55">
                  <c:v>45.675143987034431</c:v>
                </c:pt>
                <c:pt idx="56">
                  <c:v>46.842760367131802</c:v>
                </c:pt>
                <c:pt idx="57">
                  <c:v>43.134158787622042</c:v>
                </c:pt>
              </c:numCache>
            </c:numRef>
          </c:val>
          <c:smooth val="0"/>
        </c:ser>
        <c:ser>
          <c:idx val="11"/>
          <c:order val="8"/>
          <c:tx>
            <c:strRef>
              <c:f>'Cotton (Adjusted)'!$S$6</c:f>
              <c:strCache>
                <c:ptCount val="1"/>
                <c:pt idx="0">
                  <c:v>Izmir, , in pound/ton</c:v>
                </c:pt>
              </c:strCache>
            </c:strRef>
          </c:tx>
          <c:spPr>
            <a:ln w="158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(Adjusted)'!$S$7:$S$107</c:f>
              <c:numCache>
                <c:formatCode>0.0000</c:formatCode>
                <c:ptCount val="81"/>
                <c:pt idx="25">
                  <c:v>45.424616056577165</c:v>
                </c:pt>
                <c:pt idx="26">
                  <c:v>49.654438604355605</c:v>
                </c:pt>
                <c:pt idx="27">
                  <c:v>47.064695417058978</c:v>
                </c:pt>
                <c:pt idx="28">
                  <c:v>45.573102580798697</c:v>
                </c:pt>
                <c:pt idx="29">
                  <c:v>65.833501964064581</c:v>
                </c:pt>
                <c:pt idx="30">
                  <c:v>52.524458864302346</c:v>
                </c:pt>
                <c:pt idx="31">
                  <c:v>58.716366616598151</c:v>
                </c:pt>
                <c:pt idx="42">
                  <c:v>36.586081670464957</c:v>
                </c:pt>
                <c:pt idx="43">
                  <c:v>32.949704629433505</c:v>
                </c:pt>
                <c:pt idx="44">
                  <c:v>26.640366549179017</c:v>
                </c:pt>
                <c:pt idx="45">
                  <c:v>32.719644628141879</c:v>
                </c:pt>
                <c:pt idx="46">
                  <c:v>34.888179079540471</c:v>
                </c:pt>
                <c:pt idx="47">
                  <c:v>29.242320208677743</c:v>
                </c:pt>
                <c:pt idx="48">
                  <c:v>31.936206253882649</c:v>
                </c:pt>
                <c:pt idx="49">
                  <c:v>41.746674841676658</c:v>
                </c:pt>
                <c:pt idx="50">
                  <c:v>39.866567087214378</c:v>
                </c:pt>
                <c:pt idx="51">
                  <c:v>39.522280757096517</c:v>
                </c:pt>
                <c:pt idx="52">
                  <c:v>51.517859111856765</c:v>
                </c:pt>
                <c:pt idx="53">
                  <c:v>51.495440837328168</c:v>
                </c:pt>
                <c:pt idx="54">
                  <c:v>47.576148151078776</c:v>
                </c:pt>
                <c:pt idx="55">
                  <c:v>51.402213124727616</c:v>
                </c:pt>
                <c:pt idx="56">
                  <c:v>49.984652830780881</c:v>
                </c:pt>
                <c:pt idx="57">
                  <c:v>46.153549902755586</c:v>
                </c:pt>
              </c:numCache>
            </c:numRef>
          </c:val>
          <c:smooth val="0"/>
        </c:ser>
        <c:ser>
          <c:idx val="12"/>
          <c:order val="9"/>
          <c:tx>
            <c:strRef>
              <c:f>'Cotton (Adjusted)'!$T$6</c:f>
              <c:strCache>
                <c:ptCount val="1"/>
                <c:pt idx="0">
                  <c:v>Izmir, Exports,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(Adjusted)'!$T$7:$T$107</c:f>
              <c:numCache>
                <c:formatCode>0.0000</c:formatCode>
                <c:ptCount val="81"/>
                <c:pt idx="14">
                  <c:v>128.65232424203094</c:v>
                </c:pt>
                <c:pt idx="15">
                  <c:v>77.587866366058606</c:v>
                </c:pt>
                <c:pt idx="17">
                  <c:v>35.288499462715478</c:v>
                </c:pt>
                <c:pt idx="18">
                  <c:v>70.669324130361346</c:v>
                </c:pt>
                <c:pt idx="20">
                  <c:v>20.735714285714284</c:v>
                </c:pt>
                <c:pt idx="21">
                  <c:v>72.443284936479131</c:v>
                </c:pt>
                <c:pt idx="23">
                  <c:v>57.023214285714282</c:v>
                </c:pt>
                <c:pt idx="24">
                  <c:v>43.930882109855723</c:v>
                </c:pt>
                <c:pt idx="25">
                  <c:v>48.363827544132548</c:v>
                </c:pt>
                <c:pt idx="31">
                  <c:v>51.933156853281858</c:v>
                </c:pt>
                <c:pt idx="32">
                  <c:v>46.674163953488367</c:v>
                </c:pt>
                <c:pt idx="33">
                  <c:v>47.296060568316044</c:v>
                </c:pt>
                <c:pt idx="34">
                  <c:v>46.01674651360544</c:v>
                </c:pt>
                <c:pt idx="35">
                  <c:v>42.645048018677436</c:v>
                </c:pt>
                <c:pt idx="37">
                  <c:v>41.471428571428568</c:v>
                </c:pt>
                <c:pt idx="38">
                  <c:v>48.72883308554588</c:v>
                </c:pt>
                <c:pt idx="39">
                  <c:v>50.802345846402197</c:v>
                </c:pt>
                <c:pt idx="40">
                  <c:v>81.986016351118764</c:v>
                </c:pt>
                <c:pt idx="41">
                  <c:v>47.692192383545567</c:v>
                </c:pt>
                <c:pt idx="43">
                  <c:v>28.511291473110983</c:v>
                </c:pt>
                <c:pt idx="47">
                  <c:v>15.253036437246964</c:v>
                </c:pt>
                <c:pt idx="48">
                  <c:v>40.39259708737864</c:v>
                </c:pt>
                <c:pt idx="49">
                  <c:v>39.099964551577457</c:v>
                </c:pt>
                <c:pt idx="50">
                  <c:v>41.180425205899255</c:v>
                </c:pt>
                <c:pt idx="51">
                  <c:v>53.525356967011327</c:v>
                </c:pt>
                <c:pt idx="52">
                  <c:v>39.013746273600532</c:v>
                </c:pt>
                <c:pt idx="53">
                  <c:v>39.041346721795627</c:v>
                </c:pt>
                <c:pt idx="54">
                  <c:v>39.075633773308191</c:v>
                </c:pt>
                <c:pt idx="55">
                  <c:v>43.011929460580916</c:v>
                </c:pt>
                <c:pt idx="56">
                  <c:v>44.257885681514054</c:v>
                </c:pt>
                <c:pt idx="57">
                  <c:v>38.704803493449781</c:v>
                </c:pt>
                <c:pt idx="59">
                  <c:v>42.214558058925476</c:v>
                </c:pt>
              </c:numCache>
            </c:numRef>
          </c:val>
          <c:smooth val="0"/>
        </c:ser>
        <c:ser>
          <c:idx val="13"/>
          <c:order val="10"/>
          <c:tx>
            <c:strRef>
              <c:f>'Cotton (Adjusted)'!$U$6</c:f>
              <c:strCache>
                <c:ptCount val="1"/>
                <c:pt idx="0">
                  <c:v>Izmir, , in pound/ton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(Adjusted)'!$U$7:$U$107</c:f>
              <c:numCache>
                <c:formatCode>0.0000</c:formatCode>
                <c:ptCount val="81"/>
                <c:pt idx="0">
                  <c:v>36.000007257486544</c:v>
                </c:pt>
                <c:pt idx="1">
                  <c:v>36.666738031951084</c:v>
                </c:pt>
                <c:pt idx="2">
                  <c:v>48.749988660177259</c:v>
                </c:pt>
                <c:pt idx="3">
                  <c:v>44.000065317378962</c:v>
                </c:pt>
                <c:pt idx="4">
                  <c:v>49.500035380246935</c:v>
                </c:pt>
                <c:pt idx="5">
                  <c:v>53.958352913427255</c:v>
                </c:pt>
                <c:pt idx="6">
                  <c:v>58.416670446607576</c:v>
                </c:pt>
                <c:pt idx="7">
                  <c:v>25.833328192613692</c:v>
                </c:pt>
                <c:pt idx="8">
                  <c:v>23.094773702497481</c:v>
                </c:pt>
                <c:pt idx="9">
                  <c:v>25.411363409567183</c:v>
                </c:pt>
                <c:pt idx="10">
                  <c:v>27.738113597808237</c:v>
                </c:pt>
                <c:pt idx="11">
                  <c:v>139.33372644718818</c:v>
                </c:pt>
                <c:pt idx="12">
                  <c:v>158.66709002004879</c:v>
                </c:pt>
                <c:pt idx="13">
                  <c:v>162.41732362039716</c:v>
                </c:pt>
                <c:pt idx="14">
                  <c:v>121.33341800400976</c:v>
                </c:pt>
                <c:pt idx="15">
                  <c:v>93.333468806415624</c:v>
                </c:pt>
                <c:pt idx="16">
                  <c:v>81.66669630140342</c:v>
                </c:pt>
                <c:pt idx="17">
                  <c:v>74.666734403207798</c:v>
                </c:pt>
                <c:pt idx="18">
                  <c:v>93.333468806415624</c:v>
                </c:pt>
                <c:pt idx="19">
                  <c:v>65.250102058404622</c:v>
                </c:pt>
                <c:pt idx="20">
                  <c:v>84.000050802405852</c:v>
                </c:pt>
                <c:pt idx="21">
                  <c:v>74.666734403207798</c:v>
                </c:pt>
                <c:pt idx="22">
                  <c:v>64.333423447124673</c:v>
                </c:pt>
                <c:pt idx="23">
                  <c:v>56.000101604811711</c:v>
                </c:pt>
                <c:pt idx="24">
                  <c:v>46.666683600801953</c:v>
                </c:pt>
                <c:pt idx="25">
                  <c:v>53.472377099001186</c:v>
                </c:pt>
                <c:pt idx="26">
                  <c:v>58.451622501837043</c:v>
                </c:pt>
                <c:pt idx="27">
                  <c:v>57.657885712730533</c:v>
                </c:pt>
                <c:pt idx="28">
                  <c:v>56.142449946022438</c:v>
                </c:pt>
                <c:pt idx="29">
                  <c:v>66.750297103355678</c:v>
                </c:pt>
                <c:pt idx="30">
                  <c:v>53.25595885005125</c:v>
                </c:pt>
                <c:pt idx="31">
                  <c:v>59.534120165833563</c:v>
                </c:pt>
                <c:pt idx="32">
                  <c:v>57.007614917763604</c:v>
                </c:pt>
                <c:pt idx="33">
                  <c:v>54.482735346681054</c:v>
                </c:pt>
                <c:pt idx="34">
                  <c:v>51.957042937104809</c:v>
                </c:pt>
                <c:pt idx="35">
                  <c:v>46.905658117952299</c:v>
                </c:pt>
                <c:pt idx="36">
                  <c:v>51.235343959503219</c:v>
                </c:pt>
                <c:pt idx="37">
                  <c:v>49.070551841133614</c:v>
                </c:pt>
                <c:pt idx="38">
                  <c:v>46.905658117952299</c:v>
                </c:pt>
                <c:pt idx="39">
                  <c:v>46.616998847874008</c:v>
                </c:pt>
                <c:pt idx="40">
                  <c:v>48.709651549926967</c:v>
                </c:pt>
                <c:pt idx="41">
                  <c:v>41.204815342326569</c:v>
                </c:pt>
                <c:pt idx="42">
                  <c:v>38.101804392593735</c:v>
                </c:pt>
                <c:pt idx="43">
                  <c:v>36.081291106857421</c:v>
                </c:pt>
                <c:pt idx="44">
                  <c:v>28.432074461812011</c:v>
                </c:pt>
                <c:pt idx="45">
                  <c:v>33.194800010886226</c:v>
                </c:pt>
                <c:pt idx="46">
                  <c:v>36.081291106857421</c:v>
                </c:pt>
                <c:pt idx="47">
                  <c:v>30.380448331231687</c:v>
                </c:pt>
                <c:pt idx="48">
                  <c:v>33.12255898975787</c:v>
                </c:pt>
                <c:pt idx="49">
                  <c:v>43.297468044379528</c:v>
                </c:pt>
                <c:pt idx="50">
                  <c:v>41.276954758643214</c:v>
                </c:pt>
                <c:pt idx="51">
                  <c:v>41.060434904881568</c:v>
                </c:pt>
                <c:pt idx="52">
                  <c:v>52.245702207183093</c:v>
                </c:pt>
                <c:pt idx="53">
                  <c:v>52.101321769738092</c:v>
                </c:pt>
                <c:pt idx="54">
                  <c:v>48.78189257105533</c:v>
                </c:pt>
                <c:pt idx="55">
                  <c:v>52.462120456133022</c:v>
                </c:pt>
                <c:pt idx="56">
                  <c:v>50.513746586713353</c:v>
                </c:pt>
                <c:pt idx="57">
                  <c:v>40.755214050493962</c:v>
                </c:pt>
                <c:pt idx="58">
                  <c:v>43.228275167602575</c:v>
                </c:pt>
                <c:pt idx="59">
                  <c:v>45.814524044960123</c:v>
                </c:pt>
                <c:pt idx="60">
                  <c:v>55.236033420725562</c:v>
                </c:pt>
                <c:pt idx="61">
                  <c:v>50.525329535248702</c:v>
                </c:pt>
                <c:pt idx="62">
                  <c:v>47.107648483638897</c:v>
                </c:pt>
              </c:numCache>
            </c:numRef>
          </c:val>
          <c:smooth val="0"/>
        </c:ser>
        <c:ser>
          <c:idx val="14"/>
          <c:order val="11"/>
          <c:tx>
            <c:strRef>
              <c:f>'Cotton (Adjusted)'!$V$6</c:f>
              <c:strCache>
                <c:ptCount val="1"/>
                <c:pt idx="0">
                  <c:v>Alexandretta, Exports,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(Adjusted)'!$V$7:$V$107</c:f>
              <c:numCache>
                <c:formatCode>0.0000</c:formatCode>
                <c:ptCount val="81"/>
                <c:pt idx="27">
                  <c:v>51.99999999999995</c:v>
                </c:pt>
                <c:pt idx="28">
                  <c:v>56.119047619047571</c:v>
                </c:pt>
                <c:pt idx="29">
                  <c:v>49.99999999999995</c:v>
                </c:pt>
                <c:pt idx="30">
                  <c:v>49.99999999999995</c:v>
                </c:pt>
                <c:pt idx="31">
                  <c:v>49.019607843137209</c:v>
                </c:pt>
                <c:pt idx="32">
                  <c:v>50.026490066225115</c:v>
                </c:pt>
                <c:pt idx="36">
                  <c:v>41.999999999999964</c:v>
                </c:pt>
                <c:pt idx="37">
                  <c:v>42.210256410256378</c:v>
                </c:pt>
                <c:pt idx="38">
                  <c:v>41.485049833887004</c:v>
                </c:pt>
                <c:pt idx="39">
                  <c:v>40.01515151515148</c:v>
                </c:pt>
                <c:pt idx="40">
                  <c:v>31.999999999999972</c:v>
                </c:pt>
                <c:pt idx="41">
                  <c:v>28.666666666666639</c:v>
                </c:pt>
                <c:pt idx="42">
                  <c:v>30.571428571428548</c:v>
                </c:pt>
                <c:pt idx="43">
                  <c:v>32.307692307692278</c:v>
                </c:pt>
                <c:pt idx="44">
                  <c:v>32.137614678899055</c:v>
                </c:pt>
                <c:pt idx="45">
                  <c:v>32.222836095764237</c:v>
                </c:pt>
                <c:pt idx="46">
                  <c:v>31.983240223463657</c:v>
                </c:pt>
                <c:pt idx="47">
                  <c:v>31.555023923444946</c:v>
                </c:pt>
                <c:pt idx="48">
                  <c:v>21.999999999999979</c:v>
                </c:pt>
                <c:pt idx="49">
                  <c:v>29.979094076655027</c:v>
                </c:pt>
                <c:pt idx="50">
                  <c:v>29.999999999999972</c:v>
                </c:pt>
                <c:pt idx="51">
                  <c:v>29.999999999999972</c:v>
                </c:pt>
                <c:pt idx="52">
                  <c:v>36.218637992831511</c:v>
                </c:pt>
                <c:pt idx="53">
                  <c:v>35.92401215805468</c:v>
                </c:pt>
                <c:pt idx="54">
                  <c:v>36.01801801801799</c:v>
                </c:pt>
                <c:pt idx="55">
                  <c:v>37.182680901542078</c:v>
                </c:pt>
                <c:pt idx="56">
                  <c:v>35.999999999999964</c:v>
                </c:pt>
                <c:pt idx="57">
                  <c:v>35.999999999999972</c:v>
                </c:pt>
                <c:pt idx="58">
                  <c:v>55.824742268041177</c:v>
                </c:pt>
                <c:pt idx="59">
                  <c:v>57.879133409350004</c:v>
                </c:pt>
                <c:pt idx="60">
                  <c:v>56.379721669980121</c:v>
                </c:pt>
                <c:pt idx="61">
                  <c:v>52.494366197183098</c:v>
                </c:pt>
                <c:pt idx="62">
                  <c:v>44.13134328358209</c:v>
                </c:pt>
              </c:numCache>
            </c:numRef>
          </c:val>
          <c:smooth val="0"/>
        </c:ser>
        <c:ser>
          <c:idx val="15"/>
          <c:order val="12"/>
          <c:tx>
            <c:strRef>
              <c:f>'Cotton (Adjusted)'!$AC$6</c:f>
              <c:strCache>
                <c:ptCount val="1"/>
                <c:pt idx="0">
                  <c:v>Resht &amp; Mazandaran, Exports, in pound/ton</c:v>
                </c:pt>
              </c:strCache>
            </c:strRef>
          </c:tx>
          <c:spPr>
            <a:ln w="158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(Adjusted)'!$AC$7:$AC$107</c:f>
              <c:numCache>
                <c:formatCode>0.0000</c:formatCode>
                <c:ptCount val="81"/>
                <c:pt idx="22">
                  <c:v>49.158918918918815</c:v>
                </c:pt>
                <c:pt idx="23">
                  <c:v>38.828967642526884</c:v>
                </c:pt>
                <c:pt idx="24">
                  <c:v>40.545882352941277</c:v>
                </c:pt>
                <c:pt idx="43">
                  <c:v>19.101877891681021</c:v>
                </c:pt>
                <c:pt idx="44">
                  <c:v>18.646025141534537</c:v>
                </c:pt>
                <c:pt idx="51">
                  <c:v>32.777638405266273</c:v>
                </c:pt>
                <c:pt idx="55">
                  <c:v>46.141273049734913</c:v>
                </c:pt>
                <c:pt idx="56">
                  <c:v>53.527130468842465</c:v>
                </c:pt>
                <c:pt idx="57">
                  <c:v>52.672628402253885</c:v>
                </c:pt>
                <c:pt idx="58">
                  <c:v>60.111774265358818</c:v>
                </c:pt>
                <c:pt idx="59">
                  <c:v>75.053765036170361</c:v>
                </c:pt>
              </c:numCache>
            </c:numRef>
          </c:val>
          <c:smooth val="0"/>
        </c:ser>
        <c:ser>
          <c:idx val="17"/>
          <c:order val="13"/>
          <c:tx>
            <c:strRef>
              <c:f>'Cotton (Adjusted)'!$AE$6</c:f>
              <c:strCache>
                <c:ptCount val="1"/>
                <c:pt idx="0">
                  <c:v>Ghilan &amp; Tunekabun, Exports, in pound/ton</c:v>
                </c:pt>
              </c:strCache>
            </c:strRef>
          </c:tx>
          <c:spPr>
            <a:ln w="158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(Adjusted)'!$AE$7:$AE$107</c:f>
              <c:numCache>
                <c:formatCode>0.0000</c:formatCode>
                <c:ptCount val="81"/>
                <c:pt idx="55">
                  <c:v>48.549819774093791</c:v>
                </c:pt>
                <c:pt idx="56">
                  <c:v>44.598048718545733</c:v>
                </c:pt>
                <c:pt idx="57">
                  <c:v>45.414721421043296</c:v>
                </c:pt>
                <c:pt idx="58">
                  <c:v>49.526252755926912</c:v>
                </c:pt>
                <c:pt idx="59">
                  <c:v>44.799973716998302</c:v>
                </c:pt>
              </c:numCache>
            </c:numRef>
          </c:val>
          <c:smooth val="0"/>
        </c:ser>
        <c:ser>
          <c:idx val="18"/>
          <c:order val="14"/>
          <c:tx>
            <c:strRef>
              <c:f>'Cotton (Adjusted)'!$AF$6</c:f>
              <c:strCache>
                <c:ptCount val="1"/>
                <c:pt idx="0">
                  <c:v>Bender Gez &amp; Astarabad, Exports,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(Adjusted)'!$AF$7:$AF$107</c:f>
              <c:numCache>
                <c:formatCode>0.0000</c:formatCode>
                <c:ptCount val="81"/>
                <c:pt idx="40">
                  <c:v>21.473103448275854</c:v>
                </c:pt>
                <c:pt idx="41">
                  <c:v>20.303448275862081</c:v>
                </c:pt>
                <c:pt idx="55">
                  <c:v>51.81263712036003</c:v>
                </c:pt>
                <c:pt idx="56">
                  <c:v>52.974791466252093</c:v>
                </c:pt>
                <c:pt idx="57">
                  <c:v>55.649644643566404</c:v>
                </c:pt>
                <c:pt idx="58">
                  <c:v>59.254542399267486</c:v>
                </c:pt>
                <c:pt idx="59">
                  <c:v>69.021967086933273</c:v>
                </c:pt>
              </c:numCache>
            </c:numRef>
          </c:val>
          <c:smooth val="0"/>
        </c:ser>
        <c:ser>
          <c:idx val="19"/>
          <c:order val="15"/>
          <c:tx>
            <c:strRef>
              <c:f>'Cotton (Adjusted)'!$AG$6</c:f>
              <c:strCache>
                <c:ptCount val="1"/>
                <c:pt idx="0">
                  <c:v>Bahrain, Imports,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(Adjusted)'!$AG$7:$AG$107</c:f>
              <c:numCache>
                <c:formatCode>0.0000</c:formatCode>
                <c:ptCount val="81"/>
                <c:pt idx="37">
                  <c:v>33.079166666666666</c:v>
                </c:pt>
                <c:pt idx="38">
                  <c:v>35.940067665538905</c:v>
                </c:pt>
                <c:pt idx="40">
                  <c:v>34.152923538230887</c:v>
                </c:pt>
                <c:pt idx="41">
                  <c:v>29.277108433734938</c:v>
                </c:pt>
                <c:pt idx="42">
                  <c:v>28.858299595141702</c:v>
                </c:pt>
                <c:pt idx="43">
                  <c:v>25.28</c:v>
                </c:pt>
                <c:pt idx="44">
                  <c:v>31.043137254901964</c:v>
                </c:pt>
                <c:pt idx="45">
                  <c:v>25.342756183745582</c:v>
                </c:pt>
                <c:pt idx="46">
                  <c:v>28.858638743455497</c:v>
                </c:pt>
                <c:pt idx="47">
                  <c:v>24.903225806451612</c:v>
                </c:pt>
                <c:pt idx="48">
                  <c:v>30.196078431372548</c:v>
                </c:pt>
                <c:pt idx="49">
                  <c:v>28.197325956662059</c:v>
                </c:pt>
                <c:pt idx="50">
                  <c:v>30.02290950744559</c:v>
                </c:pt>
                <c:pt idx="51">
                  <c:v>33.297872340425535</c:v>
                </c:pt>
                <c:pt idx="52">
                  <c:v>37.599999999999994</c:v>
                </c:pt>
                <c:pt idx="53">
                  <c:v>25.699958211450063</c:v>
                </c:pt>
                <c:pt idx="54">
                  <c:v>29.467330016583748</c:v>
                </c:pt>
                <c:pt idx="55">
                  <c:v>23.108851518706818</c:v>
                </c:pt>
                <c:pt idx="56">
                  <c:v>27.986798679867988</c:v>
                </c:pt>
                <c:pt idx="57">
                  <c:v>33.704052780395855</c:v>
                </c:pt>
                <c:pt idx="58">
                  <c:v>13.564888384411653</c:v>
                </c:pt>
                <c:pt idx="59">
                  <c:v>53.926701570680621</c:v>
                </c:pt>
                <c:pt idx="60">
                  <c:v>27.318489835430782</c:v>
                </c:pt>
                <c:pt idx="61">
                  <c:v>26.064516129032256</c:v>
                </c:pt>
                <c:pt idx="62">
                  <c:v>37.481481481481481</c:v>
                </c:pt>
              </c:numCache>
            </c:numRef>
          </c:val>
          <c:smooth val="0"/>
        </c:ser>
        <c:ser>
          <c:idx val="20"/>
          <c:order val="16"/>
          <c:tx>
            <c:strRef>
              <c:f>'Cotton (Adjusted)'!$AH$6</c:f>
              <c:strCache>
                <c:ptCount val="1"/>
                <c:pt idx="0">
                  <c:v>Bahrain &amp; Muscat, Exports,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(Adjusted)'!$AH$7:$AH$107</c:f>
              <c:numCache>
                <c:formatCode>0.0000</c:formatCode>
                <c:ptCount val="81"/>
                <c:pt idx="23">
                  <c:v>32.923704954954999</c:v>
                </c:pt>
                <c:pt idx="24">
                  <c:v>26.974147982387603</c:v>
                </c:pt>
                <c:pt idx="25">
                  <c:v>25.017781205643001</c:v>
                </c:pt>
                <c:pt idx="26">
                  <c:v>24.758061518109802</c:v>
                </c:pt>
                <c:pt idx="27">
                  <c:v>23.741767088631999</c:v>
                </c:pt>
                <c:pt idx="28">
                  <c:v>33.852890118396203</c:v>
                </c:pt>
                <c:pt idx="29">
                  <c:v>29.500768855672401</c:v>
                </c:pt>
                <c:pt idx="30">
                  <c:v>35.0198122157528</c:v>
                </c:pt>
                <c:pt idx="31">
                  <c:v>8.0717230648902607</c:v>
                </c:pt>
                <c:pt idx="32">
                  <c:v>9.3494676511821204</c:v>
                </c:pt>
                <c:pt idx="33">
                  <c:v>32.013274528547797</c:v>
                </c:pt>
                <c:pt idx="34">
                  <c:v>5.9407349723115397</c:v>
                </c:pt>
                <c:pt idx="35">
                  <c:v>14.63947928176224</c:v>
                </c:pt>
                <c:pt idx="36">
                  <c:v>16.14778926836804</c:v>
                </c:pt>
                <c:pt idx="37">
                  <c:v>20.334357709799804</c:v>
                </c:pt>
                <c:pt idx="38">
                  <c:v>20.157789384678399</c:v>
                </c:pt>
                <c:pt idx="39">
                  <c:v>22.646427536861601</c:v>
                </c:pt>
                <c:pt idx="40">
                  <c:v>20.354118990372999</c:v>
                </c:pt>
                <c:pt idx="41">
                  <c:v>19.74998841285014</c:v>
                </c:pt>
                <c:pt idx="42">
                  <c:v>20.637962838606001</c:v>
                </c:pt>
                <c:pt idx="43">
                  <c:v>14.3777431370277</c:v>
                </c:pt>
                <c:pt idx="46">
                  <c:v>17.333333333333336</c:v>
                </c:pt>
                <c:pt idx="47">
                  <c:v>23.846153846153847</c:v>
                </c:pt>
                <c:pt idx="48">
                  <c:v>27.878787878787882</c:v>
                </c:pt>
                <c:pt idx="49">
                  <c:v>33</c:v>
                </c:pt>
                <c:pt idx="50">
                  <c:v>34.883720930232556</c:v>
                </c:pt>
                <c:pt idx="51">
                  <c:v>30.434782608695656</c:v>
                </c:pt>
                <c:pt idx="52">
                  <c:v>40</c:v>
                </c:pt>
                <c:pt idx="53">
                  <c:v>37.209302325581397</c:v>
                </c:pt>
                <c:pt idx="54">
                  <c:v>36.028368794326241</c:v>
                </c:pt>
                <c:pt idx="55">
                  <c:v>28.000000000000004</c:v>
                </c:pt>
                <c:pt idx="59">
                  <c:v>55.490196078431396</c:v>
                </c:pt>
                <c:pt idx="60">
                  <c:v>63.8888888888888</c:v>
                </c:pt>
              </c:numCache>
            </c:numRef>
          </c:val>
          <c:smooth val="0"/>
        </c:ser>
        <c:ser>
          <c:idx val="21"/>
          <c:order val="17"/>
          <c:tx>
            <c:strRef>
              <c:f>'Cotton (Adjusted)'!$AI$6</c:f>
              <c:strCache>
                <c:ptCount val="1"/>
                <c:pt idx="0">
                  <c:v>Mohammerah, Exports, in pound/ton</c:v>
                </c:pt>
              </c:strCache>
            </c:strRef>
          </c:tx>
          <c:spPr>
            <a:ln w="158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(Adjusted)'!$AI$7:$AI$107</c:f>
              <c:numCache>
                <c:formatCode>0.0000</c:formatCode>
                <c:ptCount val="81"/>
                <c:pt idx="39">
                  <c:v>30.6666666666666</c:v>
                </c:pt>
                <c:pt idx="49">
                  <c:v>25.886654478976201</c:v>
                </c:pt>
                <c:pt idx="50">
                  <c:v>22.788844621513999</c:v>
                </c:pt>
                <c:pt idx="51">
                  <c:v>22.956669498725599</c:v>
                </c:pt>
              </c:numCache>
            </c:numRef>
          </c:val>
          <c:smooth val="0"/>
        </c:ser>
        <c:ser>
          <c:idx val="22"/>
          <c:order val="18"/>
          <c:tx>
            <c:strRef>
              <c:f>'Cotton (Adjusted)'!$AJ$6</c:f>
              <c:strCache>
                <c:ptCount val="1"/>
                <c:pt idx="0">
                  <c:v>Lingah, Imports,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(Adjusted)'!$AJ$7:$AJ$107</c:f>
              <c:numCache>
                <c:formatCode>0.0000</c:formatCode>
                <c:ptCount val="81"/>
                <c:pt idx="36">
                  <c:v>41.592039800994996</c:v>
                </c:pt>
                <c:pt idx="37">
                  <c:v>29.846153846153797</c:v>
                </c:pt>
                <c:pt idx="38">
                  <c:v>27.3555555555556</c:v>
                </c:pt>
                <c:pt idx="39">
                  <c:v>27.9850746268656</c:v>
                </c:pt>
                <c:pt idx="40">
                  <c:v>21.446111869031398</c:v>
                </c:pt>
                <c:pt idx="41">
                  <c:v>22.135593220339</c:v>
                </c:pt>
                <c:pt idx="42">
                  <c:v>38.685714285714198</c:v>
                </c:pt>
                <c:pt idx="43">
                  <c:v>20.453333333333397</c:v>
                </c:pt>
                <c:pt idx="44">
                  <c:v>22.025000000000002</c:v>
                </c:pt>
                <c:pt idx="45">
                  <c:v>17.649999999999999</c:v>
                </c:pt>
                <c:pt idx="46">
                  <c:v>19.650000000000002</c:v>
                </c:pt>
                <c:pt idx="47">
                  <c:v>15.625</c:v>
                </c:pt>
                <c:pt idx="48">
                  <c:v>20.714285714285801</c:v>
                </c:pt>
                <c:pt idx="49">
                  <c:v>23.173913043478201</c:v>
                </c:pt>
                <c:pt idx="50">
                  <c:v>20.9142857142858</c:v>
                </c:pt>
                <c:pt idx="56">
                  <c:v>34.375</c:v>
                </c:pt>
                <c:pt idx="59">
                  <c:v>21.818181818181799</c:v>
                </c:pt>
                <c:pt idx="60">
                  <c:v>42.531645569620196</c:v>
                </c:pt>
                <c:pt idx="61">
                  <c:v>46.956521739130402</c:v>
                </c:pt>
              </c:numCache>
            </c:numRef>
          </c:val>
          <c:smooth val="0"/>
        </c:ser>
        <c:ser>
          <c:idx val="23"/>
          <c:order val="19"/>
          <c:tx>
            <c:strRef>
              <c:f>'Cotton (Adjusted)'!$AK$6</c:f>
              <c:strCache>
                <c:ptCount val="1"/>
                <c:pt idx="0">
                  <c:v>Lingah, Exports, in pound/ton</c:v>
                </c:pt>
              </c:strCache>
            </c:strRef>
          </c:tx>
          <c:spPr>
            <a:ln w="158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(Adjusted)'!$AK$7:$AK$107</c:f>
              <c:numCache>
                <c:formatCode>0.0000</c:formatCode>
                <c:ptCount val="81"/>
                <c:pt idx="46">
                  <c:v>22.5</c:v>
                </c:pt>
                <c:pt idx="47">
                  <c:v>18.785714285714278</c:v>
                </c:pt>
                <c:pt idx="48">
                  <c:v>20</c:v>
                </c:pt>
                <c:pt idx="49">
                  <c:v>20</c:v>
                </c:pt>
                <c:pt idx="50">
                  <c:v>19.2</c:v>
                </c:pt>
                <c:pt idx="55">
                  <c:v>36.754385964912203</c:v>
                </c:pt>
                <c:pt idx="56">
                  <c:v>39.122807017543799</c:v>
                </c:pt>
                <c:pt idx="57">
                  <c:v>33.157894736842202</c:v>
                </c:pt>
                <c:pt idx="58">
                  <c:v>33.714285714285801</c:v>
                </c:pt>
                <c:pt idx="59">
                  <c:v>43.267973856209203</c:v>
                </c:pt>
                <c:pt idx="60">
                  <c:v>50.940170940171001</c:v>
                </c:pt>
                <c:pt idx="61">
                  <c:v>56.25</c:v>
                </c:pt>
              </c:numCache>
            </c:numRef>
          </c:val>
          <c:smooth val="0"/>
        </c:ser>
        <c:ser>
          <c:idx val="24"/>
          <c:order val="20"/>
          <c:tx>
            <c:strRef>
              <c:f>'Cotton (Adjusted)'!$AL$6</c:f>
              <c:strCache>
                <c:ptCount val="1"/>
                <c:pt idx="0">
                  <c:v>Shiraz, Exports,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(Adjusted)'!$AL$7:$AL$107</c:f>
              <c:numCache>
                <c:formatCode>General</c:formatCode>
                <c:ptCount val="81"/>
                <c:pt idx="36" formatCode="0.0000">
                  <c:v>25.5647508010126</c:v>
                </c:pt>
                <c:pt idx="37" formatCode="0.0000">
                  <c:v>22.711864503954203</c:v>
                </c:pt>
                <c:pt idx="38" formatCode="0.0000">
                  <c:v>24.088995135765799</c:v>
                </c:pt>
                <c:pt idx="39" formatCode="0.0000">
                  <c:v>20.667916249074199</c:v>
                </c:pt>
                <c:pt idx="40" formatCode="0.0000">
                  <c:v>26.044226044226001</c:v>
                </c:pt>
                <c:pt idx="41" formatCode="0.0000">
                  <c:v>9.5237854251012202</c:v>
                </c:pt>
                <c:pt idx="43" formatCode="0.0000">
                  <c:v>10.371111111111119</c:v>
                </c:pt>
                <c:pt idx="44" formatCode="0.0000">
                  <c:v>12.34545454545454</c:v>
                </c:pt>
                <c:pt idx="45" formatCode="0.0000">
                  <c:v>10.457333333333342</c:v>
                </c:pt>
                <c:pt idx="47" formatCode="0.0000">
                  <c:v>10.649251135980579</c:v>
                </c:pt>
                <c:pt idx="48" formatCode="0.0000">
                  <c:v>11.660773996879481</c:v>
                </c:pt>
                <c:pt idx="49" formatCode="0.0000">
                  <c:v>9.7364404621986793</c:v>
                </c:pt>
                <c:pt idx="50" formatCode="0.0000">
                  <c:v>8.8886486486486405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351184"/>
        <c:axId val="609351744"/>
      </c:lineChart>
      <c:catAx>
        <c:axId val="60935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351744"/>
        <c:crosses val="autoZero"/>
        <c:auto val="1"/>
        <c:lblAlgn val="ctr"/>
        <c:lblOffset val="100"/>
        <c:noMultiLvlLbl val="0"/>
      </c:catAx>
      <c:valAx>
        <c:axId val="609351744"/>
        <c:scaling>
          <c:orientation val="minMax"/>
          <c:max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351184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742391762782636"/>
          <c:y val="7.8445226205794735E-2"/>
          <c:w val="0.22593597613047373"/>
          <c:h val="0.87581799651355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1" i="0" u="none" strike="noStrike" kern="1200" spc="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Cotton, UK, Black Sea, Caspian Sea, Persia, Persian Gulf &amp; India, in pound/ton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1" i="0" u="none" strike="noStrike" kern="1200" spc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'Cotton (Adjusted)'!$C$6</c:f>
              <c:strCache>
                <c:ptCount val="1"/>
                <c:pt idx="0">
                  <c:v>UK, Imports, in pound/ton</c:v>
                </c:pt>
              </c:strCache>
            </c:strRef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(Adjusted)'!$C$7:$C$107</c:f>
              <c:numCache>
                <c:formatCode>0.0000</c:formatCode>
                <c:ptCount val="81"/>
                <c:pt idx="3">
                  <c:v>50.931138031789246</c:v>
                </c:pt>
                <c:pt idx="4">
                  <c:v>52.369578216521809</c:v>
                </c:pt>
                <c:pt idx="5">
                  <c:v>57.861914480692192</c:v>
                </c:pt>
                <c:pt idx="6">
                  <c:v>67.6835794192544</c:v>
                </c:pt>
                <c:pt idx="7">
                  <c:v>65.200481895461252</c:v>
                </c:pt>
                <c:pt idx="8">
                  <c:v>63.143780322374681</c:v>
                </c:pt>
                <c:pt idx="9">
                  <c:v>57.58375050023794</c:v>
                </c:pt>
                <c:pt idx="10">
                  <c:v>68.881991197067322</c:v>
                </c:pt>
                <c:pt idx="11">
                  <c:v>132.92360761835465</c:v>
                </c:pt>
                <c:pt idx="12">
                  <c:v>188.14404533993084</c:v>
                </c:pt>
                <c:pt idx="13">
                  <c:v>195.96352875846935</c:v>
                </c:pt>
                <c:pt idx="14">
                  <c:v>151.19999999999999</c:v>
                </c:pt>
                <c:pt idx="15">
                  <c:v>126</c:v>
                </c:pt>
                <c:pt idx="16">
                  <c:v>92.2</c:v>
                </c:pt>
                <c:pt idx="17">
                  <c:v>93.000000000000014</c:v>
                </c:pt>
                <c:pt idx="18">
                  <c:v>104.2</c:v>
                </c:pt>
                <c:pt idx="19">
                  <c:v>89.4</c:v>
                </c:pt>
                <c:pt idx="20">
                  <c:v>70.400000000000006</c:v>
                </c:pt>
                <c:pt idx="21">
                  <c:v>84.800000000000011</c:v>
                </c:pt>
                <c:pt idx="22">
                  <c:v>80.2</c:v>
                </c:pt>
                <c:pt idx="23">
                  <c:v>72.400000000000006</c:v>
                </c:pt>
                <c:pt idx="24">
                  <c:v>69.400000000000006</c:v>
                </c:pt>
                <c:pt idx="25">
                  <c:v>60.4</c:v>
                </c:pt>
                <c:pt idx="26">
                  <c:v>58.6</c:v>
                </c:pt>
                <c:pt idx="27">
                  <c:v>55.999999999999993</c:v>
                </c:pt>
                <c:pt idx="28">
                  <c:v>55.199999999999996</c:v>
                </c:pt>
                <c:pt idx="29">
                  <c:v>58.8</c:v>
                </c:pt>
                <c:pt idx="30">
                  <c:v>58.4</c:v>
                </c:pt>
                <c:pt idx="31">
                  <c:v>58.6</c:v>
                </c:pt>
                <c:pt idx="32">
                  <c:v>58.20000000000001</c:v>
                </c:pt>
                <c:pt idx="33">
                  <c:v>57</c:v>
                </c:pt>
                <c:pt idx="34">
                  <c:v>57.199999999999996</c:v>
                </c:pt>
                <c:pt idx="35">
                  <c:v>49.800000000000004</c:v>
                </c:pt>
                <c:pt idx="36">
                  <c:v>50.199999999999996</c:v>
                </c:pt>
                <c:pt idx="37">
                  <c:v>51.8</c:v>
                </c:pt>
                <c:pt idx="38">
                  <c:v>52.8</c:v>
                </c:pt>
                <c:pt idx="39">
                  <c:v>53.399999999999991</c:v>
                </c:pt>
                <c:pt idx="40">
                  <c:v>51.8</c:v>
                </c:pt>
                <c:pt idx="41">
                  <c:v>47.800000000000004</c:v>
                </c:pt>
                <c:pt idx="42">
                  <c:v>48.533333333333331</c:v>
                </c:pt>
                <c:pt idx="43">
                  <c:v>41.25333333333333</c:v>
                </c:pt>
                <c:pt idx="44">
                  <c:v>38.826666666666668</c:v>
                </c:pt>
                <c:pt idx="45">
                  <c:v>46.293333333333329</c:v>
                </c:pt>
                <c:pt idx="46">
                  <c:v>41.81333333333334</c:v>
                </c:pt>
                <c:pt idx="47">
                  <c:v>35.93333333333333</c:v>
                </c:pt>
                <c:pt idx="48">
                  <c:v>38.080000000000005</c:v>
                </c:pt>
                <c:pt idx="49">
                  <c:v>52.173333333333332</c:v>
                </c:pt>
                <c:pt idx="50">
                  <c:v>51.426666666666662</c:v>
                </c:pt>
                <c:pt idx="51">
                  <c:v>50.773333333333333</c:v>
                </c:pt>
                <c:pt idx="52">
                  <c:v>56</c:v>
                </c:pt>
                <c:pt idx="53">
                  <c:v>62.626666666666665</c:v>
                </c:pt>
                <c:pt idx="54">
                  <c:v>53.013333333333328</c:v>
                </c:pt>
                <c:pt idx="55">
                  <c:v>70.14</c:v>
                </c:pt>
                <c:pt idx="56">
                  <c:v>77.513333333333335</c:v>
                </c:pt>
                <c:pt idx="57">
                  <c:v>71.586666666666659</c:v>
                </c:pt>
                <c:pt idx="58">
                  <c:v>71.213333333333338</c:v>
                </c:pt>
                <c:pt idx="59">
                  <c:v>97.486666666666665</c:v>
                </c:pt>
                <c:pt idx="60">
                  <c:v>85.726666666666674</c:v>
                </c:pt>
                <c:pt idx="61">
                  <c:v>75.88000000000001</c:v>
                </c:pt>
                <c:pt idx="62">
                  <c:v>82.506666666666661</c:v>
                </c:pt>
                <c:pt idx="63">
                  <c:v>76.066666666666663</c:v>
                </c:pt>
                <c:pt idx="64">
                  <c:v>63.186666666666675</c:v>
                </c:pt>
                <c:pt idx="65">
                  <c:v>100.61333333333336</c:v>
                </c:pt>
                <c:pt idx="66">
                  <c:v>174.06666666666666</c:v>
                </c:pt>
                <c:pt idx="67">
                  <c:v>237.01999999999998</c:v>
                </c:pt>
                <c:pt idx="68">
                  <c:v>239.11999999999998</c:v>
                </c:pt>
                <c:pt idx="69">
                  <c:v>374.22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'Cotton (Adjusted)'!$N$6</c:f>
              <c:strCache>
                <c:ptCount val="1"/>
                <c:pt idx="0">
                  <c:v>Turkey, Exports, in pound/ton</c:v>
                </c:pt>
              </c:strCache>
            </c:strRef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(Adjusted)'!$N$7:$N$107</c:f>
              <c:numCache>
                <c:formatCode>0.0000</c:formatCode>
                <c:ptCount val="81"/>
                <c:pt idx="60">
                  <c:v>49.634710835982375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'Cotton (Adjusted)'!$O$6</c:f>
              <c:strCache>
                <c:ptCount val="1"/>
                <c:pt idx="0">
                  <c:v>Constantinople, Imports, in pound/ton</c:v>
                </c:pt>
              </c:strCache>
            </c:strRef>
          </c:tx>
          <c:spPr>
            <a:ln w="158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(Adjusted)'!$O$7:$O$107</c:f>
              <c:numCache>
                <c:formatCode>0.0000</c:formatCode>
                <c:ptCount val="81"/>
                <c:pt idx="49">
                  <c:v>35.490605427974948</c:v>
                </c:pt>
                <c:pt idx="59">
                  <c:v>22.916666666666668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'Cotton (Adjusted)'!$P$6</c:f>
              <c:strCache>
                <c:ptCount val="1"/>
                <c:pt idx="0">
                  <c:v>Trebizond (Anatolia), Imports, in pound/ton</c:v>
                </c:pt>
              </c:strCache>
            </c:strRef>
          </c:tx>
          <c:spPr>
            <a:ln w="158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(Adjusted)'!$P$7:$P$107</c:f>
              <c:numCache>
                <c:formatCode>0.0000</c:formatCode>
                <c:ptCount val="81"/>
                <c:pt idx="32">
                  <c:v>40</c:v>
                </c:pt>
                <c:pt idx="33">
                  <c:v>40</c:v>
                </c:pt>
                <c:pt idx="34">
                  <c:v>41.428571428571431</c:v>
                </c:pt>
                <c:pt idx="35">
                  <c:v>40</c:v>
                </c:pt>
                <c:pt idx="36">
                  <c:v>39.677419354838712</c:v>
                </c:pt>
                <c:pt idx="37">
                  <c:v>40</c:v>
                </c:pt>
                <c:pt idx="38">
                  <c:v>36.721311475409834</c:v>
                </c:pt>
                <c:pt idx="39">
                  <c:v>40</c:v>
                </c:pt>
                <c:pt idx="40">
                  <c:v>40</c:v>
                </c:pt>
                <c:pt idx="41">
                  <c:v>40.128205128205124</c:v>
                </c:pt>
                <c:pt idx="42">
                  <c:v>40</c:v>
                </c:pt>
                <c:pt idx="43">
                  <c:v>40</c:v>
                </c:pt>
                <c:pt idx="44">
                  <c:v>40</c:v>
                </c:pt>
                <c:pt idx="45">
                  <c:v>40.149253731343286</c:v>
                </c:pt>
                <c:pt idx="46">
                  <c:v>40</c:v>
                </c:pt>
                <c:pt idx="47">
                  <c:v>40</c:v>
                </c:pt>
                <c:pt idx="48">
                  <c:v>40</c:v>
                </c:pt>
                <c:pt idx="49">
                  <c:v>48.695652173913047</c:v>
                </c:pt>
                <c:pt idx="50">
                  <c:v>51.981132075471699</c:v>
                </c:pt>
                <c:pt idx="51">
                  <c:v>48.078817733990149</c:v>
                </c:pt>
                <c:pt idx="52">
                  <c:v>51.980198019801982</c:v>
                </c:pt>
                <c:pt idx="53">
                  <c:v>60.111111111111114</c:v>
                </c:pt>
                <c:pt idx="54">
                  <c:v>60.08620689655173</c:v>
                </c:pt>
                <c:pt idx="55">
                  <c:v>72.173913043478265</c:v>
                </c:pt>
                <c:pt idx="56">
                  <c:v>79.941348973607035</c:v>
                </c:pt>
                <c:pt idx="57">
                  <c:v>45.453100158982515</c:v>
                </c:pt>
                <c:pt idx="58">
                  <c:v>26.97674418604651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'Cotton (Adjusted)'!$Q$6</c:f>
              <c:strCache>
                <c:ptCount val="1"/>
                <c:pt idx="0">
                  <c:v>Trebizond (Persia), Exports,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(Adjusted)'!$Q$7:$Q$107</c:f>
              <c:numCache>
                <c:formatCode>0.0000</c:formatCode>
                <c:ptCount val="81"/>
                <c:pt idx="18">
                  <c:v>40</c:v>
                </c:pt>
                <c:pt idx="19">
                  <c:v>40</c:v>
                </c:pt>
                <c:pt idx="20">
                  <c:v>40</c:v>
                </c:pt>
                <c:pt idx="21">
                  <c:v>40</c:v>
                </c:pt>
                <c:pt idx="22">
                  <c:v>40</c:v>
                </c:pt>
                <c:pt idx="23">
                  <c:v>53.333333333333329</c:v>
                </c:pt>
                <c:pt idx="24">
                  <c:v>53.333333333333329</c:v>
                </c:pt>
                <c:pt idx="33">
                  <c:v>40</c:v>
                </c:pt>
                <c:pt idx="34">
                  <c:v>40</c:v>
                </c:pt>
                <c:pt idx="35">
                  <c:v>40</c:v>
                </c:pt>
                <c:pt idx="36">
                  <c:v>40</c:v>
                </c:pt>
                <c:pt idx="37">
                  <c:v>39.928057553956833</c:v>
                </c:pt>
              </c:numCache>
            </c:numRef>
          </c:val>
          <c:smooth val="0"/>
        </c:ser>
        <c:ser>
          <c:idx val="7"/>
          <c:order val="5"/>
          <c:tx>
            <c:strRef>
              <c:f>'Cotton (Adjusted)'!$R$6</c:f>
              <c:strCache>
                <c:ptCount val="1"/>
                <c:pt idx="0">
                  <c:v>Adana, , in pound/ton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(Adjusted)'!$R$7:$R$107</c:f>
              <c:numCache>
                <c:formatCode>0.0000</c:formatCode>
                <c:ptCount val="81"/>
                <c:pt idx="25">
                  <c:v>39.478343779265451</c:v>
                </c:pt>
                <c:pt idx="26">
                  <c:v>46.221539145289043</c:v>
                </c:pt>
                <c:pt idx="27">
                  <c:v>44.355088421834061</c:v>
                </c:pt>
                <c:pt idx="28">
                  <c:v>43.757207747887684</c:v>
                </c:pt>
                <c:pt idx="29">
                  <c:v>59.926279625667441</c:v>
                </c:pt>
                <c:pt idx="30">
                  <c:v>48.040663595398485</c:v>
                </c:pt>
                <c:pt idx="31">
                  <c:v>52.524458864302346</c:v>
                </c:pt>
                <c:pt idx="34">
                  <c:v>43.699211033443966</c:v>
                </c:pt>
                <c:pt idx="35">
                  <c:v>44.411494739815019</c:v>
                </c:pt>
                <c:pt idx="36">
                  <c:v>44.857046164483954</c:v>
                </c:pt>
                <c:pt idx="37">
                  <c:v>41.989004129543581</c:v>
                </c:pt>
                <c:pt idx="38">
                  <c:v>47.663245460322351</c:v>
                </c:pt>
                <c:pt idx="39">
                  <c:v>43.781171169436369</c:v>
                </c:pt>
                <c:pt idx="40">
                  <c:v>39.392101347455736</c:v>
                </c:pt>
                <c:pt idx="41">
                  <c:v>35.104122236334526</c:v>
                </c:pt>
                <c:pt idx="42">
                  <c:v>37.694750811994204</c:v>
                </c:pt>
                <c:pt idx="43">
                  <c:v>32.488408764621433</c:v>
                </c:pt>
                <c:pt idx="44">
                  <c:v>27.519363415014876</c:v>
                </c:pt>
                <c:pt idx="45">
                  <c:v>31.510440370145325</c:v>
                </c:pt>
                <c:pt idx="46">
                  <c:v>30.003834008404805</c:v>
                </c:pt>
                <c:pt idx="47">
                  <c:v>30.700963259466892</c:v>
                </c:pt>
                <c:pt idx="48">
                  <c:v>29.08351680636807</c:v>
                </c:pt>
                <c:pt idx="49">
                  <c:v>41.329208093259894</c:v>
                </c:pt>
                <c:pt idx="50">
                  <c:v>33.663552278189762</c:v>
                </c:pt>
                <c:pt idx="51">
                  <c:v>35.910402726571</c:v>
                </c:pt>
                <c:pt idx="52">
                  <c:v>45.896435258491174</c:v>
                </c:pt>
                <c:pt idx="53">
                  <c:v>47.501334622798559</c:v>
                </c:pt>
                <c:pt idx="54">
                  <c:v>43.212655273317111</c:v>
                </c:pt>
                <c:pt idx="55">
                  <c:v>45.675143987034431</c:v>
                </c:pt>
                <c:pt idx="56">
                  <c:v>46.842760367131802</c:v>
                </c:pt>
                <c:pt idx="57">
                  <c:v>43.134158787622042</c:v>
                </c:pt>
              </c:numCache>
            </c:numRef>
          </c:val>
          <c:smooth val="0"/>
        </c:ser>
        <c:ser>
          <c:idx val="8"/>
          <c:order val="6"/>
          <c:tx>
            <c:strRef>
              <c:f>'Cotton (Adjusted)'!$V$6</c:f>
              <c:strCache>
                <c:ptCount val="1"/>
                <c:pt idx="0">
                  <c:v>Alexandretta, Exports,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(Adjusted)'!$V$7:$V$107</c:f>
              <c:numCache>
                <c:formatCode>0.0000</c:formatCode>
                <c:ptCount val="81"/>
                <c:pt idx="27">
                  <c:v>51.99999999999995</c:v>
                </c:pt>
                <c:pt idx="28">
                  <c:v>56.119047619047571</c:v>
                </c:pt>
                <c:pt idx="29">
                  <c:v>49.99999999999995</c:v>
                </c:pt>
                <c:pt idx="30">
                  <c:v>49.99999999999995</c:v>
                </c:pt>
                <c:pt idx="31">
                  <c:v>49.019607843137209</c:v>
                </c:pt>
                <c:pt idx="32">
                  <c:v>50.026490066225115</c:v>
                </c:pt>
                <c:pt idx="36">
                  <c:v>41.999999999999964</c:v>
                </c:pt>
                <c:pt idx="37">
                  <c:v>42.210256410256378</c:v>
                </c:pt>
                <c:pt idx="38">
                  <c:v>41.485049833887004</c:v>
                </c:pt>
                <c:pt idx="39">
                  <c:v>40.01515151515148</c:v>
                </c:pt>
                <c:pt idx="40">
                  <c:v>31.999999999999972</c:v>
                </c:pt>
                <c:pt idx="41">
                  <c:v>28.666666666666639</c:v>
                </c:pt>
                <c:pt idx="42">
                  <c:v>30.571428571428548</c:v>
                </c:pt>
                <c:pt idx="43">
                  <c:v>32.307692307692278</c:v>
                </c:pt>
                <c:pt idx="44">
                  <c:v>32.137614678899055</c:v>
                </c:pt>
                <c:pt idx="45">
                  <c:v>32.222836095764237</c:v>
                </c:pt>
                <c:pt idx="46">
                  <c:v>31.983240223463657</c:v>
                </c:pt>
                <c:pt idx="47">
                  <c:v>31.555023923444946</c:v>
                </c:pt>
                <c:pt idx="48">
                  <c:v>21.999999999999979</c:v>
                </c:pt>
                <c:pt idx="49">
                  <c:v>29.979094076655027</c:v>
                </c:pt>
                <c:pt idx="50">
                  <c:v>29.999999999999972</c:v>
                </c:pt>
                <c:pt idx="51">
                  <c:v>29.999999999999972</c:v>
                </c:pt>
                <c:pt idx="52">
                  <c:v>36.218637992831511</c:v>
                </c:pt>
                <c:pt idx="53">
                  <c:v>35.92401215805468</c:v>
                </c:pt>
                <c:pt idx="54">
                  <c:v>36.01801801801799</c:v>
                </c:pt>
                <c:pt idx="55">
                  <c:v>37.182680901542078</c:v>
                </c:pt>
                <c:pt idx="56">
                  <c:v>35.999999999999964</c:v>
                </c:pt>
                <c:pt idx="57">
                  <c:v>35.999999999999972</c:v>
                </c:pt>
                <c:pt idx="58">
                  <c:v>55.824742268041177</c:v>
                </c:pt>
                <c:pt idx="59">
                  <c:v>57.879133409350004</c:v>
                </c:pt>
                <c:pt idx="60">
                  <c:v>56.379721669980121</c:v>
                </c:pt>
                <c:pt idx="61">
                  <c:v>52.494366197183098</c:v>
                </c:pt>
                <c:pt idx="62">
                  <c:v>44.13134328358209</c:v>
                </c:pt>
              </c:numCache>
            </c:numRef>
          </c:val>
          <c:smooth val="0"/>
        </c:ser>
        <c:ser>
          <c:idx val="9"/>
          <c:order val="7"/>
          <c:tx>
            <c:strRef>
              <c:f>'Cotton (Adjusted)'!$W$6</c:f>
              <c:strCache>
                <c:ptCount val="1"/>
                <c:pt idx="0">
                  <c:v>Ispahan, Exports, in pound/ton</c:v>
                </c:pt>
              </c:strCache>
            </c:strRef>
          </c:tx>
          <c:spPr>
            <a:ln w="158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(Adjusted)'!$W$7:$W$107</c:f>
              <c:numCache>
                <c:formatCode>0.0000</c:formatCode>
                <c:ptCount val="81"/>
                <c:pt idx="50">
                  <c:v>40.205128205128204</c:v>
                </c:pt>
                <c:pt idx="51">
                  <c:v>26.923076923077002</c:v>
                </c:pt>
                <c:pt idx="54">
                  <c:v>28.208780234712201</c:v>
                </c:pt>
                <c:pt idx="59">
                  <c:v>51.3886073383336</c:v>
                </c:pt>
                <c:pt idx="60">
                  <c:v>36.186099942561796</c:v>
                </c:pt>
                <c:pt idx="61">
                  <c:v>41.559324778366999</c:v>
                </c:pt>
              </c:numCache>
            </c:numRef>
          </c:val>
          <c:smooth val="0"/>
        </c:ser>
        <c:ser>
          <c:idx val="10"/>
          <c:order val="8"/>
          <c:tx>
            <c:strRef>
              <c:f>'Cotton (Adjusted)'!$X$6</c:f>
              <c:strCache>
                <c:ptCount val="1"/>
                <c:pt idx="0">
                  <c:v>Yezd, Exports,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(Adjusted)'!$X$7:$X$107</c:f>
              <c:numCache>
                <c:formatCode>0.0000</c:formatCode>
                <c:ptCount val="81"/>
                <c:pt idx="41">
                  <c:v>17.230769230769226</c:v>
                </c:pt>
                <c:pt idx="42">
                  <c:v>16.497545008183298</c:v>
                </c:pt>
                <c:pt idx="60">
                  <c:v>33.29999999999994</c:v>
                </c:pt>
                <c:pt idx="61">
                  <c:v>34.188034188034194</c:v>
                </c:pt>
              </c:numCache>
            </c:numRef>
          </c:val>
          <c:smooth val="0"/>
        </c:ser>
        <c:ser>
          <c:idx val="11"/>
          <c:order val="9"/>
          <c:tx>
            <c:strRef>
              <c:f>'Cotton (Adjusted)'!$Y$6</c:f>
              <c:strCache>
                <c:ptCount val="1"/>
                <c:pt idx="0">
                  <c:v>Khorasan, Imports, in pound/ton</c:v>
                </c:pt>
              </c:strCache>
            </c:strRef>
          </c:tx>
          <c:spPr>
            <a:ln w="158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(Adjusted)'!$Y$7:$Y$107</c:f>
              <c:numCache>
                <c:formatCode>0.0000</c:formatCode>
                <c:ptCount val="81"/>
                <c:pt idx="51">
                  <c:v>33.407765372438014</c:v>
                </c:pt>
                <c:pt idx="52">
                  <c:v>41.659563800451295</c:v>
                </c:pt>
                <c:pt idx="53">
                  <c:v>15.882770030725608</c:v>
                </c:pt>
                <c:pt idx="54">
                  <c:v>24.643891140706433</c:v>
                </c:pt>
                <c:pt idx="55">
                  <c:v>34.821763602251359</c:v>
                </c:pt>
                <c:pt idx="56">
                  <c:v>26.926187619428607</c:v>
                </c:pt>
                <c:pt idx="57">
                  <c:v>21.758991861380949</c:v>
                </c:pt>
                <c:pt idx="58">
                  <c:v>13.429225539393665</c:v>
                </c:pt>
                <c:pt idx="59">
                  <c:v>17.742729033271107</c:v>
                </c:pt>
                <c:pt idx="60">
                  <c:v>17.057110862262039</c:v>
                </c:pt>
                <c:pt idx="61">
                  <c:v>20.700755230902566</c:v>
                </c:pt>
              </c:numCache>
            </c:numRef>
          </c:val>
          <c:smooth val="0"/>
        </c:ser>
        <c:ser>
          <c:idx val="12"/>
          <c:order val="10"/>
          <c:tx>
            <c:strRef>
              <c:f>'Cotton (Adjusted)'!$Z$6</c:f>
              <c:strCache>
                <c:ptCount val="1"/>
                <c:pt idx="0">
                  <c:v>Khorasan, Exports,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(Adjusted)'!$Z$7:$Z$107</c:f>
              <c:numCache>
                <c:formatCode>0.0000</c:formatCode>
                <c:ptCount val="81"/>
                <c:pt idx="51">
                  <c:v>40.301074303957598</c:v>
                </c:pt>
                <c:pt idx="52">
                  <c:v>40.520119351388765</c:v>
                </c:pt>
                <c:pt idx="53">
                  <c:v>43.455886175046466</c:v>
                </c:pt>
                <c:pt idx="54">
                  <c:v>39.14044860768179</c:v>
                </c:pt>
                <c:pt idx="55">
                  <c:v>46.489670728566239</c:v>
                </c:pt>
                <c:pt idx="56">
                  <c:v>43.689719199285378</c:v>
                </c:pt>
                <c:pt idx="57">
                  <c:v>42.941139224824958</c:v>
                </c:pt>
                <c:pt idx="58">
                  <c:v>41.820393422288092</c:v>
                </c:pt>
                <c:pt idx="59">
                  <c:v>51.818613533682239</c:v>
                </c:pt>
                <c:pt idx="60">
                  <c:v>63.777312555710431</c:v>
                </c:pt>
                <c:pt idx="61">
                  <c:v>68.243247173208132</c:v>
                </c:pt>
              </c:numCache>
            </c:numRef>
          </c:val>
          <c:smooth val="0"/>
        </c:ser>
        <c:ser>
          <c:idx val="14"/>
          <c:order val="11"/>
          <c:tx>
            <c:strRef>
              <c:f>'Cotton (Adjusted)'!$AB$6</c:f>
              <c:strCache>
                <c:ptCount val="1"/>
                <c:pt idx="0">
                  <c:v>Kerman, Exports,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(Adjusted)'!$AB$7:$AB$107</c:f>
              <c:numCache>
                <c:formatCode>0.0000</c:formatCode>
                <c:ptCount val="81"/>
                <c:pt idx="43">
                  <c:v>20.676923076923075</c:v>
                </c:pt>
                <c:pt idx="56">
                  <c:v>32.000000000000028</c:v>
                </c:pt>
                <c:pt idx="57">
                  <c:v>32.000000000000028</c:v>
                </c:pt>
                <c:pt idx="58">
                  <c:v>9.329600000000001</c:v>
                </c:pt>
                <c:pt idx="59">
                  <c:v>9.3279999999999905</c:v>
                </c:pt>
              </c:numCache>
            </c:numRef>
          </c:val>
          <c:smooth val="0"/>
        </c:ser>
        <c:ser>
          <c:idx val="15"/>
          <c:order val="12"/>
          <c:tx>
            <c:strRef>
              <c:f>'Cotton (Adjusted)'!$AC$6</c:f>
              <c:strCache>
                <c:ptCount val="1"/>
                <c:pt idx="0">
                  <c:v>Resht &amp; Mazandaran, Exports, in pound/ton</c:v>
                </c:pt>
              </c:strCache>
            </c:strRef>
          </c:tx>
          <c:spPr>
            <a:ln w="158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(Adjusted)'!$AC$7:$AC$107</c:f>
              <c:numCache>
                <c:formatCode>0.0000</c:formatCode>
                <c:ptCount val="81"/>
                <c:pt idx="22">
                  <c:v>49.158918918918815</c:v>
                </c:pt>
                <c:pt idx="23">
                  <c:v>38.828967642526884</c:v>
                </c:pt>
                <c:pt idx="24">
                  <c:v>40.545882352941277</c:v>
                </c:pt>
                <c:pt idx="43">
                  <c:v>19.101877891681021</c:v>
                </c:pt>
                <c:pt idx="44">
                  <c:v>18.646025141534537</c:v>
                </c:pt>
                <c:pt idx="51">
                  <c:v>32.777638405266273</c:v>
                </c:pt>
                <c:pt idx="55">
                  <c:v>46.141273049734913</c:v>
                </c:pt>
                <c:pt idx="56">
                  <c:v>53.527130468842465</c:v>
                </c:pt>
                <c:pt idx="57">
                  <c:v>52.672628402253885</c:v>
                </c:pt>
                <c:pt idx="58">
                  <c:v>60.111774265358818</c:v>
                </c:pt>
                <c:pt idx="59">
                  <c:v>75.053765036170361</c:v>
                </c:pt>
              </c:numCache>
            </c:numRef>
          </c:val>
          <c:smooth val="0"/>
        </c:ser>
        <c:ser>
          <c:idx val="17"/>
          <c:order val="13"/>
          <c:tx>
            <c:strRef>
              <c:f>'Cotton (Adjusted)'!$AE$6</c:f>
              <c:strCache>
                <c:ptCount val="1"/>
                <c:pt idx="0">
                  <c:v>Ghilan &amp; Tunekabun, Exports, in pound/ton</c:v>
                </c:pt>
              </c:strCache>
            </c:strRef>
          </c:tx>
          <c:spPr>
            <a:ln w="158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(Adjusted)'!$AE$7:$AE$107</c:f>
              <c:numCache>
                <c:formatCode>0.0000</c:formatCode>
                <c:ptCount val="81"/>
                <c:pt idx="55">
                  <c:v>48.549819774093791</c:v>
                </c:pt>
                <c:pt idx="56">
                  <c:v>44.598048718545733</c:v>
                </c:pt>
                <c:pt idx="57">
                  <c:v>45.414721421043296</c:v>
                </c:pt>
                <c:pt idx="58">
                  <c:v>49.526252755926912</c:v>
                </c:pt>
                <c:pt idx="59">
                  <c:v>44.799973716998302</c:v>
                </c:pt>
              </c:numCache>
            </c:numRef>
          </c:val>
          <c:smooth val="0"/>
        </c:ser>
        <c:ser>
          <c:idx val="18"/>
          <c:order val="14"/>
          <c:tx>
            <c:strRef>
              <c:f>'Cotton (Adjusted)'!$AF$6</c:f>
              <c:strCache>
                <c:ptCount val="1"/>
                <c:pt idx="0">
                  <c:v>Bender Gez &amp; Astarabad, Exports,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(Adjusted)'!$AF$7:$AF$107</c:f>
              <c:numCache>
                <c:formatCode>0.0000</c:formatCode>
                <c:ptCount val="81"/>
                <c:pt idx="40">
                  <c:v>21.473103448275854</c:v>
                </c:pt>
                <c:pt idx="41">
                  <c:v>20.303448275862081</c:v>
                </c:pt>
                <c:pt idx="55">
                  <c:v>51.81263712036003</c:v>
                </c:pt>
                <c:pt idx="56">
                  <c:v>52.974791466252093</c:v>
                </c:pt>
                <c:pt idx="57">
                  <c:v>55.649644643566404</c:v>
                </c:pt>
                <c:pt idx="58">
                  <c:v>59.254542399267486</c:v>
                </c:pt>
                <c:pt idx="59">
                  <c:v>69.021967086933273</c:v>
                </c:pt>
              </c:numCache>
            </c:numRef>
          </c:val>
          <c:smooth val="0"/>
        </c:ser>
        <c:ser>
          <c:idx val="19"/>
          <c:order val="15"/>
          <c:tx>
            <c:strRef>
              <c:f>'Cotton (Adjusted)'!$AG$6</c:f>
              <c:strCache>
                <c:ptCount val="1"/>
                <c:pt idx="0">
                  <c:v>Bahrain, Imports,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(Adjusted)'!$AG$7:$AG$107</c:f>
              <c:numCache>
                <c:formatCode>0.0000</c:formatCode>
                <c:ptCount val="81"/>
                <c:pt idx="37">
                  <c:v>33.079166666666666</c:v>
                </c:pt>
                <c:pt idx="38">
                  <c:v>35.940067665538905</c:v>
                </c:pt>
                <c:pt idx="40">
                  <c:v>34.152923538230887</c:v>
                </c:pt>
                <c:pt idx="41">
                  <c:v>29.277108433734938</c:v>
                </c:pt>
                <c:pt idx="42">
                  <c:v>28.858299595141702</c:v>
                </c:pt>
                <c:pt idx="43">
                  <c:v>25.28</c:v>
                </c:pt>
                <c:pt idx="44">
                  <c:v>31.043137254901964</c:v>
                </c:pt>
                <c:pt idx="45">
                  <c:v>25.342756183745582</c:v>
                </c:pt>
                <c:pt idx="46">
                  <c:v>28.858638743455497</c:v>
                </c:pt>
                <c:pt idx="47">
                  <c:v>24.903225806451612</c:v>
                </c:pt>
                <c:pt idx="48">
                  <c:v>30.196078431372548</c:v>
                </c:pt>
                <c:pt idx="49">
                  <c:v>28.197325956662059</c:v>
                </c:pt>
                <c:pt idx="50">
                  <c:v>30.02290950744559</c:v>
                </c:pt>
                <c:pt idx="51">
                  <c:v>33.297872340425535</c:v>
                </c:pt>
                <c:pt idx="52">
                  <c:v>37.599999999999994</c:v>
                </c:pt>
                <c:pt idx="53">
                  <c:v>25.699958211450063</c:v>
                </c:pt>
                <c:pt idx="54">
                  <c:v>29.467330016583748</c:v>
                </c:pt>
                <c:pt idx="55">
                  <c:v>23.108851518706818</c:v>
                </c:pt>
                <c:pt idx="56">
                  <c:v>27.986798679867988</c:v>
                </c:pt>
                <c:pt idx="57">
                  <c:v>33.704052780395855</c:v>
                </c:pt>
                <c:pt idx="58">
                  <c:v>13.564888384411653</c:v>
                </c:pt>
                <c:pt idx="59">
                  <c:v>53.926701570680621</c:v>
                </c:pt>
                <c:pt idx="60">
                  <c:v>27.318489835430782</c:v>
                </c:pt>
                <c:pt idx="61">
                  <c:v>26.064516129032256</c:v>
                </c:pt>
                <c:pt idx="62">
                  <c:v>37.481481481481481</c:v>
                </c:pt>
              </c:numCache>
            </c:numRef>
          </c:val>
          <c:smooth val="0"/>
        </c:ser>
        <c:ser>
          <c:idx val="20"/>
          <c:order val="16"/>
          <c:tx>
            <c:strRef>
              <c:f>'Cotton (Adjusted)'!$AH$6</c:f>
              <c:strCache>
                <c:ptCount val="1"/>
                <c:pt idx="0">
                  <c:v>Bahrain &amp; Muscat, Exports,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(Adjusted)'!$AH$7:$AH$107</c:f>
              <c:numCache>
                <c:formatCode>0.0000</c:formatCode>
                <c:ptCount val="81"/>
                <c:pt idx="23">
                  <c:v>32.923704954954999</c:v>
                </c:pt>
                <c:pt idx="24">
                  <c:v>26.974147982387603</c:v>
                </c:pt>
                <c:pt idx="25">
                  <c:v>25.017781205643001</c:v>
                </c:pt>
                <c:pt idx="26">
                  <c:v>24.758061518109802</c:v>
                </c:pt>
                <c:pt idx="27">
                  <c:v>23.741767088631999</c:v>
                </c:pt>
                <c:pt idx="28">
                  <c:v>33.852890118396203</c:v>
                </c:pt>
                <c:pt idx="29">
                  <c:v>29.500768855672401</c:v>
                </c:pt>
                <c:pt idx="30">
                  <c:v>35.0198122157528</c:v>
                </c:pt>
                <c:pt idx="31">
                  <c:v>8.0717230648902607</c:v>
                </c:pt>
                <c:pt idx="32">
                  <c:v>9.3494676511821204</c:v>
                </c:pt>
                <c:pt idx="33">
                  <c:v>32.013274528547797</c:v>
                </c:pt>
                <c:pt idx="34">
                  <c:v>5.9407349723115397</c:v>
                </c:pt>
                <c:pt idx="35">
                  <c:v>14.63947928176224</c:v>
                </c:pt>
                <c:pt idx="36">
                  <c:v>16.14778926836804</c:v>
                </c:pt>
                <c:pt idx="37">
                  <c:v>20.334357709799804</c:v>
                </c:pt>
                <c:pt idx="38">
                  <c:v>20.157789384678399</c:v>
                </c:pt>
                <c:pt idx="39">
                  <c:v>22.646427536861601</c:v>
                </c:pt>
                <c:pt idx="40">
                  <c:v>20.354118990372999</c:v>
                </c:pt>
                <c:pt idx="41">
                  <c:v>19.74998841285014</c:v>
                </c:pt>
                <c:pt idx="42">
                  <c:v>20.637962838606001</c:v>
                </c:pt>
                <c:pt idx="43">
                  <c:v>14.3777431370277</c:v>
                </c:pt>
                <c:pt idx="46">
                  <c:v>17.333333333333336</c:v>
                </c:pt>
                <c:pt idx="47">
                  <c:v>23.846153846153847</c:v>
                </c:pt>
                <c:pt idx="48">
                  <c:v>27.878787878787882</c:v>
                </c:pt>
                <c:pt idx="49">
                  <c:v>33</c:v>
                </c:pt>
                <c:pt idx="50">
                  <c:v>34.883720930232556</c:v>
                </c:pt>
                <c:pt idx="51">
                  <c:v>30.434782608695656</c:v>
                </c:pt>
                <c:pt idx="52">
                  <c:v>40</c:v>
                </c:pt>
                <c:pt idx="53">
                  <c:v>37.209302325581397</c:v>
                </c:pt>
                <c:pt idx="54">
                  <c:v>36.028368794326241</c:v>
                </c:pt>
                <c:pt idx="55">
                  <c:v>28.000000000000004</c:v>
                </c:pt>
                <c:pt idx="59">
                  <c:v>55.490196078431396</c:v>
                </c:pt>
                <c:pt idx="60">
                  <c:v>63.8888888888888</c:v>
                </c:pt>
              </c:numCache>
            </c:numRef>
          </c:val>
          <c:smooth val="0"/>
        </c:ser>
        <c:ser>
          <c:idx val="21"/>
          <c:order val="17"/>
          <c:tx>
            <c:strRef>
              <c:f>'Cotton (Adjusted)'!$AI$6</c:f>
              <c:strCache>
                <c:ptCount val="1"/>
                <c:pt idx="0">
                  <c:v>Mohammerah, Exports, in pound/ton</c:v>
                </c:pt>
              </c:strCache>
            </c:strRef>
          </c:tx>
          <c:spPr>
            <a:ln w="158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(Adjusted)'!$AI$7:$AI$107</c:f>
              <c:numCache>
                <c:formatCode>0.0000</c:formatCode>
                <c:ptCount val="81"/>
                <c:pt idx="39">
                  <c:v>30.6666666666666</c:v>
                </c:pt>
                <c:pt idx="49">
                  <c:v>25.886654478976201</c:v>
                </c:pt>
                <c:pt idx="50">
                  <c:v>22.788844621513999</c:v>
                </c:pt>
                <c:pt idx="51">
                  <c:v>22.956669498725599</c:v>
                </c:pt>
              </c:numCache>
            </c:numRef>
          </c:val>
          <c:smooth val="0"/>
        </c:ser>
        <c:ser>
          <c:idx val="22"/>
          <c:order val="18"/>
          <c:tx>
            <c:strRef>
              <c:f>'Cotton (Adjusted)'!$AJ$6</c:f>
              <c:strCache>
                <c:ptCount val="1"/>
                <c:pt idx="0">
                  <c:v>Lingah, Imports,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(Adjusted)'!$AJ$7:$AJ$107</c:f>
              <c:numCache>
                <c:formatCode>0.0000</c:formatCode>
                <c:ptCount val="81"/>
                <c:pt idx="36">
                  <c:v>41.592039800994996</c:v>
                </c:pt>
                <c:pt idx="37">
                  <c:v>29.846153846153797</c:v>
                </c:pt>
                <c:pt idx="38">
                  <c:v>27.3555555555556</c:v>
                </c:pt>
                <c:pt idx="39">
                  <c:v>27.9850746268656</c:v>
                </c:pt>
                <c:pt idx="40">
                  <c:v>21.446111869031398</c:v>
                </c:pt>
                <c:pt idx="41">
                  <c:v>22.135593220339</c:v>
                </c:pt>
                <c:pt idx="42">
                  <c:v>38.685714285714198</c:v>
                </c:pt>
                <c:pt idx="43">
                  <c:v>20.453333333333397</c:v>
                </c:pt>
                <c:pt idx="44">
                  <c:v>22.025000000000002</c:v>
                </c:pt>
                <c:pt idx="45">
                  <c:v>17.649999999999999</c:v>
                </c:pt>
                <c:pt idx="46">
                  <c:v>19.650000000000002</c:v>
                </c:pt>
                <c:pt idx="47">
                  <c:v>15.625</c:v>
                </c:pt>
                <c:pt idx="48">
                  <c:v>20.714285714285801</c:v>
                </c:pt>
                <c:pt idx="49">
                  <c:v>23.173913043478201</c:v>
                </c:pt>
                <c:pt idx="50">
                  <c:v>20.9142857142858</c:v>
                </c:pt>
                <c:pt idx="56">
                  <c:v>34.375</c:v>
                </c:pt>
                <c:pt idx="59">
                  <c:v>21.818181818181799</c:v>
                </c:pt>
                <c:pt idx="60">
                  <c:v>42.531645569620196</c:v>
                </c:pt>
                <c:pt idx="61">
                  <c:v>46.956521739130402</c:v>
                </c:pt>
              </c:numCache>
            </c:numRef>
          </c:val>
          <c:smooth val="0"/>
        </c:ser>
        <c:ser>
          <c:idx val="23"/>
          <c:order val="19"/>
          <c:tx>
            <c:strRef>
              <c:f>'Cotton (Adjusted)'!$AK$6</c:f>
              <c:strCache>
                <c:ptCount val="1"/>
                <c:pt idx="0">
                  <c:v>Lingah, Exports, in pound/ton</c:v>
                </c:pt>
              </c:strCache>
            </c:strRef>
          </c:tx>
          <c:spPr>
            <a:ln w="158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(Adjusted)'!$AK$7:$AK$107</c:f>
              <c:numCache>
                <c:formatCode>0.0000</c:formatCode>
                <c:ptCount val="81"/>
                <c:pt idx="46">
                  <c:v>22.5</c:v>
                </c:pt>
                <c:pt idx="47">
                  <c:v>18.785714285714278</c:v>
                </c:pt>
                <c:pt idx="48">
                  <c:v>20</c:v>
                </c:pt>
                <c:pt idx="49">
                  <c:v>20</c:v>
                </c:pt>
                <c:pt idx="50">
                  <c:v>19.2</c:v>
                </c:pt>
                <c:pt idx="55">
                  <c:v>36.754385964912203</c:v>
                </c:pt>
                <c:pt idx="56">
                  <c:v>39.122807017543799</c:v>
                </c:pt>
                <c:pt idx="57">
                  <c:v>33.157894736842202</c:v>
                </c:pt>
                <c:pt idx="58">
                  <c:v>33.714285714285801</c:v>
                </c:pt>
                <c:pt idx="59">
                  <c:v>43.267973856209203</c:v>
                </c:pt>
                <c:pt idx="60">
                  <c:v>50.940170940171001</c:v>
                </c:pt>
                <c:pt idx="61">
                  <c:v>56.25</c:v>
                </c:pt>
              </c:numCache>
            </c:numRef>
          </c:val>
          <c:smooth val="0"/>
        </c:ser>
        <c:ser>
          <c:idx val="24"/>
          <c:order val="20"/>
          <c:tx>
            <c:strRef>
              <c:f>'Cotton (Adjusted)'!$AL$6</c:f>
              <c:strCache>
                <c:ptCount val="1"/>
                <c:pt idx="0">
                  <c:v>Shiraz, Exports,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(Adjusted)'!$AL$7:$AL$107</c:f>
              <c:numCache>
                <c:formatCode>General</c:formatCode>
                <c:ptCount val="81"/>
                <c:pt idx="36" formatCode="0.0000">
                  <c:v>25.5647508010126</c:v>
                </c:pt>
                <c:pt idx="37" formatCode="0.0000">
                  <c:v>22.711864503954203</c:v>
                </c:pt>
                <c:pt idx="38" formatCode="0.0000">
                  <c:v>24.088995135765799</c:v>
                </c:pt>
                <c:pt idx="39" formatCode="0.0000">
                  <c:v>20.667916249074199</c:v>
                </c:pt>
                <c:pt idx="40" formatCode="0.0000">
                  <c:v>26.044226044226001</c:v>
                </c:pt>
                <c:pt idx="41" formatCode="0.0000">
                  <c:v>9.5237854251012202</c:v>
                </c:pt>
                <c:pt idx="43" formatCode="0.0000">
                  <c:v>10.371111111111119</c:v>
                </c:pt>
                <c:pt idx="44" formatCode="0.0000">
                  <c:v>12.34545454545454</c:v>
                </c:pt>
                <c:pt idx="45" formatCode="0.0000">
                  <c:v>10.457333333333342</c:v>
                </c:pt>
                <c:pt idx="47" formatCode="0.0000">
                  <c:v>10.649251135980579</c:v>
                </c:pt>
                <c:pt idx="48" formatCode="0.0000">
                  <c:v>11.660773996879481</c:v>
                </c:pt>
                <c:pt idx="49" formatCode="0.0000">
                  <c:v>9.7364404621986793</c:v>
                </c:pt>
                <c:pt idx="50" formatCode="0.0000">
                  <c:v>8.8886486486486405</c:v>
                </c:pt>
              </c:numCache>
            </c:numRef>
          </c:val>
          <c:smooth val="0"/>
        </c:ser>
        <c:ser>
          <c:idx val="0"/>
          <c:order val="21"/>
          <c:tx>
            <c:strRef>
              <c:f>'Cotton (Adjusted)'!$AM$6</c:f>
              <c:strCache>
                <c:ptCount val="1"/>
                <c:pt idx="0">
                  <c:v>India, Imports, in pound/ton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'Cotton (Adjusted)'!$AM$7:$AM$107</c:f>
              <c:numCache>
                <c:formatCode>General</c:formatCode>
                <c:ptCount val="81"/>
                <c:pt idx="44" formatCode="0.0000">
                  <c:v>26.441727695381072</c:v>
                </c:pt>
                <c:pt idx="45" formatCode="0.0000">
                  <c:v>22.227095956327233</c:v>
                </c:pt>
                <c:pt idx="46" formatCode="0.0000">
                  <c:v>27.554470625297881</c:v>
                </c:pt>
                <c:pt idx="47" formatCode="0.0000">
                  <c:v>27.267846051859745</c:v>
                </c:pt>
                <c:pt idx="48" formatCode="0.0000">
                  <c:v>30.717412191736951</c:v>
                </c:pt>
                <c:pt idx="49" formatCode="0.0000">
                  <c:v>32.649805344421196</c:v>
                </c:pt>
                <c:pt idx="50" formatCode="0.0000">
                  <c:v>41.493868054383832</c:v>
                </c:pt>
                <c:pt idx="51" formatCode="0.0000">
                  <c:v>34.557332789975042</c:v>
                </c:pt>
                <c:pt idx="52" formatCode="0.0000">
                  <c:v>33.476361805771482</c:v>
                </c:pt>
                <c:pt idx="53" formatCode="0.0000">
                  <c:v>36.686908474205367</c:v>
                </c:pt>
                <c:pt idx="54" formatCode="0.0000">
                  <c:v>44.215440863342231</c:v>
                </c:pt>
                <c:pt idx="55" formatCode="0.0000">
                  <c:v>44.615794297604594</c:v>
                </c:pt>
                <c:pt idx="56" formatCode="0.0000">
                  <c:v>52.656844351882128</c:v>
                </c:pt>
                <c:pt idx="57" formatCode="0.0000">
                  <c:v>60.056878416037677</c:v>
                </c:pt>
                <c:pt idx="58" formatCode="0.0000">
                  <c:v>56.345916310056019</c:v>
                </c:pt>
                <c:pt idx="59" formatCode="0.0000">
                  <c:v>47.637083218077755</c:v>
                </c:pt>
                <c:pt idx="60" formatCode="0.0000">
                  <c:v>56.748139807025673</c:v>
                </c:pt>
                <c:pt idx="61" formatCode="0.0000">
                  <c:v>57.621267825888836</c:v>
                </c:pt>
                <c:pt idx="62" formatCode="0.0000">
                  <c:v>54.101457657858198</c:v>
                </c:pt>
                <c:pt idx="63" formatCode="0.0000">
                  <c:v>64.846193626620533</c:v>
                </c:pt>
                <c:pt idx="64" formatCode="0.0000">
                  <c:v>45.244909831297264</c:v>
                </c:pt>
                <c:pt idx="65" formatCode="0.0000">
                  <c:v>51.444856311530948</c:v>
                </c:pt>
                <c:pt idx="66" formatCode="0.0000">
                  <c:v>87.170590170799557</c:v>
                </c:pt>
                <c:pt idx="67" formatCode="0.0000">
                  <c:v>106.46591725396547</c:v>
                </c:pt>
                <c:pt idx="68" formatCode="0.0000">
                  <c:v>172.01157370197717</c:v>
                </c:pt>
                <c:pt idx="69" formatCode="0.0000">
                  <c:v>205.260146232913</c:v>
                </c:pt>
              </c:numCache>
            </c:numRef>
          </c:val>
          <c:smooth val="0"/>
        </c:ser>
        <c:ser>
          <c:idx val="1"/>
          <c:order val="22"/>
          <c:tx>
            <c:strRef>
              <c:f>'Cotton (Adjusted)'!$AN$6</c:f>
              <c:strCache>
                <c:ptCount val="1"/>
                <c:pt idx="0">
                  <c:v>India, Exports, in pound/ton</c:v>
                </c:pt>
              </c:strCache>
            </c:strRef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'Cotton (Adjusted)'!$AN$7:$AN$107</c:f>
              <c:numCache>
                <c:formatCode>General</c:formatCode>
                <c:ptCount val="81"/>
                <c:pt idx="10" formatCode="0.0000">
                  <c:v>37.70899959444975</c:v>
                </c:pt>
                <c:pt idx="11" formatCode="0.0000">
                  <c:v>56.322602546276173</c:v>
                </c:pt>
                <c:pt idx="12" formatCode="0.0000">
                  <c:v>100.62043755974622</c:v>
                </c:pt>
                <c:pt idx="13" formatCode="0.0000">
                  <c:v>160.17130876857561</c:v>
                </c:pt>
                <c:pt idx="14" formatCode="0.0000">
                  <c:v>93.298037788592438</c:v>
                </c:pt>
                <c:pt idx="15" formatCode="0.0000">
                  <c:v>111.45870448422698</c:v>
                </c:pt>
                <c:pt idx="16" formatCode="0.0000">
                  <c:v>72.946575997219071</c:v>
                </c:pt>
                <c:pt idx="17" formatCode="0.0000">
                  <c:v>62.354972385053273</c:v>
                </c:pt>
                <c:pt idx="18" formatCode="0.0000">
                  <c:v>65.242224828628878</c:v>
                </c:pt>
                <c:pt idx="19" formatCode="0.0000">
                  <c:v>79.3095805844371</c:v>
                </c:pt>
                <c:pt idx="20" formatCode="0.0000">
                  <c:v>64.725131759869257</c:v>
                </c:pt>
                <c:pt idx="21" formatCode="0.0000">
                  <c:v>62.13158962889414</c:v>
                </c:pt>
                <c:pt idx="22" formatCode="0.0000">
                  <c:v>67.133429452399582</c:v>
                </c:pt>
                <c:pt idx="23" formatCode="0.0000">
                  <c:v>58.017297260756493</c:v>
                </c:pt>
                <c:pt idx="24" formatCode="0.0000">
                  <c:v>54.461256135023739</c:v>
                </c:pt>
                <c:pt idx="25" formatCode="0.0000">
                  <c:v>50.019138274550848</c:v>
                </c:pt>
                <c:pt idx="26" formatCode="0.0000">
                  <c:v>52.673788614885112</c:v>
                </c:pt>
                <c:pt idx="27" formatCode="0.0000">
                  <c:v>48.723339719647981</c:v>
                </c:pt>
                <c:pt idx="28" formatCode="0.0000">
                  <c:v>48.868662062639274</c:v>
                </c:pt>
                <c:pt idx="29" formatCode="0.0000">
                  <c:v>54.846983567403811</c:v>
                </c:pt>
                <c:pt idx="30" formatCode="0.0000">
                  <c:v>54.076030695455401</c:v>
                </c:pt>
                <c:pt idx="31" formatCode="0.0000">
                  <c:v>50.107432185228362</c:v>
                </c:pt>
                <c:pt idx="32" formatCode="0.0000">
                  <c:v>44.889346113824601</c:v>
                </c:pt>
                <c:pt idx="33" formatCode="0.0000">
                  <c:v>45.534567705318757</c:v>
                </c:pt>
                <c:pt idx="34" formatCode="0.0000">
                  <c:v>46.883211521405293</c:v>
                </c:pt>
                <c:pt idx="35" formatCode="0.0000">
                  <c:v>41.920012454000762</c:v>
                </c:pt>
                <c:pt idx="36" formatCode="0.0000">
                  <c:v>40.837894338652362</c:v>
                </c:pt>
                <c:pt idx="37" formatCode="0.0000">
                  <c:v>43.212732775731311</c:v>
                </c:pt>
                <c:pt idx="38" formatCode="0.0000">
                  <c:v>43.155922860875648</c:v>
                </c:pt>
                <c:pt idx="39" formatCode="0.0000">
                  <c:v>49.185332178642042</c:v>
                </c:pt>
                <c:pt idx="40" formatCode="0.0000">
                  <c:v>43.26866260756475</c:v>
                </c:pt>
                <c:pt idx="41" formatCode="0.0000">
                  <c:v>33.586925534239327</c:v>
                </c:pt>
                <c:pt idx="42" formatCode="0.0000">
                  <c:v>38.029469549926489</c:v>
                </c:pt>
                <c:pt idx="43" formatCode="0.0000">
                  <c:v>29.271050703460567</c:v>
                </c:pt>
                <c:pt idx="44" formatCode="0.0000">
                  <c:v>27.517253428424659</c:v>
                </c:pt>
                <c:pt idx="45" formatCode="0.0000">
                  <c:v>33.243164452342747</c:v>
                </c:pt>
                <c:pt idx="46" formatCode="0.0000">
                  <c:v>32.479581515352351</c:v>
                </c:pt>
                <c:pt idx="47" formatCode="0.0000">
                  <c:v>29.626052566780515</c:v>
                </c:pt>
                <c:pt idx="48" formatCode="0.0000">
                  <c:v>27.140638062816155</c:v>
                </c:pt>
                <c:pt idx="49" formatCode="0.0000">
                  <c:v>34.281129971023475</c:v>
                </c:pt>
                <c:pt idx="50" formatCode="0.0000">
                  <c:v>38.506902392765689</c:v>
                </c:pt>
                <c:pt idx="51" formatCode="0.0000">
                  <c:v>35.630626878015036</c:v>
                </c:pt>
                <c:pt idx="52" formatCode="0.0000">
                  <c:v>33.49689387469067</c:v>
                </c:pt>
                <c:pt idx="53" formatCode="0.0000">
                  <c:v>42.008924410792218</c:v>
                </c:pt>
                <c:pt idx="54" formatCode="0.0000">
                  <c:v>39.07758067546952</c:v>
                </c:pt>
                <c:pt idx="55" formatCode="0.0000">
                  <c:v>41.075471274282258</c:v>
                </c:pt>
                <c:pt idx="56" formatCode="0.0000">
                  <c:v>42.992426937771562</c:v>
                </c:pt>
                <c:pt idx="57" formatCode="0.0000">
                  <c:v>41.620566720092008</c:v>
                </c:pt>
                <c:pt idx="58" formatCode="0.0000">
                  <c:v>40.492000610959579</c:v>
                </c:pt>
                <c:pt idx="59" formatCode="0.0000">
                  <c:v>46.913200675754325</c:v>
                </c:pt>
                <c:pt idx="60" formatCode="0.0000">
                  <c:v>55.310472808964064</c:v>
                </c:pt>
                <c:pt idx="61" formatCode="0.0000">
                  <c:v>49.467507394354492</c:v>
                </c:pt>
                <c:pt idx="62" formatCode="0.0000">
                  <c:v>50.900062145978126</c:v>
                </c:pt>
                <c:pt idx="63" formatCode="0.0000">
                  <c:v>41.257894910832121</c:v>
                </c:pt>
                <c:pt idx="64" formatCode="0.0000">
                  <c:v>21.964285714285719</c:v>
                </c:pt>
                <c:pt idx="65" formatCode="0.0000">
                  <c:v>31.285714285714288</c:v>
                </c:pt>
                <c:pt idx="66" formatCode="0.0000">
                  <c:v>49.392857142857146</c:v>
                </c:pt>
                <c:pt idx="67" formatCode="0.0000">
                  <c:v>69.964285714285722</c:v>
                </c:pt>
                <c:pt idx="68" formatCode="0.0000">
                  <c:v>68.035714285714292</c:v>
                </c:pt>
                <c:pt idx="69" formatCode="0.0000">
                  <c:v>53.866071428571438</c:v>
                </c:pt>
                <c:pt idx="70" formatCode="0.0000">
                  <c:v>34.607142857142861</c:v>
                </c:pt>
                <c:pt idx="71" formatCode="0.0000">
                  <c:v>54.937500000000007</c:v>
                </c:pt>
                <c:pt idx="72" formatCode="0.0000">
                  <c:v>53.517857142857153</c:v>
                </c:pt>
                <c:pt idx="73" formatCode="0.0000">
                  <c:v>62.383928571428577</c:v>
                </c:pt>
                <c:pt idx="74" formatCode="0.0000">
                  <c:v>49.232142857142868</c:v>
                </c:pt>
                <c:pt idx="75" formatCode="0.0000">
                  <c:v>37.098214285714292</c:v>
                </c:pt>
                <c:pt idx="76" formatCode="0.0000">
                  <c:v>31.714285714285719</c:v>
                </c:pt>
                <c:pt idx="77" formatCode="0.0000">
                  <c:v>42.589285714285722</c:v>
                </c:pt>
                <c:pt idx="78" formatCode="0.0000">
                  <c:v>36.375000000000007</c:v>
                </c:pt>
                <c:pt idx="79" formatCode="0.0000">
                  <c:v>25.046218487394956</c:v>
                </c:pt>
                <c:pt idx="80" formatCode="0.0000">
                  <c:v>18.025210084033613</c:v>
                </c:pt>
              </c:numCache>
            </c:numRef>
          </c:val>
          <c:smooth val="0"/>
        </c:ser>
        <c:ser>
          <c:idx val="13"/>
          <c:order val="23"/>
          <c:tx>
            <c:strRef>
              <c:f>'Cotton (Adjusted)'!$AO$6</c:f>
              <c:strCache>
                <c:ptCount val="1"/>
                <c:pt idx="0">
                  <c:v>India, Wholesale, in pound/ton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val>
            <c:numRef>
              <c:f>'Cotton (Adjusted)'!$AO$7:$AO$107</c:f>
              <c:numCache>
                <c:formatCode>General</c:formatCode>
                <c:ptCount val="81"/>
                <c:pt idx="22" formatCode="0.0000">
                  <c:v>64.005187005186997</c:v>
                </c:pt>
                <c:pt idx="33" formatCode="0.0000">
                  <c:v>43.960737320112329</c:v>
                </c:pt>
                <c:pt idx="34" formatCode="0.0000">
                  <c:v>44.295691287878789</c:v>
                </c:pt>
                <c:pt idx="35" formatCode="0.0000">
                  <c:v>37.586872586872595</c:v>
                </c:pt>
                <c:pt idx="36" formatCode="0.0000">
                  <c:v>40.141369047619051</c:v>
                </c:pt>
                <c:pt idx="37" formatCode="0.0000">
                  <c:v>39.785118925743937</c:v>
                </c:pt>
                <c:pt idx="38" formatCode="0.0000">
                  <c:v>45.788309402939042</c:v>
                </c:pt>
                <c:pt idx="39" formatCode="0.0000">
                  <c:v>45.672900579150586</c:v>
                </c:pt>
                <c:pt idx="40" formatCode="0.0000">
                  <c:v>38.80188853626354</c:v>
                </c:pt>
                <c:pt idx="41" formatCode="0.0000">
                  <c:v>34.49369317655318</c:v>
                </c:pt>
                <c:pt idx="42" formatCode="0.0000">
                  <c:v>37.750710099740132</c:v>
                </c:pt>
                <c:pt idx="43" formatCode="0.0000">
                  <c:v>29.70512333745312</c:v>
                </c:pt>
                <c:pt idx="44" formatCode="0.0000">
                  <c:v>29.8348502310734</c:v>
                </c:pt>
                <c:pt idx="45" formatCode="0.0000">
                  <c:v>33.307096818580185</c:v>
                </c:pt>
                <c:pt idx="46" formatCode="0.0000">
                  <c:v>31.924256800790662</c:v>
                </c:pt>
                <c:pt idx="47" formatCode="0.0000">
                  <c:v>27.10253853985056</c:v>
                </c:pt>
                <c:pt idx="48" formatCode="0.0000">
                  <c:v>29.183052208926451</c:v>
                </c:pt>
                <c:pt idx="49" formatCode="0.0000">
                  <c:v>44.153751886413488</c:v>
                </c:pt>
                <c:pt idx="50" formatCode="0.0000">
                  <c:v>36.323255966572518</c:v>
                </c:pt>
                <c:pt idx="51" formatCode="0.0000">
                  <c:v>34.203217503217502</c:v>
                </c:pt>
                <c:pt idx="52" formatCode="0.0000">
                  <c:v>42.621307673240395</c:v>
                </c:pt>
                <c:pt idx="53" formatCode="0.0000">
                  <c:v>52.067436585563151</c:v>
                </c:pt>
                <c:pt idx="54" formatCode="0.0000">
                  <c:v>39.306850683425246</c:v>
                </c:pt>
                <c:pt idx="55" formatCode="0.0000">
                  <c:v>45.149619749591032</c:v>
                </c:pt>
                <c:pt idx="56" formatCode="0.0000">
                  <c:v>45.880511763116182</c:v>
                </c:pt>
                <c:pt idx="57" formatCode="0.0000">
                  <c:v>43.233213097821761</c:v>
                </c:pt>
                <c:pt idx="58" formatCode="0.0000">
                  <c:v>49.973607855304287</c:v>
                </c:pt>
                <c:pt idx="59" formatCode="0.0000">
                  <c:v>58.73648672135684</c:v>
                </c:pt>
                <c:pt idx="60" formatCode="0.0000">
                  <c:v>56.264084492018846</c:v>
                </c:pt>
                <c:pt idx="61" formatCode="0.0000">
                  <c:v>53.130238203936322</c:v>
                </c:pt>
                <c:pt idx="62" formatCode="0.0000">
                  <c:v>55.561888376411112</c:v>
                </c:pt>
                <c:pt idx="63" formatCode="0.0000">
                  <c:v>39.666666666666664</c:v>
                </c:pt>
                <c:pt idx="64" formatCode="0.0000">
                  <c:v>40.541666666666664</c:v>
                </c:pt>
                <c:pt idx="65" formatCode="0.0000">
                  <c:v>57.166666666666664</c:v>
                </c:pt>
                <c:pt idx="66" formatCode="0.0000">
                  <c:v>91.956018311111109</c:v>
                </c:pt>
                <c:pt idx="67" formatCode="0.0000">
                  <c:v>137.92534248888887</c:v>
                </c:pt>
                <c:pt idx="68" formatCode="0.0000">
                  <c:v>120.48563084870447</c:v>
                </c:pt>
                <c:pt idx="69" formatCode="0.0000">
                  <c:v>120.32973756542037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367424"/>
        <c:axId val="609367984"/>
      </c:lineChart>
      <c:catAx>
        <c:axId val="609367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367984"/>
        <c:crosses val="autoZero"/>
        <c:auto val="1"/>
        <c:lblAlgn val="ctr"/>
        <c:lblOffset val="100"/>
        <c:noMultiLvlLbl val="0"/>
      </c:catAx>
      <c:valAx>
        <c:axId val="609367984"/>
        <c:scaling>
          <c:orientation val="minMax"/>
          <c:max val="250"/>
        </c:scaling>
        <c:delete val="0"/>
        <c:axPos val="l"/>
        <c:majorGridlines>
          <c:spPr>
            <a:ln w="9525" cap="flat" cmpd="sng" algn="ctr">
              <a:solidFill>
                <a:schemeClr val="accent1">
                  <a:lumMod val="60000"/>
                  <a:lumOff val="40000"/>
                  <a:alpha val="98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367424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704673453055817"/>
          <c:y val="9.5427757113182937E-2"/>
          <c:w val="0.21658789309515813"/>
          <c:h val="0.847717904127014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1" i="0" u="none" strike="noStrike" kern="1200" spc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Cotton, UK, Black Sea, Mediterranean Sea, Persian Gulf &amp; India,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1" i="0" u="none" strike="noStrike" kern="1200" spc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'Cotton (Adjusted)'!$C$6</c:f>
              <c:strCache>
                <c:ptCount val="1"/>
                <c:pt idx="0">
                  <c:v>UK, Imports, in pound/ton</c:v>
                </c:pt>
              </c:strCache>
            </c:strRef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(Adjusted)'!$C$7:$C$107</c:f>
              <c:numCache>
                <c:formatCode>0.0000</c:formatCode>
                <c:ptCount val="81"/>
                <c:pt idx="3">
                  <c:v>50.931138031789246</c:v>
                </c:pt>
                <c:pt idx="4">
                  <c:v>52.369578216521809</c:v>
                </c:pt>
                <c:pt idx="5">
                  <c:v>57.861914480692192</c:v>
                </c:pt>
                <c:pt idx="6">
                  <c:v>67.6835794192544</c:v>
                </c:pt>
                <c:pt idx="7">
                  <c:v>65.200481895461252</c:v>
                </c:pt>
                <c:pt idx="8">
                  <c:v>63.143780322374681</c:v>
                </c:pt>
                <c:pt idx="9">
                  <c:v>57.58375050023794</c:v>
                </c:pt>
                <c:pt idx="10">
                  <c:v>68.881991197067322</c:v>
                </c:pt>
                <c:pt idx="11">
                  <c:v>132.92360761835465</c:v>
                </c:pt>
                <c:pt idx="12">
                  <c:v>188.14404533993084</c:v>
                </c:pt>
                <c:pt idx="13">
                  <c:v>195.96352875846935</c:v>
                </c:pt>
                <c:pt idx="14">
                  <c:v>151.19999999999999</c:v>
                </c:pt>
                <c:pt idx="15">
                  <c:v>126</c:v>
                </c:pt>
                <c:pt idx="16">
                  <c:v>92.2</c:v>
                </c:pt>
                <c:pt idx="17">
                  <c:v>93.000000000000014</c:v>
                </c:pt>
                <c:pt idx="18">
                  <c:v>104.2</c:v>
                </c:pt>
                <c:pt idx="19">
                  <c:v>89.4</c:v>
                </c:pt>
                <c:pt idx="20">
                  <c:v>70.400000000000006</c:v>
                </c:pt>
                <c:pt idx="21">
                  <c:v>84.800000000000011</c:v>
                </c:pt>
                <c:pt idx="22">
                  <c:v>80.2</c:v>
                </c:pt>
                <c:pt idx="23">
                  <c:v>72.400000000000006</c:v>
                </c:pt>
                <c:pt idx="24">
                  <c:v>69.400000000000006</c:v>
                </c:pt>
                <c:pt idx="25">
                  <c:v>60.4</c:v>
                </c:pt>
                <c:pt idx="26">
                  <c:v>58.6</c:v>
                </c:pt>
                <c:pt idx="27">
                  <c:v>55.999999999999993</c:v>
                </c:pt>
                <c:pt idx="28">
                  <c:v>55.199999999999996</c:v>
                </c:pt>
                <c:pt idx="29">
                  <c:v>58.8</c:v>
                </c:pt>
                <c:pt idx="30">
                  <c:v>58.4</c:v>
                </c:pt>
                <c:pt idx="31">
                  <c:v>58.6</c:v>
                </c:pt>
                <c:pt idx="32">
                  <c:v>58.20000000000001</c:v>
                </c:pt>
                <c:pt idx="33">
                  <c:v>57</c:v>
                </c:pt>
                <c:pt idx="34">
                  <c:v>57.199999999999996</c:v>
                </c:pt>
                <c:pt idx="35">
                  <c:v>49.800000000000004</c:v>
                </c:pt>
                <c:pt idx="36">
                  <c:v>50.199999999999996</c:v>
                </c:pt>
                <c:pt idx="37">
                  <c:v>51.8</c:v>
                </c:pt>
                <c:pt idx="38">
                  <c:v>52.8</c:v>
                </c:pt>
                <c:pt idx="39">
                  <c:v>53.399999999999991</c:v>
                </c:pt>
                <c:pt idx="40">
                  <c:v>51.8</c:v>
                </c:pt>
                <c:pt idx="41">
                  <c:v>47.800000000000004</c:v>
                </c:pt>
                <c:pt idx="42">
                  <c:v>48.533333333333331</c:v>
                </c:pt>
                <c:pt idx="43">
                  <c:v>41.25333333333333</c:v>
                </c:pt>
                <c:pt idx="44">
                  <c:v>38.826666666666668</c:v>
                </c:pt>
                <c:pt idx="45">
                  <c:v>46.293333333333329</c:v>
                </c:pt>
                <c:pt idx="46">
                  <c:v>41.81333333333334</c:v>
                </c:pt>
                <c:pt idx="47">
                  <c:v>35.93333333333333</c:v>
                </c:pt>
                <c:pt idx="48">
                  <c:v>38.080000000000005</c:v>
                </c:pt>
                <c:pt idx="49">
                  <c:v>52.173333333333332</c:v>
                </c:pt>
                <c:pt idx="50">
                  <c:v>51.426666666666662</c:v>
                </c:pt>
                <c:pt idx="51">
                  <c:v>50.773333333333333</c:v>
                </c:pt>
                <c:pt idx="52">
                  <c:v>56</c:v>
                </c:pt>
                <c:pt idx="53">
                  <c:v>62.626666666666665</c:v>
                </c:pt>
                <c:pt idx="54">
                  <c:v>53.013333333333328</c:v>
                </c:pt>
                <c:pt idx="55">
                  <c:v>70.14</c:v>
                </c:pt>
                <c:pt idx="56">
                  <c:v>77.513333333333335</c:v>
                </c:pt>
                <c:pt idx="57">
                  <c:v>71.586666666666659</c:v>
                </c:pt>
                <c:pt idx="58">
                  <c:v>71.213333333333338</c:v>
                </c:pt>
                <c:pt idx="59">
                  <c:v>97.486666666666665</c:v>
                </c:pt>
                <c:pt idx="60">
                  <c:v>85.726666666666674</c:v>
                </c:pt>
                <c:pt idx="61">
                  <c:v>75.88000000000001</c:v>
                </c:pt>
                <c:pt idx="62">
                  <c:v>82.506666666666661</c:v>
                </c:pt>
                <c:pt idx="63">
                  <c:v>76.066666666666663</c:v>
                </c:pt>
                <c:pt idx="64">
                  <c:v>63.186666666666675</c:v>
                </c:pt>
                <c:pt idx="65">
                  <c:v>100.61333333333336</c:v>
                </c:pt>
                <c:pt idx="66">
                  <c:v>174.06666666666666</c:v>
                </c:pt>
                <c:pt idx="67">
                  <c:v>237.01999999999998</c:v>
                </c:pt>
                <c:pt idx="68">
                  <c:v>239.11999999999998</c:v>
                </c:pt>
                <c:pt idx="69">
                  <c:v>374.22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'Cotton (Adjusted)'!$I$6</c:f>
              <c:strCache>
                <c:ptCount val="1"/>
                <c:pt idx="0">
                  <c:v>Egypt, Exports, in pound/ton</c:v>
                </c:pt>
              </c:strCache>
            </c:strRef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(Adjusted)'!$I$7:$I$107</c:f>
              <c:numCache>
                <c:formatCode>0.0000</c:formatCode>
                <c:ptCount val="81"/>
                <c:pt idx="34">
                  <c:v>20.298024459078082</c:v>
                </c:pt>
                <c:pt idx="35">
                  <c:v>19.669976981256166</c:v>
                </c:pt>
                <c:pt idx="36">
                  <c:v>20.659015324421258</c:v>
                </c:pt>
                <c:pt idx="37">
                  <c:v>21.290193164933136</c:v>
                </c:pt>
                <c:pt idx="38">
                  <c:v>22.396506550218341</c:v>
                </c:pt>
                <c:pt idx="39">
                  <c:v>20.878846153846155</c:v>
                </c:pt>
                <c:pt idx="40">
                  <c:v>17.71231527093596</c:v>
                </c:pt>
                <c:pt idx="41">
                  <c:v>14.599646017699115</c:v>
                </c:pt>
                <c:pt idx="42">
                  <c:v>15.98625</c:v>
                </c:pt>
                <c:pt idx="43">
                  <c:v>12.718933925596891</c:v>
                </c:pt>
                <c:pt idx="44">
                  <c:v>15.100531914893617</c:v>
                </c:pt>
                <c:pt idx="45">
                  <c:v>16.217050067658999</c:v>
                </c:pt>
                <c:pt idx="46">
                  <c:v>13.093426573426575</c:v>
                </c:pt>
                <c:pt idx="47">
                  <c:v>11.848347245409014</c:v>
                </c:pt>
                <c:pt idx="48">
                  <c:v>14.586494984279085</c:v>
                </c:pt>
                <c:pt idx="49">
                  <c:v>20.181978993919291</c:v>
                </c:pt>
                <c:pt idx="50">
                  <c:v>16.233414992650662</c:v>
                </c:pt>
                <c:pt idx="51">
                  <c:v>17.534936861094408</c:v>
                </c:pt>
                <c:pt idx="52">
                  <c:v>23.561782071926999</c:v>
                </c:pt>
                <c:pt idx="53">
                  <c:v>23.728259766615931</c:v>
                </c:pt>
                <c:pt idx="54">
                  <c:v>20.34171901332925</c:v>
                </c:pt>
                <c:pt idx="55">
                  <c:v>25.748126026579065</c:v>
                </c:pt>
                <c:pt idx="56">
                  <c:v>28.899722991689753</c:v>
                </c:pt>
                <c:pt idx="57">
                  <c:v>22.617013232514179</c:v>
                </c:pt>
                <c:pt idx="58">
                  <c:v>25.951553509781359</c:v>
                </c:pt>
                <c:pt idx="59">
                  <c:v>33.887968047928112</c:v>
                </c:pt>
                <c:pt idx="60">
                  <c:v>29.089966857487198</c:v>
                </c:pt>
                <c:pt idx="61">
                  <c:v>27.8371975442398</c:v>
                </c:pt>
                <c:pt idx="62">
                  <c:v>30.734145991682205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'Cotton (Adjusted)'!$J$6</c:f>
              <c:strCache>
                <c:ptCount val="1"/>
                <c:pt idx="0">
                  <c:v>Palestine, Exports, in pound/ton</c:v>
                </c:pt>
              </c:strCache>
            </c:strRef>
          </c:tx>
          <c:spPr>
            <a:ln w="158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(Adjusted)'!$J$7:$J$107</c:f>
              <c:numCache>
                <c:formatCode>0.0000</c:formatCode>
                <c:ptCount val="81"/>
                <c:pt idx="9">
                  <c:v>44.267154930963777</c:v>
                </c:pt>
                <c:pt idx="10">
                  <c:v>51.149003128498691</c:v>
                </c:pt>
                <c:pt idx="11">
                  <c:v>91.209725800190597</c:v>
                </c:pt>
                <c:pt idx="12">
                  <c:v>122.19506332476844</c:v>
                </c:pt>
                <c:pt idx="22">
                  <c:v>47.052734352025027</c:v>
                </c:pt>
                <c:pt idx="23">
                  <c:v>49.405371069626206</c:v>
                </c:pt>
                <c:pt idx="24">
                  <c:v>40.141863994071393</c:v>
                </c:pt>
                <c:pt idx="52">
                  <c:v>46.666666666666593</c:v>
                </c:pt>
                <c:pt idx="55">
                  <c:v>65.3333333333334</c:v>
                </c:pt>
              </c:numCache>
            </c:numRef>
          </c:val>
          <c:smooth val="0"/>
        </c:ser>
        <c:ser>
          <c:idx val="6"/>
          <c:order val="3"/>
          <c:tx>
            <c:strRef>
              <c:f>'Cotton (Adjusted)'!$L$6</c:f>
              <c:strCache>
                <c:ptCount val="1"/>
                <c:pt idx="0">
                  <c:v>Damascus, Imports,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(Adjusted)'!$L$7:$L$107</c:f>
              <c:numCache>
                <c:formatCode>0.0000</c:formatCode>
                <c:ptCount val="81"/>
                <c:pt idx="50">
                  <c:v>40</c:v>
                </c:pt>
                <c:pt idx="51">
                  <c:v>42.5</c:v>
                </c:pt>
                <c:pt idx="52">
                  <c:v>50</c:v>
                </c:pt>
                <c:pt idx="53">
                  <c:v>50</c:v>
                </c:pt>
                <c:pt idx="54">
                  <c:v>41.6666666666666</c:v>
                </c:pt>
                <c:pt idx="55">
                  <c:v>41.25</c:v>
                </c:pt>
                <c:pt idx="56">
                  <c:v>40</c:v>
                </c:pt>
                <c:pt idx="57">
                  <c:v>42.105263157894797</c:v>
                </c:pt>
                <c:pt idx="58">
                  <c:v>50</c:v>
                </c:pt>
                <c:pt idx="59">
                  <c:v>50</c:v>
                </c:pt>
                <c:pt idx="60">
                  <c:v>60</c:v>
                </c:pt>
              </c:numCache>
            </c:numRef>
          </c:val>
          <c:smooth val="0"/>
        </c:ser>
        <c:ser>
          <c:idx val="7"/>
          <c:order val="4"/>
          <c:tx>
            <c:strRef>
              <c:f>'Cotton (Adjusted)'!$M$6</c:f>
              <c:strCache>
                <c:ptCount val="1"/>
                <c:pt idx="0">
                  <c:v>Beirut, Exports,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(Adjusted)'!$M$7:$M$107</c:f>
              <c:numCache>
                <c:formatCode>0.0000</c:formatCode>
                <c:ptCount val="81"/>
                <c:pt idx="20">
                  <c:v>49</c:v>
                </c:pt>
                <c:pt idx="21">
                  <c:v>52.5</c:v>
                </c:pt>
                <c:pt idx="22">
                  <c:v>49</c:v>
                </c:pt>
              </c:numCache>
            </c:numRef>
          </c:val>
          <c:smooth val="0"/>
        </c:ser>
        <c:ser>
          <c:idx val="8"/>
          <c:order val="5"/>
          <c:tx>
            <c:strRef>
              <c:f>'Cotton (Adjusted)'!$N$6</c:f>
              <c:strCache>
                <c:ptCount val="1"/>
                <c:pt idx="0">
                  <c:v>Turkey, Exports,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(Adjusted)'!$N$7:$N$107</c:f>
              <c:numCache>
                <c:formatCode>0.0000</c:formatCode>
                <c:ptCount val="81"/>
                <c:pt idx="60">
                  <c:v>49.634710835982375</c:v>
                </c:pt>
              </c:numCache>
            </c:numRef>
          </c:val>
          <c:smooth val="0"/>
        </c:ser>
        <c:ser>
          <c:idx val="9"/>
          <c:order val="6"/>
          <c:tx>
            <c:strRef>
              <c:f>'Cotton (Adjusted)'!$O$6</c:f>
              <c:strCache>
                <c:ptCount val="1"/>
                <c:pt idx="0">
                  <c:v>Constantinople, Imports, in pound/ton</c:v>
                </c:pt>
              </c:strCache>
            </c:strRef>
          </c:tx>
          <c:spPr>
            <a:ln w="158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(Adjusted)'!$O$7:$O$107</c:f>
              <c:numCache>
                <c:formatCode>0.0000</c:formatCode>
                <c:ptCount val="81"/>
                <c:pt idx="49">
                  <c:v>35.490605427974948</c:v>
                </c:pt>
                <c:pt idx="59">
                  <c:v>22.916666666666668</c:v>
                </c:pt>
              </c:numCache>
            </c:numRef>
          </c:val>
          <c:smooth val="0"/>
        </c:ser>
        <c:ser>
          <c:idx val="10"/>
          <c:order val="7"/>
          <c:tx>
            <c:strRef>
              <c:f>'Cotton (Adjusted)'!$P$6</c:f>
              <c:strCache>
                <c:ptCount val="1"/>
                <c:pt idx="0">
                  <c:v>Trebizond (Anatolia), Imports,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(Adjusted)'!$P$7:$P$107</c:f>
              <c:numCache>
                <c:formatCode>0.0000</c:formatCode>
                <c:ptCount val="81"/>
                <c:pt idx="32">
                  <c:v>40</c:v>
                </c:pt>
                <c:pt idx="33">
                  <c:v>40</c:v>
                </c:pt>
                <c:pt idx="34">
                  <c:v>41.428571428571431</c:v>
                </c:pt>
                <c:pt idx="35">
                  <c:v>40</c:v>
                </c:pt>
                <c:pt idx="36">
                  <c:v>39.677419354838712</c:v>
                </c:pt>
                <c:pt idx="37">
                  <c:v>40</c:v>
                </c:pt>
                <c:pt idx="38">
                  <c:v>36.721311475409834</c:v>
                </c:pt>
                <c:pt idx="39">
                  <c:v>40</c:v>
                </c:pt>
                <c:pt idx="40">
                  <c:v>40</c:v>
                </c:pt>
                <c:pt idx="41">
                  <c:v>40.128205128205124</c:v>
                </c:pt>
                <c:pt idx="42">
                  <c:v>40</c:v>
                </c:pt>
                <c:pt idx="43">
                  <c:v>40</c:v>
                </c:pt>
                <c:pt idx="44">
                  <c:v>40</c:v>
                </c:pt>
                <c:pt idx="45">
                  <c:v>40.149253731343286</c:v>
                </c:pt>
                <c:pt idx="46">
                  <c:v>40</c:v>
                </c:pt>
                <c:pt idx="47">
                  <c:v>40</c:v>
                </c:pt>
                <c:pt idx="48">
                  <c:v>40</c:v>
                </c:pt>
                <c:pt idx="49">
                  <c:v>48.695652173913047</c:v>
                </c:pt>
                <c:pt idx="50">
                  <c:v>51.981132075471699</c:v>
                </c:pt>
                <c:pt idx="51">
                  <c:v>48.078817733990149</c:v>
                </c:pt>
                <c:pt idx="52">
                  <c:v>51.980198019801982</c:v>
                </c:pt>
                <c:pt idx="53">
                  <c:v>60.111111111111114</c:v>
                </c:pt>
                <c:pt idx="54">
                  <c:v>60.08620689655173</c:v>
                </c:pt>
                <c:pt idx="55">
                  <c:v>72.173913043478265</c:v>
                </c:pt>
                <c:pt idx="56">
                  <c:v>79.941348973607035</c:v>
                </c:pt>
                <c:pt idx="57">
                  <c:v>45.453100158982515</c:v>
                </c:pt>
                <c:pt idx="58">
                  <c:v>26.97674418604651</c:v>
                </c:pt>
              </c:numCache>
            </c:numRef>
          </c:val>
          <c:smooth val="0"/>
        </c:ser>
        <c:ser>
          <c:idx val="11"/>
          <c:order val="8"/>
          <c:tx>
            <c:strRef>
              <c:f>'Cotton (Adjusted)'!$Q$6</c:f>
              <c:strCache>
                <c:ptCount val="1"/>
                <c:pt idx="0">
                  <c:v>Trebizond (Persia), Exports, in pound/ton</c:v>
                </c:pt>
              </c:strCache>
            </c:strRef>
          </c:tx>
          <c:spPr>
            <a:ln w="158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(Adjusted)'!$Q$7:$Q$107</c:f>
              <c:numCache>
                <c:formatCode>0.0000</c:formatCode>
                <c:ptCount val="81"/>
                <c:pt idx="18">
                  <c:v>40</c:v>
                </c:pt>
                <c:pt idx="19">
                  <c:v>40</c:v>
                </c:pt>
                <c:pt idx="20">
                  <c:v>40</c:v>
                </c:pt>
                <c:pt idx="21">
                  <c:v>40</c:v>
                </c:pt>
                <c:pt idx="22">
                  <c:v>40</c:v>
                </c:pt>
                <c:pt idx="23">
                  <c:v>53.333333333333329</c:v>
                </c:pt>
                <c:pt idx="24">
                  <c:v>53.333333333333329</c:v>
                </c:pt>
                <c:pt idx="33">
                  <c:v>40</c:v>
                </c:pt>
                <c:pt idx="34">
                  <c:v>40</c:v>
                </c:pt>
                <c:pt idx="35">
                  <c:v>40</c:v>
                </c:pt>
                <c:pt idx="36">
                  <c:v>40</c:v>
                </c:pt>
                <c:pt idx="37">
                  <c:v>39.928057553956833</c:v>
                </c:pt>
              </c:numCache>
            </c:numRef>
          </c:val>
          <c:smooth val="0"/>
        </c:ser>
        <c:ser>
          <c:idx val="12"/>
          <c:order val="9"/>
          <c:tx>
            <c:strRef>
              <c:f>'Cotton (Adjusted)'!$R$6</c:f>
              <c:strCache>
                <c:ptCount val="1"/>
                <c:pt idx="0">
                  <c:v>Adana, , in pound/ton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(Adjusted)'!$R$7:$R$107</c:f>
              <c:numCache>
                <c:formatCode>0.0000</c:formatCode>
                <c:ptCount val="81"/>
                <c:pt idx="25">
                  <c:v>39.478343779265451</c:v>
                </c:pt>
                <c:pt idx="26">
                  <c:v>46.221539145289043</c:v>
                </c:pt>
                <c:pt idx="27">
                  <c:v>44.355088421834061</c:v>
                </c:pt>
                <c:pt idx="28">
                  <c:v>43.757207747887684</c:v>
                </c:pt>
                <c:pt idx="29">
                  <c:v>59.926279625667441</c:v>
                </c:pt>
                <c:pt idx="30">
                  <c:v>48.040663595398485</c:v>
                </c:pt>
                <c:pt idx="31">
                  <c:v>52.524458864302346</c:v>
                </c:pt>
                <c:pt idx="34">
                  <c:v>43.699211033443966</c:v>
                </c:pt>
                <c:pt idx="35">
                  <c:v>44.411494739815019</c:v>
                </c:pt>
                <c:pt idx="36">
                  <c:v>44.857046164483954</c:v>
                </c:pt>
                <c:pt idx="37">
                  <c:v>41.989004129543581</c:v>
                </c:pt>
                <c:pt idx="38">
                  <c:v>47.663245460322351</c:v>
                </c:pt>
                <c:pt idx="39">
                  <c:v>43.781171169436369</c:v>
                </c:pt>
                <c:pt idx="40">
                  <c:v>39.392101347455736</c:v>
                </c:pt>
                <c:pt idx="41">
                  <c:v>35.104122236334526</c:v>
                </c:pt>
                <c:pt idx="42">
                  <c:v>37.694750811994204</c:v>
                </c:pt>
                <c:pt idx="43">
                  <c:v>32.488408764621433</c:v>
                </c:pt>
                <c:pt idx="44">
                  <c:v>27.519363415014876</c:v>
                </c:pt>
                <c:pt idx="45">
                  <c:v>31.510440370145325</c:v>
                </c:pt>
                <c:pt idx="46">
                  <c:v>30.003834008404805</c:v>
                </c:pt>
                <c:pt idx="47">
                  <c:v>30.700963259466892</c:v>
                </c:pt>
                <c:pt idx="48">
                  <c:v>29.08351680636807</c:v>
                </c:pt>
                <c:pt idx="49">
                  <c:v>41.329208093259894</c:v>
                </c:pt>
                <c:pt idx="50">
                  <c:v>33.663552278189762</c:v>
                </c:pt>
                <c:pt idx="51">
                  <c:v>35.910402726571</c:v>
                </c:pt>
                <c:pt idx="52">
                  <c:v>45.896435258491174</c:v>
                </c:pt>
                <c:pt idx="53">
                  <c:v>47.501334622798559</c:v>
                </c:pt>
                <c:pt idx="54">
                  <c:v>43.212655273317111</c:v>
                </c:pt>
                <c:pt idx="55">
                  <c:v>45.675143987034431</c:v>
                </c:pt>
                <c:pt idx="56">
                  <c:v>46.842760367131802</c:v>
                </c:pt>
                <c:pt idx="57">
                  <c:v>43.134158787622042</c:v>
                </c:pt>
              </c:numCache>
            </c:numRef>
          </c:val>
          <c:smooth val="0"/>
        </c:ser>
        <c:ser>
          <c:idx val="13"/>
          <c:order val="10"/>
          <c:tx>
            <c:strRef>
              <c:f>'Cotton (Adjusted)'!$S$6</c:f>
              <c:strCache>
                <c:ptCount val="1"/>
                <c:pt idx="0">
                  <c:v>Izmir, , in pound/ton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(Adjusted)'!$S$7:$S$107</c:f>
              <c:numCache>
                <c:formatCode>0.0000</c:formatCode>
                <c:ptCount val="81"/>
                <c:pt idx="25">
                  <c:v>45.424616056577165</c:v>
                </c:pt>
                <c:pt idx="26">
                  <c:v>49.654438604355605</c:v>
                </c:pt>
                <c:pt idx="27">
                  <c:v>47.064695417058978</c:v>
                </c:pt>
                <c:pt idx="28">
                  <c:v>45.573102580798697</c:v>
                </c:pt>
                <c:pt idx="29">
                  <c:v>65.833501964064581</c:v>
                </c:pt>
                <c:pt idx="30">
                  <c:v>52.524458864302346</c:v>
                </c:pt>
                <c:pt idx="31">
                  <c:v>58.716366616598151</c:v>
                </c:pt>
                <c:pt idx="42">
                  <c:v>36.586081670464957</c:v>
                </c:pt>
                <c:pt idx="43">
                  <c:v>32.949704629433505</c:v>
                </c:pt>
                <c:pt idx="44">
                  <c:v>26.640366549179017</c:v>
                </c:pt>
                <c:pt idx="45">
                  <c:v>32.719644628141879</c:v>
                </c:pt>
                <c:pt idx="46">
                  <c:v>34.888179079540471</c:v>
                </c:pt>
                <c:pt idx="47">
                  <c:v>29.242320208677743</c:v>
                </c:pt>
                <c:pt idx="48">
                  <c:v>31.936206253882649</c:v>
                </c:pt>
                <c:pt idx="49">
                  <c:v>41.746674841676658</c:v>
                </c:pt>
                <c:pt idx="50">
                  <c:v>39.866567087214378</c:v>
                </c:pt>
                <c:pt idx="51">
                  <c:v>39.522280757096517</c:v>
                </c:pt>
                <c:pt idx="52">
                  <c:v>51.517859111856765</c:v>
                </c:pt>
                <c:pt idx="53">
                  <c:v>51.495440837328168</c:v>
                </c:pt>
                <c:pt idx="54">
                  <c:v>47.576148151078776</c:v>
                </c:pt>
                <c:pt idx="55">
                  <c:v>51.402213124727616</c:v>
                </c:pt>
                <c:pt idx="56">
                  <c:v>49.984652830780881</c:v>
                </c:pt>
                <c:pt idx="57">
                  <c:v>46.153549902755586</c:v>
                </c:pt>
              </c:numCache>
            </c:numRef>
          </c:val>
          <c:smooth val="0"/>
        </c:ser>
        <c:ser>
          <c:idx val="14"/>
          <c:order val="11"/>
          <c:tx>
            <c:strRef>
              <c:f>'Cotton (Adjusted)'!$T$6</c:f>
              <c:strCache>
                <c:ptCount val="1"/>
                <c:pt idx="0">
                  <c:v>Izmir, Exports,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(Adjusted)'!$T$7:$T$107</c:f>
              <c:numCache>
                <c:formatCode>0.0000</c:formatCode>
                <c:ptCount val="81"/>
                <c:pt idx="14">
                  <c:v>128.65232424203094</c:v>
                </c:pt>
                <c:pt idx="15">
                  <c:v>77.587866366058606</c:v>
                </c:pt>
                <c:pt idx="17">
                  <c:v>35.288499462715478</c:v>
                </c:pt>
                <c:pt idx="18">
                  <c:v>70.669324130361346</c:v>
                </c:pt>
                <c:pt idx="20">
                  <c:v>20.735714285714284</c:v>
                </c:pt>
                <c:pt idx="21">
                  <c:v>72.443284936479131</c:v>
                </c:pt>
                <c:pt idx="23">
                  <c:v>57.023214285714282</c:v>
                </c:pt>
                <c:pt idx="24">
                  <c:v>43.930882109855723</c:v>
                </c:pt>
                <c:pt idx="25">
                  <c:v>48.363827544132548</c:v>
                </c:pt>
                <c:pt idx="31">
                  <c:v>51.933156853281858</c:v>
                </c:pt>
                <c:pt idx="32">
                  <c:v>46.674163953488367</c:v>
                </c:pt>
                <c:pt idx="33">
                  <c:v>47.296060568316044</c:v>
                </c:pt>
                <c:pt idx="34">
                  <c:v>46.01674651360544</c:v>
                </c:pt>
                <c:pt idx="35">
                  <c:v>42.645048018677436</c:v>
                </c:pt>
                <c:pt idx="37">
                  <c:v>41.471428571428568</c:v>
                </c:pt>
                <c:pt idx="38">
                  <c:v>48.72883308554588</c:v>
                </c:pt>
                <c:pt idx="39">
                  <c:v>50.802345846402197</c:v>
                </c:pt>
                <c:pt idx="40">
                  <c:v>81.986016351118764</c:v>
                </c:pt>
                <c:pt idx="41">
                  <c:v>47.692192383545567</c:v>
                </c:pt>
                <c:pt idx="43">
                  <c:v>28.511291473110983</c:v>
                </c:pt>
                <c:pt idx="47">
                  <c:v>15.253036437246964</c:v>
                </c:pt>
                <c:pt idx="48">
                  <c:v>40.39259708737864</c:v>
                </c:pt>
                <c:pt idx="49">
                  <c:v>39.099964551577457</c:v>
                </c:pt>
                <c:pt idx="50">
                  <c:v>41.180425205899255</c:v>
                </c:pt>
                <c:pt idx="51">
                  <c:v>53.525356967011327</c:v>
                </c:pt>
                <c:pt idx="52">
                  <c:v>39.013746273600532</c:v>
                </c:pt>
                <c:pt idx="53">
                  <c:v>39.041346721795627</c:v>
                </c:pt>
                <c:pt idx="54">
                  <c:v>39.075633773308191</c:v>
                </c:pt>
                <c:pt idx="55">
                  <c:v>43.011929460580916</c:v>
                </c:pt>
                <c:pt idx="56">
                  <c:v>44.257885681514054</c:v>
                </c:pt>
                <c:pt idx="57">
                  <c:v>38.704803493449781</c:v>
                </c:pt>
                <c:pt idx="59">
                  <c:v>42.214558058925476</c:v>
                </c:pt>
              </c:numCache>
            </c:numRef>
          </c:val>
          <c:smooth val="0"/>
        </c:ser>
        <c:ser>
          <c:idx val="15"/>
          <c:order val="12"/>
          <c:tx>
            <c:strRef>
              <c:f>'Cotton (Adjusted)'!$U$6</c:f>
              <c:strCache>
                <c:ptCount val="1"/>
                <c:pt idx="0">
                  <c:v>Izmir, , in pound/ton</c:v>
                </c:pt>
              </c:strCache>
            </c:strRef>
          </c:tx>
          <c:spPr>
            <a:ln w="158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(Adjusted)'!$U$7:$U$107</c:f>
              <c:numCache>
                <c:formatCode>0.0000</c:formatCode>
                <c:ptCount val="81"/>
                <c:pt idx="0">
                  <c:v>36.000007257486544</c:v>
                </c:pt>
                <c:pt idx="1">
                  <c:v>36.666738031951084</c:v>
                </c:pt>
                <c:pt idx="2">
                  <c:v>48.749988660177259</c:v>
                </c:pt>
                <c:pt idx="3">
                  <c:v>44.000065317378962</c:v>
                </c:pt>
                <c:pt idx="4">
                  <c:v>49.500035380246935</c:v>
                </c:pt>
                <c:pt idx="5">
                  <c:v>53.958352913427255</c:v>
                </c:pt>
                <c:pt idx="6">
                  <c:v>58.416670446607576</c:v>
                </c:pt>
                <c:pt idx="7">
                  <c:v>25.833328192613692</c:v>
                </c:pt>
                <c:pt idx="8">
                  <c:v>23.094773702497481</c:v>
                </c:pt>
                <c:pt idx="9">
                  <c:v>25.411363409567183</c:v>
                </c:pt>
                <c:pt idx="10">
                  <c:v>27.738113597808237</c:v>
                </c:pt>
                <c:pt idx="11">
                  <c:v>139.33372644718818</c:v>
                </c:pt>
                <c:pt idx="12">
                  <c:v>158.66709002004879</c:v>
                </c:pt>
                <c:pt idx="13">
                  <c:v>162.41732362039716</c:v>
                </c:pt>
                <c:pt idx="14">
                  <c:v>121.33341800400976</c:v>
                </c:pt>
                <c:pt idx="15">
                  <c:v>93.333468806415624</c:v>
                </c:pt>
                <c:pt idx="16">
                  <c:v>81.66669630140342</c:v>
                </c:pt>
                <c:pt idx="17">
                  <c:v>74.666734403207798</c:v>
                </c:pt>
                <c:pt idx="18">
                  <c:v>93.333468806415624</c:v>
                </c:pt>
                <c:pt idx="19">
                  <c:v>65.250102058404622</c:v>
                </c:pt>
                <c:pt idx="20">
                  <c:v>84.000050802405852</c:v>
                </c:pt>
                <c:pt idx="21">
                  <c:v>74.666734403207798</c:v>
                </c:pt>
                <c:pt idx="22">
                  <c:v>64.333423447124673</c:v>
                </c:pt>
                <c:pt idx="23">
                  <c:v>56.000101604811711</c:v>
                </c:pt>
                <c:pt idx="24">
                  <c:v>46.666683600801953</c:v>
                </c:pt>
                <c:pt idx="25">
                  <c:v>53.472377099001186</c:v>
                </c:pt>
                <c:pt idx="26">
                  <c:v>58.451622501837043</c:v>
                </c:pt>
                <c:pt idx="27">
                  <c:v>57.657885712730533</c:v>
                </c:pt>
                <c:pt idx="28">
                  <c:v>56.142449946022438</c:v>
                </c:pt>
                <c:pt idx="29">
                  <c:v>66.750297103355678</c:v>
                </c:pt>
                <c:pt idx="30">
                  <c:v>53.25595885005125</c:v>
                </c:pt>
                <c:pt idx="31">
                  <c:v>59.534120165833563</c:v>
                </c:pt>
                <c:pt idx="32">
                  <c:v>57.007614917763604</c:v>
                </c:pt>
                <c:pt idx="33">
                  <c:v>54.482735346681054</c:v>
                </c:pt>
                <c:pt idx="34">
                  <c:v>51.957042937104809</c:v>
                </c:pt>
                <c:pt idx="35">
                  <c:v>46.905658117952299</c:v>
                </c:pt>
                <c:pt idx="36">
                  <c:v>51.235343959503219</c:v>
                </c:pt>
                <c:pt idx="37">
                  <c:v>49.070551841133614</c:v>
                </c:pt>
                <c:pt idx="38">
                  <c:v>46.905658117952299</c:v>
                </c:pt>
                <c:pt idx="39">
                  <c:v>46.616998847874008</c:v>
                </c:pt>
                <c:pt idx="40">
                  <c:v>48.709651549926967</c:v>
                </c:pt>
                <c:pt idx="41">
                  <c:v>41.204815342326569</c:v>
                </c:pt>
                <c:pt idx="42">
                  <c:v>38.101804392593735</c:v>
                </c:pt>
                <c:pt idx="43">
                  <c:v>36.081291106857421</c:v>
                </c:pt>
                <c:pt idx="44">
                  <c:v>28.432074461812011</c:v>
                </c:pt>
                <c:pt idx="45">
                  <c:v>33.194800010886226</c:v>
                </c:pt>
                <c:pt idx="46">
                  <c:v>36.081291106857421</c:v>
                </c:pt>
                <c:pt idx="47">
                  <c:v>30.380448331231687</c:v>
                </c:pt>
                <c:pt idx="48">
                  <c:v>33.12255898975787</c:v>
                </c:pt>
                <c:pt idx="49">
                  <c:v>43.297468044379528</c:v>
                </c:pt>
                <c:pt idx="50">
                  <c:v>41.276954758643214</c:v>
                </c:pt>
                <c:pt idx="51">
                  <c:v>41.060434904881568</c:v>
                </c:pt>
                <c:pt idx="52">
                  <c:v>52.245702207183093</c:v>
                </c:pt>
                <c:pt idx="53">
                  <c:v>52.101321769738092</c:v>
                </c:pt>
                <c:pt idx="54">
                  <c:v>48.78189257105533</c:v>
                </c:pt>
                <c:pt idx="55">
                  <c:v>52.462120456133022</c:v>
                </c:pt>
                <c:pt idx="56">
                  <c:v>50.513746586713353</c:v>
                </c:pt>
                <c:pt idx="57">
                  <c:v>40.755214050493962</c:v>
                </c:pt>
                <c:pt idx="58">
                  <c:v>43.228275167602575</c:v>
                </c:pt>
                <c:pt idx="59">
                  <c:v>45.814524044960123</c:v>
                </c:pt>
                <c:pt idx="60">
                  <c:v>55.236033420725562</c:v>
                </c:pt>
                <c:pt idx="61">
                  <c:v>50.525329535248702</c:v>
                </c:pt>
                <c:pt idx="62">
                  <c:v>47.107648483638897</c:v>
                </c:pt>
              </c:numCache>
            </c:numRef>
          </c:val>
          <c:smooth val="0"/>
        </c:ser>
        <c:ser>
          <c:idx val="16"/>
          <c:order val="13"/>
          <c:tx>
            <c:strRef>
              <c:f>'Cotton (Adjusted)'!$V$6</c:f>
              <c:strCache>
                <c:ptCount val="1"/>
                <c:pt idx="0">
                  <c:v>Alexandretta, Exports,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(Adjusted)'!$V$7:$V$107</c:f>
              <c:numCache>
                <c:formatCode>0.0000</c:formatCode>
                <c:ptCount val="81"/>
                <c:pt idx="27">
                  <c:v>51.99999999999995</c:v>
                </c:pt>
                <c:pt idx="28">
                  <c:v>56.119047619047571</c:v>
                </c:pt>
                <c:pt idx="29">
                  <c:v>49.99999999999995</c:v>
                </c:pt>
                <c:pt idx="30">
                  <c:v>49.99999999999995</c:v>
                </c:pt>
                <c:pt idx="31">
                  <c:v>49.019607843137209</c:v>
                </c:pt>
                <c:pt idx="32">
                  <c:v>50.026490066225115</c:v>
                </c:pt>
                <c:pt idx="36">
                  <c:v>41.999999999999964</c:v>
                </c:pt>
                <c:pt idx="37">
                  <c:v>42.210256410256378</c:v>
                </c:pt>
                <c:pt idx="38">
                  <c:v>41.485049833887004</c:v>
                </c:pt>
                <c:pt idx="39">
                  <c:v>40.01515151515148</c:v>
                </c:pt>
                <c:pt idx="40">
                  <c:v>31.999999999999972</c:v>
                </c:pt>
                <c:pt idx="41">
                  <c:v>28.666666666666639</c:v>
                </c:pt>
                <c:pt idx="42">
                  <c:v>30.571428571428548</c:v>
                </c:pt>
                <c:pt idx="43">
                  <c:v>32.307692307692278</c:v>
                </c:pt>
                <c:pt idx="44">
                  <c:v>32.137614678899055</c:v>
                </c:pt>
                <c:pt idx="45">
                  <c:v>32.222836095764237</c:v>
                </c:pt>
                <c:pt idx="46">
                  <c:v>31.983240223463657</c:v>
                </c:pt>
                <c:pt idx="47">
                  <c:v>31.555023923444946</c:v>
                </c:pt>
                <c:pt idx="48">
                  <c:v>21.999999999999979</c:v>
                </c:pt>
                <c:pt idx="49">
                  <c:v>29.979094076655027</c:v>
                </c:pt>
                <c:pt idx="50">
                  <c:v>29.999999999999972</c:v>
                </c:pt>
                <c:pt idx="51">
                  <c:v>29.999999999999972</c:v>
                </c:pt>
                <c:pt idx="52">
                  <c:v>36.218637992831511</c:v>
                </c:pt>
                <c:pt idx="53">
                  <c:v>35.92401215805468</c:v>
                </c:pt>
                <c:pt idx="54">
                  <c:v>36.01801801801799</c:v>
                </c:pt>
                <c:pt idx="55">
                  <c:v>37.182680901542078</c:v>
                </c:pt>
                <c:pt idx="56">
                  <c:v>35.999999999999964</c:v>
                </c:pt>
                <c:pt idx="57">
                  <c:v>35.999999999999972</c:v>
                </c:pt>
                <c:pt idx="58">
                  <c:v>55.824742268041177</c:v>
                </c:pt>
                <c:pt idx="59">
                  <c:v>57.879133409350004</c:v>
                </c:pt>
                <c:pt idx="60">
                  <c:v>56.379721669980121</c:v>
                </c:pt>
                <c:pt idx="61">
                  <c:v>52.494366197183098</c:v>
                </c:pt>
                <c:pt idx="62">
                  <c:v>44.13134328358209</c:v>
                </c:pt>
              </c:numCache>
            </c:numRef>
          </c:val>
          <c:smooth val="0"/>
        </c:ser>
        <c:ser>
          <c:idx val="17"/>
          <c:order val="14"/>
          <c:tx>
            <c:strRef>
              <c:f>'Cotton (Adjusted)'!$AG$6</c:f>
              <c:strCache>
                <c:ptCount val="1"/>
                <c:pt idx="0">
                  <c:v>Bahrain, Imports, in pound/ton</c:v>
                </c:pt>
              </c:strCache>
            </c:strRef>
          </c:tx>
          <c:spPr>
            <a:ln w="158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(Adjusted)'!$AG$7:$AG$107</c:f>
              <c:numCache>
                <c:formatCode>0.0000</c:formatCode>
                <c:ptCount val="81"/>
                <c:pt idx="37">
                  <c:v>33.079166666666666</c:v>
                </c:pt>
                <c:pt idx="38">
                  <c:v>35.940067665538905</c:v>
                </c:pt>
                <c:pt idx="40">
                  <c:v>34.152923538230887</c:v>
                </c:pt>
                <c:pt idx="41">
                  <c:v>29.277108433734938</c:v>
                </c:pt>
                <c:pt idx="42">
                  <c:v>28.858299595141702</c:v>
                </c:pt>
                <c:pt idx="43">
                  <c:v>25.28</c:v>
                </c:pt>
                <c:pt idx="44">
                  <c:v>31.043137254901964</c:v>
                </c:pt>
                <c:pt idx="45">
                  <c:v>25.342756183745582</c:v>
                </c:pt>
                <c:pt idx="46">
                  <c:v>28.858638743455497</c:v>
                </c:pt>
                <c:pt idx="47">
                  <c:v>24.903225806451612</c:v>
                </c:pt>
                <c:pt idx="48">
                  <c:v>30.196078431372548</c:v>
                </c:pt>
                <c:pt idx="49">
                  <c:v>28.197325956662059</c:v>
                </c:pt>
                <c:pt idx="50">
                  <c:v>30.02290950744559</c:v>
                </c:pt>
                <c:pt idx="51">
                  <c:v>33.297872340425535</c:v>
                </c:pt>
                <c:pt idx="52">
                  <c:v>37.599999999999994</c:v>
                </c:pt>
                <c:pt idx="53">
                  <c:v>25.699958211450063</c:v>
                </c:pt>
                <c:pt idx="54">
                  <c:v>29.467330016583748</c:v>
                </c:pt>
                <c:pt idx="55">
                  <c:v>23.108851518706818</c:v>
                </c:pt>
                <c:pt idx="56">
                  <c:v>27.986798679867988</c:v>
                </c:pt>
                <c:pt idx="57">
                  <c:v>33.704052780395855</c:v>
                </c:pt>
                <c:pt idx="58">
                  <c:v>13.564888384411653</c:v>
                </c:pt>
                <c:pt idx="59">
                  <c:v>53.926701570680621</c:v>
                </c:pt>
                <c:pt idx="60">
                  <c:v>27.318489835430782</c:v>
                </c:pt>
                <c:pt idx="61">
                  <c:v>26.064516129032256</c:v>
                </c:pt>
                <c:pt idx="62">
                  <c:v>37.481481481481481</c:v>
                </c:pt>
              </c:numCache>
            </c:numRef>
          </c:val>
          <c:smooth val="0"/>
        </c:ser>
        <c:ser>
          <c:idx val="18"/>
          <c:order val="15"/>
          <c:tx>
            <c:strRef>
              <c:f>'Cotton (Adjusted)'!$AH$6</c:f>
              <c:strCache>
                <c:ptCount val="1"/>
                <c:pt idx="0">
                  <c:v>Bahrain &amp; Muscat, Exports,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(Adjusted)'!$AH$7:$AH$107</c:f>
              <c:numCache>
                <c:formatCode>0.0000</c:formatCode>
                <c:ptCount val="81"/>
                <c:pt idx="23">
                  <c:v>32.923704954954999</c:v>
                </c:pt>
                <c:pt idx="24">
                  <c:v>26.974147982387603</c:v>
                </c:pt>
                <c:pt idx="25">
                  <c:v>25.017781205643001</c:v>
                </c:pt>
                <c:pt idx="26">
                  <c:v>24.758061518109802</c:v>
                </c:pt>
                <c:pt idx="27">
                  <c:v>23.741767088631999</c:v>
                </c:pt>
                <c:pt idx="28">
                  <c:v>33.852890118396203</c:v>
                </c:pt>
                <c:pt idx="29">
                  <c:v>29.500768855672401</c:v>
                </c:pt>
                <c:pt idx="30">
                  <c:v>35.0198122157528</c:v>
                </c:pt>
                <c:pt idx="31">
                  <c:v>8.0717230648902607</c:v>
                </c:pt>
                <c:pt idx="32">
                  <c:v>9.3494676511821204</c:v>
                </c:pt>
                <c:pt idx="33">
                  <c:v>32.013274528547797</c:v>
                </c:pt>
                <c:pt idx="34">
                  <c:v>5.9407349723115397</c:v>
                </c:pt>
                <c:pt idx="35">
                  <c:v>14.63947928176224</c:v>
                </c:pt>
                <c:pt idx="36">
                  <c:v>16.14778926836804</c:v>
                </c:pt>
                <c:pt idx="37">
                  <c:v>20.334357709799804</c:v>
                </c:pt>
                <c:pt idx="38">
                  <c:v>20.157789384678399</c:v>
                </c:pt>
                <c:pt idx="39">
                  <c:v>22.646427536861601</c:v>
                </c:pt>
                <c:pt idx="40">
                  <c:v>20.354118990372999</c:v>
                </c:pt>
                <c:pt idx="41">
                  <c:v>19.74998841285014</c:v>
                </c:pt>
                <c:pt idx="42">
                  <c:v>20.637962838606001</c:v>
                </c:pt>
                <c:pt idx="43">
                  <c:v>14.3777431370277</c:v>
                </c:pt>
                <c:pt idx="46">
                  <c:v>17.333333333333336</c:v>
                </c:pt>
                <c:pt idx="47">
                  <c:v>23.846153846153847</c:v>
                </c:pt>
                <c:pt idx="48">
                  <c:v>27.878787878787882</c:v>
                </c:pt>
                <c:pt idx="49">
                  <c:v>33</c:v>
                </c:pt>
                <c:pt idx="50">
                  <c:v>34.883720930232556</c:v>
                </c:pt>
                <c:pt idx="51">
                  <c:v>30.434782608695656</c:v>
                </c:pt>
                <c:pt idx="52">
                  <c:v>40</c:v>
                </c:pt>
                <c:pt idx="53">
                  <c:v>37.209302325581397</c:v>
                </c:pt>
                <c:pt idx="54">
                  <c:v>36.028368794326241</c:v>
                </c:pt>
                <c:pt idx="55">
                  <c:v>28.000000000000004</c:v>
                </c:pt>
                <c:pt idx="59">
                  <c:v>55.490196078431396</c:v>
                </c:pt>
                <c:pt idx="60">
                  <c:v>63.8888888888888</c:v>
                </c:pt>
              </c:numCache>
            </c:numRef>
          </c:val>
          <c:smooth val="0"/>
        </c:ser>
        <c:ser>
          <c:idx val="19"/>
          <c:order val="16"/>
          <c:tx>
            <c:strRef>
              <c:f>'Cotton (Adjusted)'!$AI$6</c:f>
              <c:strCache>
                <c:ptCount val="1"/>
                <c:pt idx="0">
                  <c:v>Mohammerah, Exports,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(Adjusted)'!$AI$7:$AI$107</c:f>
              <c:numCache>
                <c:formatCode>0.0000</c:formatCode>
                <c:ptCount val="81"/>
                <c:pt idx="39">
                  <c:v>30.6666666666666</c:v>
                </c:pt>
                <c:pt idx="49">
                  <c:v>25.886654478976201</c:v>
                </c:pt>
                <c:pt idx="50">
                  <c:v>22.788844621513999</c:v>
                </c:pt>
                <c:pt idx="51">
                  <c:v>22.956669498725599</c:v>
                </c:pt>
              </c:numCache>
            </c:numRef>
          </c:val>
          <c:smooth val="0"/>
        </c:ser>
        <c:ser>
          <c:idx val="20"/>
          <c:order val="17"/>
          <c:tx>
            <c:strRef>
              <c:f>'Cotton (Adjusted)'!$AJ$6</c:f>
              <c:strCache>
                <c:ptCount val="1"/>
                <c:pt idx="0">
                  <c:v>Lingah, Imports,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(Adjusted)'!$AJ$7:$AJ$107</c:f>
              <c:numCache>
                <c:formatCode>0.0000</c:formatCode>
                <c:ptCount val="81"/>
                <c:pt idx="36">
                  <c:v>41.592039800994996</c:v>
                </c:pt>
                <c:pt idx="37">
                  <c:v>29.846153846153797</c:v>
                </c:pt>
                <c:pt idx="38">
                  <c:v>27.3555555555556</c:v>
                </c:pt>
                <c:pt idx="39">
                  <c:v>27.9850746268656</c:v>
                </c:pt>
                <c:pt idx="40">
                  <c:v>21.446111869031398</c:v>
                </c:pt>
                <c:pt idx="41">
                  <c:v>22.135593220339</c:v>
                </c:pt>
                <c:pt idx="42">
                  <c:v>38.685714285714198</c:v>
                </c:pt>
                <c:pt idx="43">
                  <c:v>20.453333333333397</c:v>
                </c:pt>
                <c:pt idx="44">
                  <c:v>22.025000000000002</c:v>
                </c:pt>
                <c:pt idx="45">
                  <c:v>17.649999999999999</c:v>
                </c:pt>
                <c:pt idx="46">
                  <c:v>19.650000000000002</c:v>
                </c:pt>
                <c:pt idx="47">
                  <c:v>15.625</c:v>
                </c:pt>
                <c:pt idx="48">
                  <c:v>20.714285714285801</c:v>
                </c:pt>
                <c:pt idx="49">
                  <c:v>23.173913043478201</c:v>
                </c:pt>
                <c:pt idx="50">
                  <c:v>20.9142857142858</c:v>
                </c:pt>
                <c:pt idx="56">
                  <c:v>34.375</c:v>
                </c:pt>
                <c:pt idx="59">
                  <c:v>21.818181818181799</c:v>
                </c:pt>
                <c:pt idx="60">
                  <c:v>42.531645569620196</c:v>
                </c:pt>
                <c:pt idx="61">
                  <c:v>46.956521739130402</c:v>
                </c:pt>
              </c:numCache>
            </c:numRef>
          </c:val>
          <c:smooth val="0"/>
        </c:ser>
        <c:ser>
          <c:idx val="21"/>
          <c:order val="18"/>
          <c:tx>
            <c:strRef>
              <c:f>'Cotton (Adjusted)'!$AK$6</c:f>
              <c:strCache>
                <c:ptCount val="1"/>
                <c:pt idx="0">
                  <c:v>Lingah, Exports, in pound/ton</c:v>
                </c:pt>
              </c:strCache>
            </c:strRef>
          </c:tx>
          <c:spPr>
            <a:ln w="158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(Adjusted)'!$AK$7:$AK$107</c:f>
              <c:numCache>
                <c:formatCode>0.0000</c:formatCode>
                <c:ptCount val="81"/>
                <c:pt idx="46">
                  <c:v>22.5</c:v>
                </c:pt>
                <c:pt idx="47">
                  <c:v>18.785714285714278</c:v>
                </c:pt>
                <c:pt idx="48">
                  <c:v>20</c:v>
                </c:pt>
                <c:pt idx="49">
                  <c:v>20</c:v>
                </c:pt>
                <c:pt idx="50">
                  <c:v>19.2</c:v>
                </c:pt>
                <c:pt idx="55">
                  <c:v>36.754385964912203</c:v>
                </c:pt>
                <c:pt idx="56">
                  <c:v>39.122807017543799</c:v>
                </c:pt>
                <c:pt idx="57">
                  <c:v>33.157894736842202</c:v>
                </c:pt>
                <c:pt idx="58">
                  <c:v>33.714285714285801</c:v>
                </c:pt>
                <c:pt idx="59">
                  <c:v>43.267973856209203</c:v>
                </c:pt>
                <c:pt idx="60">
                  <c:v>50.940170940171001</c:v>
                </c:pt>
                <c:pt idx="61">
                  <c:v>56.25</c:v>
                </c:pt>
              </c:numCache>
            </c:numRef>
          </c:val>
          <c:smooth val="0"/>
        </c:ser>
        <c:ser>
          <c:idx val="22"/>
          <c:order val="19"/>
          <c:tx>
            <c:strRef>
              <c:f>'Cotton (Adjusted)'!$AL$6</c:f>
              <c:strCache>
                <c:ptCount val="1"/>
                <c:pt idx="0">
                  <c:v>Shiraz, Exports,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cat>
            <c:numRef>
              <c:f>'Cotton (Adjusted)'!$A$7:$A$107</c:f>
              <c:numCache>
                <c:formatCode>General</c:formatCode>
                <c:ptCount val="81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</c:numCache>
            </c:numRef>
          </c:cat>
          <c:val>
            <c:numRef>
              <c:f>'Cotton (Adjusted)'!$AL$7:$AL$107</c:f>
              <c:numCache>
                <c:formatCode>General</c:formatCode>
                <c:ptCount val="81"/>
                <c:pt idx="36" formatCode="0.0000">
                  <c:v>25.5647508010126</c:v>
                </c:pt>
                <c:pt idx="37" formatCode="0.0000">
                  <c:v>22.711864503954203</c:v>
                </c:pt>
                <c:pt idx="38" formatCode="0.0000">
                  <c:v>24.088995135765799</c:v>
                </c:pt>
                <c:pt idx="39" formatCode="0.0000">
                  <c:v>20.667916249074199</c:v>
                </c:pt>
                <c:pt idx="40" formatCode="0.0000">
                  <c:v>26.044226044226001</c:v>
                </c:pt>
                <c:pt idx="41" formatCode="0.0000">
                  <c:v>9.5237854251012202</c:v>
                </c:pt>
                <c:pt idx="43" formatCode="0.0000">
                  <c:v>10.371111111111119</c:v>
                </c:pt>
                <c:pt idx="44" formatCode="0.0000">
                  <c:v>12.34545454545454</c:v>
                </c:pt>
                <c:pt idx="45" formatCode="0.0000">
                  <c:v>10.457333333333342</c:v>
                </c:pt>
                <c:pt idx="47" formatCode="0.0000">
                  <c:v>10.649251135980579</c:v>
                </c:pt>
                <c:pt idx="48" formatCode="0.0000">
                  <c:v>11.660773996879481</c:v>
                </c:pt>
                <c:pt idx="49" formatCode="0.0000">
                  <c:v>9.7364404621986793</c:v>
                </c:pt>
                <c:pt idx="50" formatCode="0.0000">
                  <c:v>8.8886486486486405</c:v>
                </c:pt>
              </c:numCache>
            </c:numRef>
          </c:val>
          <c:smooth val="0"/>
        </c:ser>
        <c:ser>
          <c:idx val="0"/>
          <c:order val="20"/>
          <c:tx>
            <c:strRef>
              <c:f>'Cotton (Adjusted)'!$AO$6</c:f>
              <c:strCache>
                <c:ptCount val="1"/>
                <c:pt idx="0">
                  <c:v>India, Wholesale, in pound/ton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'Cotton (Adjusted)'!$AO$7:$AO$107</c:f>
              <c:numCache>
                <c:formatCode>General</c:formatCode>
                <c:ptCount val="81"/>
                <c:pt idx="22" formatCode="0.0000">
                  <c:v>64.005187005186997</c:v>
                </c:pt>
                <c:pt idx="33" formatCode="0.0000">
                  <c:v>43.960737320112329</c:v>
                </c:pt>
                <c:pt idx="34" formatCode="0.0000">
                  <c:v>44.295691287878789</c:v>
                </c:pt>
                <c:pt idx="35" formatCode="0.0000">
                  <c:v>37.586872586872595</c:v>
                </c:pt>
                <c:pt idx="36" formatCode="0.0000">
                  <c:v>40.141369047619051</c:v>
                </c:pt>
                <c:pt idx="37" formatCode="0.0000">
                  <c:v>39.785118925743937</c:v>
                </c:pt>
                <c:pt idx="38" formatCode="0.0000">
                  <c:v>45.788309402939042</c:v>
                </c:pt>
                <c:pt idx="39" formatCode="0.0000">
                  <c:v>45.672900579150586</c:v>
                </c:pt>
                <c:pt idx="40" formatCode="0.0000">
                  <c:v>38.80188853626354</c:v>
                </c:pt>
                <c:pt idx="41" formatCode="0.0000">
                  <c:v>34.49369317655318</c:v>
                </c:pt>
                <c:pt idx="42" formatCode="0.0000">
                  <c:v>37.750710099740132</c:v>
                </c:pt>
                <c:pt idx="43" formatCode="0.0000">
                  <c:v>29.70512333745312</c:v>
                </c:pt>
                <c:pt idx="44" formatCode="0.0000">
                  <c:v>29.8348502310734</c:v>
                </c:pt>
                <c:pt idx="45" formatCode="0.0000">
                  <c:v>33.307096818580185</c:v>
                </c:pt>
                <c:pt idx="46" formatCode="0.0000">
                  <c:v>31.924256800790662</c:v>
                </c:pt>
                <c:pt idx="47" formatCode="0.0000">
                  <c:v>27.10253853985056</c:v>
                </c:pt>
                <c:pt idx="48" formatCode="0.0000">
                  <c:v>29.183052208926451</c:v>
                </c:pt>
                <c:pt idx="49" formatCode="0.0000">
                  <c:v>44.153751886413488</c:v>
                </c:pt>
                <c:pt idx="50" formatCode="0.0000">
                  <c:v>36.323255966572518</c:v>
                </c:pt>
                <c:pt idx="51" formatCode="0.0000">
                  <c:v>34.203217503217502</c:v>
                </c:pt>
                <c:pt idx="52" formatCode="0.0000">
                  <c:v>42.621307673240395</c:v>
                </c:pt>
                <c:pt idx="53" formatCode="0.0000">
                  <c:v>52.067436585563151</c:v>
                </c:pt>
                <c:pt idx="54" formatCode="0.0000">
                  <c:v>39.306850683425246</c:v>
                </c:pt>
                <c:pt idx="55" formatCode="0.0000">
                  <c:v>45.149619749591032</c:v>
                </c:pt>
                <c:pt idx="56" formatCode="0.0000">
                  <c:v>45.880511763116182</c:v>
                </c:pt>
                <c:pt idx="57" formatCode="0.0000">
                  <c:v>43.233213097821761</c:v>
                </c:pt>
                <c:pt idx="58" formatCode="0.0000">
                  <c:v>49.973607855304287</c:v>
                </c:pt>
                <c:pt idx="59" formatCode="0.0000">
                  <c:v>58.73648672135684</c:v>
                </c:pt>
                <c:pt idx="60" formatCode="0.0000">
                  <c:v>56.264084492018846</c:v>
                </c:pt>
                <c:pt idx="61" formatCode="0.0000">
                  <c:v>53.130238203936322</c:v>
                </c:pt>
                <c:pt idx="62" formatCode="0.0000">
                  <c:v>55.561888376411112</c:v>
                </c:pt>
                <c:pt idx="63" formatCode="0.0000">
                  <c:v>39.666666666666664</c:v>
                </c:pt>
                <c:pt idx="64" formatCode="0.0000">
                  <c:v>40.541666666666664</c:v>
                </c:pt>
                <c:pt idx="65" formatCode="0.0000">
                  <c:v>57.166666666666664</c:v>
                </c:pt>
                <c:pt idx="66" formatCode="0.0000">
                  <c:v>91.956018311111109</c:v>
                </c:pt>
                <c:pt idx="67" formatCode="0.0000">
                  <c:v>137.92534248888887</c:v>
                </c:pt>
                <c:pt idx="68" formatCode="0.0000">
                  <c:v>120.48563084870447</c:v>
                </c:pt>
                <c:pt idx="69" formatCode="0.0000">
                  <c:v>120.32973756542037</c:v>
                </c:pt>
              </c:numCache>
            </c:numRef>
          </c:val>
          <c:smooth val="0"/>
        </c:ser>
        <c:ser>
          <c:idx val="1"/>
          <c:order val="21"/>
          <c:tx>
            <c:strRef>
              <c:f>'Cotton (Adjusted)'!$AM$6</c:f>
              <c:strCache>
                <c:ptCount val="1"/>
                <c:pt idx="0">
                  <c:v>India, Imports, in pound/ton</c:v>
                </c:pt>
              </c:strCache>
            </c:strRef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'Cotton (Adjusted)'!$AM$7:$AM$107</c:f>
              <c:numCache>
                <c:formatCode>General</c:formatCode>
                <c:ptCount val="81"/>
                <c:pt idx="44" formatCode="0.0000">
                  <c:v>26.441727695381072</c:v>
                </c:pt>
                <c:pt idx="45" formatCode="0.0000">
                  <c:v>22.227095956327233</c:v>
                </c:pt>
                <c:pt idx="46" formatCode="0.0000">
                  <c:v>27.554470625297881</c:v>
                </c:pt>
                <c:pt idx="47" formatCode="0.0000">
                  <c:v>27.267846051859745</c:v>
                </c:pt>
                <c:pt idx="48" formatCode="0.0000">
                  <c:v>30.717412191736951</c:v>
                </c:pt>
                <c:pt idx="49" formatCode="0.0000">
                  <c:v>32.649805344421196</c:v>
                </c:pt>
                <c:pt idx="50" formatCode="0.0000">
                  <c:v>41.493868054383832</c:v>
                </c:pt>
                <c:pt idx="51" formatCode="0.0000">
                  <c:v>34.557332789975042</c:v>
                </c:pt>
                <c:pt idx="52" formatCode="0.0000">
                  <c:v>33.476361805771482</c:v>
                </c:pt>
                <c:pt idx="53" formatCode="0.0000">
                  <c:v>36.686908474205367</c:v>
                </c:pt>
                <c:pt idx="54" formatCode="0.0000">
                  <c:v>44.215440863342231</c:v>
                </c:pt>
                <c:pt idx="55" formatCode="0.0000">
                  <c:v>44.615794297604594</c:v>
                </c:pt>
                <c:pt idx="56" formatCode="0.0000">
                  <c:v>52.656844351882128</c:v>
                </c:pt>
                <c:pt idx="57" formatCode="0.0000">
                  <c:v>60.056878416037677</c:v>
                </c:pt>
                <c:pt idx="58" formatCode="0.0000">
                  <c:v>56.345916310056019</c:v>
                </c:pt>
                <c:pt idx="59" formatCode="0.0000">
                  <c:v>47.637083218077755</c:v>
                </c:pt>
                <c:pt idx="60" formatCode="0.0000">
                  <c:v>56.748139807025673</c:v>
                </c:pt>
                <c:pt idx="61" formatCode="0.0000">
                  <c:v>57.621267825888836</c:v>
                </c:pt>
                <c:pt idx="62" formatCode="0.0000">
                  <c:v>54.101457657858198</c:v>
                </c:pt>
                <c:pt idx="63" formatCode="0.0000">
                  <c:v>64.846193626620533</c:v>
                </c:pt>
                <c:pt idx="64" formatCode="0.0000">
                  <c:v>45.244909831297264</c:v>
                </c:pt>
                <c:pt idx="65" formatCode="0.0000">
                  <c:v>51.444856311530948</c:v>
                </c:pt>
                <c:pt idx="66" formatCode="0.0000">
                  <c:v>87.170590170799557</c:v>
                </c:pt>
                <c:pt idx="67" formatCode="0.0000">
                  <c:v>106.46591725396547</c:v>
                </c:pt>
                <c:pt idx="68" formatCode="0.0000">
                  <c:v>172.01157370197717</c:v>
                </c:pt>
                <c:pt idx="69" formatCode="0.0000">
                  <c:v>205.260146232913</c:v>
                </c:pt>
              </c:numCache>
            </c:numRef>
          </c:val>
          <c:smooth val="0"/>
        </c:ser>
        <c:ser>
          <c:idx val="5"/>
          <c:order val="22"/>
          <c:tx>
            <c:strRef>
              <c:f>'Cotton (Adjusted)'!$AN$6</c:f>
              <c:strCache>
                <c:ptCount val="1"/>
                <c:pt idx="0">
                  <c:v>India, Exports, in pound/ton</c:v>
                </c:pt>
              </c:strCache>
            </c:strRef>
          </c:tx>
          <c:spPr>
            <a:ln w="158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'Cotton (Adjusted)'!$AN$7:$AN$107</c:f>
              <c:numCache>
                <c:formatCode>General</c:formatCode>
                <c:ptCount val="81"/>
                <c:pt idx="10" formatCode="0.0000">
                  <c:v>37.70899959444975</c:v>
                </c:pt>
                <c:pt idx="11" formatCode="0.0000">
                  <c:v>56.322602546276173</c:v>
                </c:pt>
                <c:pt idx="12" formatCode="0.0000">
                  <c:v>100.62043755974622</c:v>
                </c:pt>
                <c:pt idx="13" formatCode="0.0000">
                  <c:v>160.17130876857561</c:v>
                </c:pt>
                <c:pt idx="14" formatCode="0.0000">
                  <c:v>93.298037788592438</c:v>
                </c:pt>
                <c:pt idx="15" formatCode="0.0000">
                  <c:v>111.45870448422698</c:v>
                </c:pt>
                <c:pt idx="16" formatCode="0.0000">
                  <c:v>72.946575997219071</c:v>
                </c:pt>
                <c:pt idx="17" formatCode="0.0000">
                  <c:v>62.354972385053273</c:v>
                </c:pt>
                <c:pt idx="18" formatCode="0.0000">
                  <c:v>65.242224828628878</c:v>
                </c:pt>
                <c:pt idx="19" formatCode="0.0000">
                  <c:v>79.3095805844371</c:v>
                </c:pt>
                <c:pt idx="20" formatCode="0.0000">
                  <c:v>64.725131759869257</c:v>
                </c:pt>
                <c:pt idx="21" formatCode="0.0000">
                  <c:v>62.13158962889414</c:v>
                </c:pt>
                <c:pt idx="22" formatCode="0.0000">
                  <c:v>67.133429452399582</c:v>
                </c:pt>
                <c:pt idx="23" formatCode="0.0000">
                  <c:v>58.017297260756493</c:v>
                </c:pt>
                <c:pt idx="24" formatCode="0.0000">
                  <c:v>54.461256135023739</c:v>
                </c:pt>
                <c:pt idx="25" formatCode="0.0000">
                  <c:v>50.019138274550848</c:v>
                </c:pt>
                <c:pt idx="26" formatCode="0.0000">
                  <c:v>52.673788614885112</c:v>
                </c:pt>
                <c:pt idx="27" formatCode="0.0000">
                  <c:v>48.723339719647981</c:v>
                </c:pt>
                <c:pt idx="28" formatCode="0.0000">
                  <c:v>48.868662062639274</c:v>
                </c:pt>
                <c:pt idx="29" formatCode="0.0000">
                  <c:v>54.846983567403811</c:v>
                </c:pt>
                <c:pt idx="30" formatCode="0.0000">
                  <c:v>54.076030695455401</c:v>
                </c:pt>
                <c:pt idx="31" formatCode="0.0000">
                  <c:v>50.107432185228362</c:v>
                </c:pt>
                <c:pt idx="32" formatCode="0.0000">
                  <c:v>44.889346113824601</c:v>
                </c:pt>
                <c:pt idx="33" formatCode="0.0000">
                  <c:v>45.534567705318757</c:v>
                </c:pt>
                <c:pt idx="34" formatCode="0.0000">
                  <c:v>46.883211521405293</c:v>
                </c:pt>
                <c:pt idx="35" formatCode="0.0000">
                  <c:v>41.920012454000762</c:v>
                </c:pt>
                <c:pt idx="36" formatCode="0.0000">
                  <c:v>40.837894338652362</c:v>
                </c:pt>
                <c:pt idx="37" formatCode="0.0000">
                  <c:v>43.212732775731311</c:v>
                </c:pt>
                <c:pt idx="38" formatCode="0.0000">
                  <c:v>43.155922860875648</c:v>
                </c:pt>
                <c:pt idx="39" formatCode="0.0000">
                  <c:v>49.185332178642042</c:v>
                </c:pt>
                <c:pt idx="40" formatCode="0.0000">
                  <c:v>43.26866260756475</c:v>
                </c:pt>
                <c:pt idx="41" formatCode="0.0000">
                  <c:v>33.586925534239327</c:v>
                </c:pt>
                <c:pt idx="42" formatCode="0.0000">
                  <c:v>38.029469549926489</c:v>
                </c:pt>
                <c:pt idx="43" formatCode="0.0000">
                  <c:v>29.271050703460567</c:v>
                </c:pt>
                <c:pt idx="44" formatCode="0.0000">
                  <c:v>27.517253428424659</c:v>
                </c:pt>
                <c:pt idx="45" formatCode="0.0000">
                  <c:v>33.243164452342747</c:v>
                </c:pt>
                <c:pt idx="46" formatCode="0.0000">
                  <c:v>32.479581515352351</c:v>
                </c:pt>
                <c:pt idx="47" formatCode="0.0000">
                  <c:v>29.626052566780515</c:v>
                </c:pt>
                <c:pt idx="48" formatCode="0.0000">
                  <c:v>27.140638062816155</c:v>
                </c:pt>
                <c:pt idx="49" formatCode="0.0000">
                  <c:v>34.281129971023475</c:v>
                </c:pt>
                <c:pt idx="50" formatCode="0.0000">
                  <c:v>38.506902392765689</c:v>
                </c:pt>
                <c:pt idx="51" formatCode="0.0000">
                  <c:v>35.630626878015036</c:v>
                </c:pt>
                <c:pt idx="52" formatCode="0.0000">
                  <c:v>33.49689387469067</c:v>
                </c:pt>
                <c:pt idx="53" formatCode="0.0000">
                  <c:v>42.008924410792218</c:v>
                </c:pt>
                <c:pt idx="54" formatCode="0.0000">
                  <c:v>39.07758067546952</c:v>
                </c:pt>
                <c:pt idx="55" formatCode="0.0000">
                  <c:v>41.075471274282258</c:v>
                </c:pt>
                <c:pt idx="56" formatCode="0.0000">
                  <c:v>42.992426937771562</c:v>
                </c:pt>
                <c:pt idx="57" formatCode="0.0000">
                  <c:v>41.620566720092008</c:v>
                </c:pt>
                <c:pt idx="58" formatCode="0.0000">
                  <c:v>40.492000610959579</c:v>
                </c:pt>
                <c:pt idx="59" formatCode="0.0000">
                  <c:v>46.913200675754325</c:v>
                </c:pt>
                <c:pt idx="60" formatCode="0.0000">
                  <c:v>55.310472808964064</c:v>
                </c:pt>
                <c:pt idx="61" formatCode="0.0000">
                  <c:v>49.467507394354492</c:v>
                </c:pt>
                <c:pt idx="62" formatCode="0.0000">
                  <c:v>50.900062145978126</c:v>
                </c:pt>
                <c:pt idx="63" formatCode="0.0000">
                  <c:v>41.257894910832121</c:v>
                </c:pt>
                <c:pt idx="64" formatCode="0.0000">
                  <c:v>21.964285714285719</c:v>
                </c:pt>
                <c:pt idx="65" formatCode="0.0000">
                  <c:v>31.285714285714288</c:v>
                </c:pt>
                <c:pt idx="66" formatCode="0.0000">
                  <c:v>49.392857142857146</c:v>
                </c:pt>
                <c:pt idx="67" formatCode="0.0000">
                  <c:v>69.964285714285722</c:v>
                </c:pt>
                <c:pt idx="68" formatCode="0.0000">
                  <c:v>68.035714285714292</c:v>
                </c:pt>
                <c:pt idx="69" formatCode="0.0000">
                  <c:v>53.866071428571438</c:v>
                </c:pt>
                <c:pt idx="70" formatCode="0.0000">
                  <c:v>34.607142857142861</c:v>
                </c:pt>
                <c:pt idx="71" formatCode="0.0000">
                  <c:v>54.937500000000007</c:v>
                </c:pt>
                <c:pt idx="72" formatCode="0.0000">
                  <c:v>53.517857142857153</c:v>
                </c:pt>
                <c:pt idx="73" formatCode="0.0000">
                  <c:v>62.383928571428577</c:v>
                </c:pt>
                <c:pt idx="74" formatCode="0.0000">
                  <c:v>49.232142857142868</c:v>
                </c:pt>
                <c:pt idx="75" formatCode="0.0000">
                  <c:v>37.098214285714292</c:v>
                </c:pt>
                <c:pt idx="76" formatCode="0.0000">
                  <c:v>31.714285714285719</c:v>
                </c:pt>
                <c:pt idx="77" formatCode="0.0000">
                  <c:v>42.589285714285722</c:v>
                </c:pt>
                <c:pt idx="78" formatCode="0.0000">
                  <c:v>36.375000000000007</c:v>
                </c:pt>
                <c:pt idx="79" formatCode="0.0000">
                  <c:v>25.046218487394956</c:v>
                </c:pt>
                <c:pt idx="80" formatCode="0.0000">
                  <c:v>18.025210084033613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382544"/>
        <c:axId val="609383104"/>
      </c:lineChart>
      <c:catAx>
        <c:axId val="60938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383104"/>
        <c:crosses val="autoZero"/>
        <c:auto val="1"/>
        <c:lblAlgn val="ctr"/>
        <c:lblOffset val="100"/>
        <c:noMultiLvlLbl val="0"/>
      </c:catAx>
      <c:valAx>
        <c:axId val="609383104"/>
        <c:scaling>
          <c:orientation val="minMax"/>
          <c:max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382544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323653091750623"/>
          <c:y val="8.033278489442551E-2"/>
          <c:w val="0.20043835839305665"/>
          <c:h val="0.866921299016727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Basrah,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(All)'!$H$7:$H$107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(All)'!$H$7:$H$107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7268896"/>
        <c:axId val="707269456"/>
      </c:scatterChart>
      <c:valAx>
        <c:axId val="70726889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7269456"/>
        <c:crosses val="autoZero"/>
        <c:crossBetween val="midCat"/>
        <c:majorUnit val="5"/>
      </c:valAx>
      <c:valAx>
        <c:axId val="70726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726889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1" i="0" u="none" strike="noStrike" kern="1200" spc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Cotton, Black Sea, Caspian Sea, Persia, Persian Gulf &amp; India,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1" i="0" u="none" strike="noStrike" kern="1200" spc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'Cotton (Adjusted)'!$N$6</c:f>
              <c:strCache>
                <c:ptCount val="1"/>
                <c:pt idx="0">
                  <c:v>Turkey, Exports, in pound/ton</c:v>
                </c:pt>
              </c:strCache>
            </c:strRef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'Cotton (Adjusted)'!$A$28:$A$98</c:f>
              <c:numCache>
                <c:formatCode>General</c:formatCode>
                <c:ptCount val="71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</c:numCache>
            </c:numRef>
          </c:cat>
          <c:val>
            <c:numRef>
              <c:f>'Cotton (Adjusted)'!$N$32:$N$87</c:f>
              <c:numCache>
                <c:formatCode>0.0000</c:formatCode>
                <c:ptCount val="56"/>
                <c:pt idx="46">
                  <c:v>49.634710835982375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'Cotton (Adjusted)'!$O$6</c:f>
              <c:strCache>
                <c:ptCount val="1"/>
                <c:pt idx="0">
                  <c:v>Constantinople, Imports, in pound/ton</c:v>
                </c:pt>
              </c:strCache>
            </c:strRef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'Cotton (Adjusted)'!$A$28:$A$98</c:f>
              <c:numCache>
                <c:formatCode>General</c:formatCode>
                <c:ptCount val="71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</c:numCache>
            </c:numRef>
          </c:cat>
          <c:val>
            <c:numRef>
              <c:f>'Cotton (Adjusted)'!$O$32:$O$87</c:f>
              <c:numCache>
                <c:formatCode>0.0000</c:formatCode>
                <c:ptCount val="56"/>
                <c:pt idx="35">
                  <c:v>35.490605427974948</c:v>
                </c:pt>
                <c:pt idx="45">
                  <c:v>22.916666666666668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'Cotton (Adjusted)'!$P$6</c:f>
              <c:strCache>
                <c:ptCount val="1"/>
                <c:pt idx="0">
                  <c:v>Trebizond (Anatolia), Imports, in pound/ton</c:v>
                </c:pt>
              </c:strCache>
            </c:strRef>
          </c:tx>
          <c:spPr>
            <a:ln w="158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'Cotton (Adjusted)'!$A$28:$A$98</c:f>
              <c:numCache>
                <c:formatCode>General</c:formatCode>
                <c:ptCount val="71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</c:numCache>
            </c:numRef>
          </c:cat>
          <c:val>
            <c:numRef>
              <c:f>'Cotton (Adjusted)'!$P$32:$P$87</c:f>
              <c:numCache>
                <c:formatCode>0.0000</c:formatCode>
                <c:ptCount val="56"/>
                <c:pt idx="18">
                  <c:v>40</c:v>
                </c:pt>
                <c:pt idx="19">
                  <c:v>40</c:v>
                </c:pt>
                <c:pt idx="20">
                  <c:v>41.428571428571431</c:v>
                </c:pt>
                <c:pt idx="21">
                  <c:v>40</c:v>
                </c:pt>
                <c:pt idx="22">
                  <c:v>39.677419354838712</c:v>
                </c:pt>
                <c:pt idx="23">
                  <c:v>40</c:v>
                </c:pt>
                <c:pt idx="24">
                  <c:v>36.721311475409834</c:v>
                </c:pt>
                <c:pt idx="25">
                  <c:v>40</c:v>
                </c:pt>
                <c:pt idx="26">
                  <c:v>40</c:v>
                </c:pt>
                <c:pt idx="27">
                  <c:v>40.128205128205124</c:v>
                </c:pt>
                <c:pt idx="28">
                  <c:v>40</c:v>
                </c:pt>
                <c:pt idx="29">
                  <c:v>40</c:v>
                </c:pt>
                <c:pt idx="30">
                  <c:v>40</c:v>
                </c:pt>
                <c:pt idx="31">
                  <c:v>40.149253731343286</c:v>
                </c:pt>
                <c:pt idx="32">
                  <c:v>40</c:v>
                </c:pt>
                <c:pt idx="33">
                  <c:v>40</c:v>
                </c:pt>
                <c:pt idx="34">
                  <c:v>40</c:v>
                </c:pt>
                <c:pt idx="35">
                  <c:v>48.695652173913047</c:v>
                </c:pt>
                <c:pt idx="36">
                  <c:v>51.981132075471699</c:v>
                </c:pt>
                <c:pt idx="37">
                  <c:v>48.078817733990149</c:v>
                </c:pt>
                <c:pt idx="38">
                  <c:v>51.980198019801982</c:v>
                </c:pt>
                <c:pt idx="39">
                  <c:v>60.111111111111114</c:v>
                </c:pt>
                <c:pt idx="40">
                  <c:v>60.08620689655173</c:v>
                </c:pt>
                <c:pt idx="41">
                  <c:v>72.173913043478265</c:v>
                </c:pt>
                <c:pt idx="42">
                  <c:v>79.941348973607035</c:v>
                </c:pt>
                <c:pt idx="43">
                  <c:v>45.453100158982515</c:v>
                </c:pt>
                <c:pt idx="44">
                  <c:v>26.97674418604651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'Cotton (Adjusted)'!$Q$6</c:f>
              <c:strCache>
                <c:ptCount val="1"/>
                <c:pt idx="0">
                  <c:v>Trebizond (Persia), Exports, in pound/ton</c:v>
                </c:pt>
              </c:strCache>
            </c:strRef>
          </c:tx>
          <c:spPr>
            <a:ln w="158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'Cotton (Adjusted)'!$A$28:$A$98</c:f>
              <c:numCache>
                <c:formatCode>General</c:formatCode>
                <c:ptCount val="71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</c:numCache>
            </c:numRef>
          </c:cat>
          <c:val>
            <c:numRef>
              <c:f>'Cotton (Adjusted)'!$Q$32:$Q$87</c:f>
              <c:numCache>
                <c:formatCode>0.0000</c:formatCode>
                <c:ptCount val="56"/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53.333333333333329</c:v>
                </c:pt>
                <c:pt idx="10">
                  <c:v>53.333333333333329</c:v>
                </c:pt>
                <c:pt idx="19">
                  <c:v>40</c:v>
                </c:pt>
                <c:pt idx="20">
                  <c:v>40</c:v>
                </c:pt>
                <c:pt idx="21">
                  <c:v>40</c:v>
                </c:pt>
                <c:pt idx="22">
                  <c:v>40</c:v>
                </c:pt>
                <c:pt idx="23">
                  <c:v>39.928057553956833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'Cotton (Adjusted)'!$W$6</c:f>
              <c:strCache>
                <c:ptCount val="1"/>
                <c:pt idx="0">
                  <c:v>Ispahan, Exports,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'Cotton (Adjusted)'!$A$28:$A$98</c:f>
              <c:numCache>
                <c:formatCode>General</c:formatCode>
                <c:ptCount val="71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</c:numCache>
            </c:numRef>
          </c:cat>
          <c:val>
            <c:numRef>
              <c:f>'Cotton (Adjusted)'!$W$32:$W$87</c:f>
              <c:numCache>
                <c:formatCode>0.0000</c:formatCode>
                <c:ptCount val="56"/>
                <c:pt idx="36">
                  <c:v>40.205128205128204</c:v>
                </c:pt>
                <c:pt idx="37">
                  <c:v>26.923076923077002</c:v>
                </c:pt>
                <c:pt idx="40">
                  <c:v>28.208780234712201</c:v>
                </c:pt>
                <c:pt idx="45">
                  <c:v>51.3886073383336</c:v>
                </c:pt>
                <c:pt idx="46">
                  <c:v>36.186099942561796</c:v>
                </c:pt>
                <c:pt idx="47">
                  <c:v>41.559324778366999</c:v>
                </c:pt>
              </c:numCache>
            </c:numRef>
          </c:val>
          <c:smooth val="0"/>
        </c:ser>
        <c:ser>
          <c:idx val="7"/>
          <c:order val="5"/>
          <c:tx>
            <c:strRef>
              <c:f>'Cotton (Adjusted)'!$X$6</c:f>
              <c:strCache>
                <c:ptCount val="1"/>
                <c:pt idx="0">
                  <c:v>Yezd, Exports,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'Cotton (Adjusted)'!$A$28:$A$98</c:f>
              <c:numCache>
                <c:formatCode>General</c:formatCode>
                <c:ptCount val="71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</c:numCache>
            </c:numRef>
          </c:cat>
          <c:val>
            <c:numRef>
              <c:f>'Cotton (Adjusted)'!$X$32:$X$87</c:f>
              <c:numCache>
                <c:formatCode>0.0000</c:formatCode>
                <c:ptCount val="56"/>
                <c:pt idx="27">
                  <c:v>17.230769230769226</c:v>
                </c:pt>
                <c:pt idx="28">
                  <c:v>16.497545008183298</c:v>
                </c:pt>
                <c:pt idx="46">
                  <c:v>33.29999999999994</c:v>
                </c:pt>
                <c:pt idx="47">
                  <c:v>34.188034188034194</c:v>
                </c:pt>
              </c:numCache>
            </c:numRef>
          </c:val>
          <c:smooth val="0"/>
        </c:ser>
        <c:ser>
          <c:idx val="8"/>
          <c:order val="6"/>
          <c:tx>
            <c:strRef>
              <c:f>'Cotton (Adjusted)'!$Y$6</c:f>
              <c:strCache>
                <c:ptCount val="1"/>
                <c:pt idx="0">
                  <c:v>Khorasan, Imports,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'Cotton (Adjusted)'!$A$28:$A$98</c:f>
              <c:numCache>
                <c:formatCode>General</c:formatCode>
                <c:ptCount val="71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</c:numCache>
            </c:numRef>
          </c:cat>
          <c:val>
            <c:numRef>
              <c:f>'Cotton (Adjusted)'!$Y$32:$Y$87</c:f>
              <c:numCache>
                <c:formatCode>0.0000</c:formatCode>
                <c:ptCount val="56"/>
                <c:pt idx="37">
                  <c:v>33.407765372438014</c:v>
                </c:pt>
                <c:pt idx="38">
                  <c:v>41.659563800451295</c:v>
                </c:pt>
                <c:pt idx="39">
                  <c:v>15.882770030725608</c:v>
                </c:pt>
                <c:pt idx="40">
                  <c:v>24.643891140706433</c:v>
                </c:pt>
                <c:pt idx="41">
                  <c:v>34.821763602251359</c:v>
                </c:pt>
                <c:pt idx="42">
                  <c:v>26.926187619428607</c:v>
                </c:pt>
                <c:pt idx="43">
                  <c:v>21.758991861380949</c:v>
                </c:pt>
                <c:pt idx="44">
                  <c:v>13.429225539393665</c:v>
                </c:pt>
                <c:pt idx="45">
                  <c:v>17.742729033271107</c:v>
                </c:pt>
                <c:pt idx="46">
                  <c:v>17.057110862262039</c:v>
                </c:pt>
                <c:pt idx="47">
                  <c:v>20.700755230902566</c:v>
                </c:pt>
              </c:numCache>
            </c:numRef>
          </c:val>
          <c:smooth val="0"/>
        </c:ser>
        <c:ser>
          <c:idx val="9"/>
          <c:order val="7"/>
          <c:tx>
            <c:strRef>
              <c:f>'Cotton (Adjusted)'!$Z$6</c:f>
              <c:strCache>
                <c:ptCount val="1"/>
                <c:pt idx="0">
                  <c:v>Khorasan, Exports, in pound/ton</c:v>
                </c:pt>
              </c:strCache>
            </c:strRef>
          </c:tx>
          <c:spPr>
            <a:ln w="158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'Cotton (Adjusted)'!$A$28:$A$98</c:f>
              <c:numCache>
                <c:formatCode>General</c:formatCode>
                <c:ptCount val="71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</c:numCache>
            </c:numRef>
          </c:cat>
          <c:val>
            <c:numRef>
              <c:f>'Cotton (Adjusted)'!$Z$32:$Z$87</c:f>
              <c:numCache>
                <c:formatCode>0.0000</c:formatCode>
                <c:ptCount val="56"/>
                <c:pt idx="37">
                  <c:v>40.301074303957598</c:v>
                </c:pt>
                <c:pt idx="38">
                  <c:v>40.520119351388765</c:v>
                </c:pt>
                <c:pt idx="39">
                  <c:v>43.455886175046466</c:v>
                </c:pt>
                <c:pt idx="40">
                  <c:v>39.14044860768179</c:v>
                </c:pt>
                <c:pt idx="41">
                  <c:v>46.489670728566239</c:v>
                </c:pt>
                <c:pt idx="42">
                  <c:v>43.689719199285378</c:v>
                </c:pt>
                <c:pt idx="43">
                  <c:v>42.941139224824958</c:v>
                </c:pt>
                <c:pt idx="44">
                  <c:v>41.820393422288092</c:v>
                </c:pt>
                <c:pt idx="45">
                  <c:v>51.818613533682239</c:v>
                </c:pt>
                <c:pt idx="46">
                  <c:v>63.777312555710431</c:v>
                </c:pt>
                <c:pt idx="47">
                  <c:v>68.243247173208132</c:v>
                </c:pt>
              </c:numCache>
            </c:numRef>
          </c:val>
          <c:smooth val="0"/>
        </c:ser>
        <c:ser>
          <c:idx val="11"/>
          <c:order val="8"/>
          <c:tx>
            <c:strRef>
              <c:f>'Cotton (Adjusted)'!$AB$6</c:f>
              <c:strCache>
                <c:ptCount val="1"/>
                <c:pt idx="0">
                  <c:v>Kerman, Exports, in pound/ton</c:v>
                </c:pt>
              </c:strCache>
            </c:strRef>
          </c:tx>
          <c:spPr>
            <a:ln w="158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'Cotton (Adjusted)'!$A$28:$A$98</c:f>
              <c:numCache>
                <c:formatCode>General</c:formatCode>
                <c:ptCount val="71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</c:numCache>
            </c:numRef>
          </c:cat>
          <c:val>
            <c:numRef>
              <c:f>'Cotton (Adjusted)'!$AB$32:$AB$87</c:f>
              <c:numCache>
                <c:formatCode>0.0000</c:formatCode>
                <c:ptCount val="56"/>
                <c:pt idx="29">
                  <c:v>20.676923076923075</c:v>
                </c:pt>
                <c:pt idx="42">
                  <c:v>32.000000000000028</c:v>
                </c:pt>
                <c:pt idx="43">
                  <c:v>32.000000000000028</c:v>
                </c:pt>
                <c:pt idx="44">
                  <c:v>9.329600000000001</c:v>
                </c:pt>
                <c:pt idx="45">
                  <c:v>9.3279999999999905</c:v>
                </c:pt>
              </c:numCache>
            </c:numRef>
          </c:val>
          <c:smooth val="0"/>
        </c:ser>
        <c:ser>
          <c:idx val="12"/>
          <c:order val="9"/>
          <c:tx>
            <c:strRef>
              <c:f>'Cotton (Adjusted)'!$AC$6</c:f>
              <c:strCache>
                <c:ptCount val="1"/>
                <c:pt idx="0">
                  <c:v>Resht &amp; Mazandaran, Exports,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'Cotton (Adjusted)'!$A$28:$A$98</c:f>
              <c:numCache>
                <c:formatCode>General</c:formatCode>
                <c:ptCount val="71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</c:numCache>
            </c:numRef>
          </c:cat>
          <c:val>
            <c:numRef>
              <c:f>'Cotton (Adjusted)'!$AC$32:$AC$87</c:f>
              <c:numCache>
                <c:formatCode>0.0000</c:formatCode>
                <c:ptCount val="56"/>
                <c:pt idx="8">
                  <c:v>49.158918918918815</c:v>
                </c:pt>
                <c:pt idx="9">
                  <c:v>38.828967642526884</c:v>
                </c:pt>
                <c:pt idx="10">
                  <c:v>40.545882352941277</c:v>
                </c:pt>
                <c:pt idx="29">
                  <c:v>19.101877891681021</c:v>
                </c:pt>
                <c:pt idx="30">
                  <c:v>18.646025141534537</c:v>
                </c:pt>
                <c:pt idx="37">
                  <c:v>32.777638405266273</c:v>
                </c:pt>
                <c:pt idx="41">
                  <c:v>46.141273049734913</c:v>
                </c:pt>
                <c:pt idx="42">
                  <c:v>53.527130468842465</c:v>
                </c:pt>
                <c:pt idx="43">
                  <c:v>52.672628402253885</c:v>
                </c:pt>
                <c:pt idx="44">
                  <c:v>60.111774265358818</c:v>
                </c:pt>
                <c:pt idx="45">
                  <c:v>75.053765036170361</c:v>
                </c:pt>
              </c:numCache>
            </c:numRef>
          </c:val>
          <c:smooth val="0"/>
        </c:ser>
        <c:ser>
          <c:idx val="14"/>
          <c:order val="10"/>
          <c:tx>
            <c:strRef>
              <c:f>'Cotton (Adjusted)'!$AE$6</c:f>
              <c:strCache>
                <c:ptCount val="1"/>
                <c:pt idx="0">
                  <c:v>Ghilan &amp; Tunekabun, Exports,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'Cotton (Adjusted)'!$A$28:$A$98</c:f>
              <c:numCache>
                <c:formatCode>General</c:formatCode>
                <c:ptCount val="71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</c:numCache>
            </c:numRef>
          </c:cat>
          <c:val>
            <c:numRef>
              <c:f>'Cotton (Adjusted)'!$AE$32:$AE$87</c:f>
              <c:numCache>
                <c:formatCode>0.0000</c:formatCode>
                <c:ptCount val="56"/>
                <c:pt idx="41">
                  <c:v>48.549819774093791</c:v>
                </c:pt>
                <c:pt idx="42">
                  <c:v>44.598048718545733</c:v>
                </c:pt>
                <c:pt idx="43">
                  <c:v>45.414721421043296</c:v>
                </c:pt>
                <c:pt idx="44">
                  <c:v>49.526252755926912</c:v>
                </c:pt>
                <c:pt idx="45">
                  <c:v>44.799973716998302</c:v>
                </c:pt>
              </c:numCache>
            </c:numRef>
          </c:val>
          <c:smooth val="0"/>
        </c:ser>
        <c:ser>
          <c:idx val="15"/>
          <c:order val="11"/>
          <c:tx>
            <c:strRef>
              <c:f>'Cotton (Adjusted)'!$AF$6</c:f>
              <c:strCache>
                <c:ptCount val="1"/>
                <c:pt idx="0">
                  <c:v>Bender Gez &amp; Astarabad, Exports, in pound/ton</c:v>
                </c:pt>
              </c:strCache>
            </c:strRef>
          </c:tx>
          <c:spPr>
            <a:ln w="158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'Cotton (Adjusted)'!$A$28:$A$98</c:f>
              <c:numCache>
                <c:formatCode>General</c:formatCode>
                <c:ptCount val="71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</c:numCache>
            </c:numRef>
          </c:cat>
          <c:val>
            <c:numRef>
              <c:f>'Cotton (Adjusted)'!$AF$32:$AF$87</c:f>
              <c:numCache>
                <c:formatCode>0.0000</c:formatCode>
                <c:ptCount val="56"/>
                <c:pt idx="26">
                  <c:v>21.473103448275854</c:v>
                </c:pt>
                <c:pt idx="27">
                  <c:v>20.303448275862081</c:v>
                </c:pt>
                <c:pt idx="41">
                  <c:v>51.81263712036003</c:v>
                </c:pt>
                <c:pt idx="42">
                  <c:v>52.974791466252093</c:v>
                </c:pt>
                <c:pt idx="43">
                  <c:v>55.649644643566404</c:v>
                </c:pt>
                <c:pt idx="44">
                  <c:v>59.254542399267486</c:v>
                </c:pt>
                <c:pt idx="45">
                  <c:v>69.021967086933273</c:v>
                </c:pt>
              </c:numCache>
            </c:numRef>
          </c:val>
          <c:smooth val="0"/>
        </c:ser>
        <c:ser>
          <c:idx val="16"/>
          <c:order val="12"/>
          <c:tx>
            <c:strRef>
              <c:f>'Cotton (Adjusted)'!$AG$6</c:f>
              <c:strCache>
                <c:ptCount val="1"/>
                <c:pt idx="0">
                  <c:v>Bahrain, Imports,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'Cotton (Adjusted)'!$A$28:$A$98</c:f>
              <c:numCache>
                <c:formatCode>General</c:formatCode>
                <c:ptCount val="71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</c:numCache>
            </c:numRef>
          </c:cat>
          <c:val>
            <c:numRef>
              <c:f>'Cotton (Adjusted)'!$AG$32:$AG$87</c:f>
              <c:numCache>
                <c:formatCode>0.0000</c:formatCode>
                <c:ptCount val="56"/>
                <c:pt idx="23">
                  <c:v>33.079166666666666</c:v>
                </c:pt>
                <c:pt idx="24">
                  <c:v>35.940067665538905</c:v>
                </c:pt>
                <c:pt idx="26">
                  <c:v>34.152923538230887</c:v>
                </c:pt>
                <c:pt idx="27">
                  <c:v>29.277108433734938</c:v>
                </c:pt>
                <c:pt idx="28">
                  <c:v>28.858299595141702</c:v>
                </c:pt>
                <c:pt idx="29">
                  <c:v>25.28</c:v>
                </c:pt>
                <c:pt idx="30">
                  <c:v>31.043137254901964</c:v>
                </c:pt>
                <c:pt idx="31">
                  <c:v>25.342756183745582</c:v>
                </c:pt>
                <c:pt idx="32">
                  <c:v>28.858638743455497</c:v>
                </c:pt>
                <c:pt idx="33">
                  <c:v>24.903225806451612</c:v>
                </c:pt>
                <c:pt idx="34">
                  <c:v>30.196078431372548</c:v>
                </c:pt>
                <c:pt idx="35">
                  <c:v>28.197325956662059</c:v>
                </c:pt>
                <c:pt idx="36">
                  <c:v>30.02290950744559</c:v>
                </c:pt>
                <c:pt idx="37">
                  <c:v>33.297872340425535</c:v>
                </c:pt>
                <c:pt idx="38">
                  <c:v>37.599999999999994</c:v>
                </c:pt>
                <c:pt idx="39">
                  <c:v>25.699958211450063</c:v>
                </c:pt>
                <c:pt idx="40">
                  <c:v>29.467330016583748</c:v>
                </c:pt>
                <c:pt idx="41">
                  <c:v>23.108851518706818</c:v>
                </c:pt>
                <c:pt idx="42">
                  <c:v>27.986798679867988</c:v>
                </c:pt>
                <c:pt idx="43">
                  <c:v>33.704052780395855</c:v>
                </c:pt>
                <c:pt idx="44">
                  <c:v>13.564888384411653</c:v>
                </c:pt>
                <c:pt idx="45">
                  <c:v>53.926701570680621</c:v>
                </c:pt>
                <c:pt idx="46">
                  <c:v>27.318489835430782</c:v>
                </c:pt>
                <c:pt idx="47">
                  <c:v>26.064516129032256</c:v>
                </c:pt>
                <c:pt idx="48">
                  <c:v>37.481481481481481</c:v>
                </c:pt>
              </c:numCache>
            </c:numRef>
          </c:val>
          <c:smooth val="0"/>
        </c:ser>
        <c:ser>
          <c:idx val="17"/>
          <c:order val="13"/>
          <c:tx>
            <c:strRef>
              <c:f>'Cotton (Adjusted)'!$AH$6</c:f>
              <c:strCache>
                <c:ptCount val="1"/>
                <c:pt idx="0">
                  <c:v>Bahrain &amp; Muscat, Exports, in pound/ton</c:v>
                </c:pt>
              </c:strCache>
            </c:strRef>
          </c:tx>
          <c:spPr>
            <a:ln w="158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'Cotton (Adjusted)'!$A$28:$A$98</c:f>
              <c:numCache>
                <c:formatCode>General</c:formatCode>
                <c:ptCount val="71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</c:numCache>
            </c:numRef>
          </c:cat>
          <c:val>
            <c:numRef>
              <c:f>'Cotton (Adjusted)'!$AH$32:$AH$87</c:f>
              <c:numCache>
                <c:formatCode>0.0000</c:formatCode>
                <c:ptCount val="56"/>
                <c:pt idx="9">
                  <c:v>32.923704954954999</c:v>
                </c:pt>
                <c:pt idx="10">
                  <c:v>26.974147982387603</c:v>
                </c:pt>
                <c:pt idx="11">
                  <c:v>25.017781205643001</c:v>
                </c:pt>
                <c:pt idx="12">
                  <c:v>24.758061518109802</c:v>
                </c:pt>
                <c:pt idx="13">
                  <c:v>23.741767088631999</c:v>
                </c:pt>
                <c:pt idx="14">
                  <c:v>33.852890118396203</c:v>
                </c:pt>
                <c:pt idx="15">
                  <c:v>29.500768855672401</c:v>
                </c:pt>
                <c:pt idx="16">
                  <c:v>35.0198122157528</c:v>
                </c:pt>
                <c:pt idx="17">
                  <c:v>8.0717230648902607</c:v>
                </c:pt>
                <c:pt idx="18">
                  <c:v>9.3494676511821204</c:v>
                </c:pt>
                <c:pt idx="19">
                  <c:v>32.013274528547797</c:v>
                </c:pt>
                <c:pt idx="20">
                  <c:v>5.9407349723115397</c:v>
                </c:pt>
                <c:pt idx="21">
                  <c:v>14.63947928176224</c:v>
                </c:pt>
                <c:pt idx="22">
                  <c:v>16.14778926836804</c:v>
                </c:pt>
                <c:pt idx="23">
                  <c:v>20.334357709799804</c:v>
                </c:pt>
                <c:pt idx="24">
                  <c:v>20.157789384678399</c:v>
                </c:pt>
                <c:pt idx="25">
                  <c:v>22.646427536861601</c:v>
                </c:pt>
                <c:pt idx="26">
                  <c:v>20.354118990372999</c:v>
                </c:pt>
                <c:pt idx="27">
                  <c:v>19.74998841285014</c:v>
                </c:pt>
                <c:pt idx="28">
                  <c:v>20.637962838606001</c:v>
                </c:pt>
                <c:pt idx="29">
                  <c:v>14.3777431370277</c:v>
                </c:pt>
                <c:pt idx="32">
                  <c:v>17.333333333333336</c:v>
                </c:pt>
                <c:pt idx="33">
                  <c:v>23.846153846153847</c:v>
                </c:pt>
                <c:pt idx="34">
                  <c:v>27.878787878787882</c:v>
                </c:pt>
                <c:pt idx="35">
                  <c:v>33</c:v>
                </c:pt>
                <c:pt idx="36">
                  <c:v>34.883720930232556</c:v>
                </c:pt>
                <c:pt idx="37">
                  <c:v>30.434782608695656</c:v>
                </c:pt>
                <c:pt idx="38">
                  <c:v>40</c:v>
                </c:pt>
                <c:pt idx="39">
                  <c:v>37.209302325581397</c:v>
                </c:pt>
                <c:pt idx="40">
                  <c:v>36.028368794326241</c:v>
                </c:pt>
                <c:pt idx="41">
                  <c:v>28.000000000000004</c:v>
                </c:pt>
                <c:pt idx="45">
                  <c:v>55.490196078431396</c:v>
                </c:pt>
                <c:pt idx="46">
                  <c:v>63.8888888888888</c:v>
                </c:pt>
              </c:numCache>
            </c:numRef>
          </c:val>
          <c:smooth val="0"/>
        </c:ser>
        <c:ser>
          <c:idx val="18"/>
          <c:order val="14"/>
          <c:tx>
            <c:strRef>
              <c:f>'Cotton (Adjusted)'!$AI$6</c:f>
              <c:strCache>
                <c:ptCount val="1"/>
                <c:pt idx="0">
                  <c:v>Mohammerah, Exports,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numRef>
              <c:f>'Cotton (Adjusted)'!$A$28:$A$98</c:f>
              <c:numCache>
                <c:formatCode>General</c:formatCode>
                <c:ptCount val="71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</c:numCache>
            </c:numRef>
          </c:cat>
          <c:val>
            <c:numRef>
              <c:f>'Cotton (Adjusted)'!$AI$32:$AI$87</c:f>
              <c:numCache>
                <c:formatCode>0.0000</c:formatCode>
                <c:ptCount val="56"/>
                <c:pt idx="25">
                  <c:v>30.6666666666666</c:v>
                </c:pt>
                <c:pt idx="35">
                  <c:v>25.886654478976201</c:v>
                </c:pt>
                <c:pt idx="36">
                  <c:v>22.788844621513999</c:v>
                </c:pt>
                <c:pt idx="37">
                  <c:v>22.956669498725599</c:v>
                </c:pt>
              </c:numCache>
            </c:numRef>
          </c:val>
          <c:smooth val="0"/>
        </c:ser>
        <c:ser>
          <c:idx val="19"/>
          <c:order val="15"/>
          <c:tx>
            <c:strRef>
              <c:f>'Cotton (Adjusted)'!$AJ$6</c:f>
              <c:strCache>
                <c:ptCount val="1"/>
                <c:pt idx="0">
                  <c:v>Lingah, Imports,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'Cotton (Adjusted)'!$A$28:$A$98</c:f>
              <c:numCache>
                <c:formatCode>General</c:formatCode>
                <c:ptCount val="71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</c:numCache>
            </c:numRef>
          </c:cat>
          <c:val>
            <c:numRef>
              <c:f>'Cotton (Adjusted)'!$AJ$32:$AJ$87</c:f>
              <c:numCache>
                <c:formatCode>0.0000</c:formatCode>
                <c:ptCount val="56"/>
                <c:pt idx="22">
                  <c:v>41.592039800994996</c:v>
                </c:pt>
                <c:pt idx="23">
                  <c:v>29.846153846153797</c:v>
                </c:pt>
                <c:pt idx="24">
                  <c:v>27.3555555555556</c:v>
                </c:pt>
                <c:pt idx="25">
                  <c:v>27.9850746268656</c:v>
                </c:pt>
                <c:pt idx="26">
                  <c:v>21.446111869031398</c:v>
                </c:pt>
                <c:pt idx="27">
                  <c:v>22.135593220339</c:v>
                </c:pt>
                <c:pt idx="28">
                  <c:v>38.685714285714198</c:v>
                </c:pt>
                <c:pt idx="29">
                  <c:v>20.453333333333397</c:v>
                </c:pt>
                <c:pt idx="30">
                  <c:v>22.025000000000002</c:v>
                </c:pt>
                <c:pt idx="31">
                  <c:v>17.649999999999999</c:v>
                </c:pt>
                <c:pt idx="32">
                  <c:v>19.650000000000002</c:v>
                </c:pt>
                <c:pt idx="33">
                  <c:v>15.625</c:v>
                </c:pt>
                <c:pt idx="34">
                  <c:v>20.714285714285801</c:v>
                </c:pt>
                <c:pt idx="35">
                  <c:v>23.173913043478201</c:v>
                </c:pt>
                <c:pt idx="36">
                  <c:v>20.9142857142858</c:v>
                </c:pt>
                <c:pt idx="42">
                  <c:v>34.375</c:v>
                </c:pt>
                <c:pt idx="45">
                  <c:v>21.818181818181799</c:v>
                </c:pt>
                <c:pt idx="46">
                  <c:v>42.531645569620196</c:v>
                </c:pt>
                <c:pt idx="47">
                  <c:v>46.956521739130402</c:v>
                </c:pt>
              </c:numCache>
            </c:numRef>
          </c:val>
          <c:smooth val="0"/>
        </c:ser>
        <c:ser>
          <c:idx val="20"/>
          <c:order val="16"/>
          <c:tx>
            <c:strRef>
              <c:f>'Cotton (Adjusted)'!$AK$6</c:f>
              <c:strCache>
                <c:ptCount val="1"/>
                <c:pt idx="0">
                  <c:v>Lingah, Exports,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cat>
            <c:numRef>
              <c:f>'Cotton (Adjusted)'!$A$28:$A$98</c:f>
              <c:numCache>
                <c:formatCode>General</c:formatCode>
                <c:ptCount val="71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</c:numCache>
            </c:numRef>
          </c:cat>
          <c:val>
            <c:numRef>
              <c:f>'Cotton (Adjusted)'!$AK$32:$AK$87</c:f>
              <c:numCache>
                <c:formatCode>0.0000</c:formatCode>
                <c:ptCount val="56"/>
                <c:pt idx="32">
                  <c:v>22.5</c:v>
                </c:pt>
                <c:pt idx="33">
                  <c:v>18.785714285714278</c:v>
                </c:pt>
                <c:pt idx="34">
                  <c:v>20</c:v>
                </c:pt>
                <c:pt idx="35">
                  <c:v>20</c:v>
                </c:pt>
                <c:pt idx="36">
                  <c:v>19.2</c:v>
                </c:pt>
                <c:pt idx="41">
                  <c:v>36.754385964912203</c:v>
                </c:pt>
                <c:pt idx="42">
                  <c:v>39.122807017543799</c:v>
                </c:pt>
                <c:pt idx="43">
                  <c:v>33.157894736842202</c:v>
                </c:pt>
                <c:pt idx="44">
                  <c:v>33.714285714285801</c:v>
                </c:pt>
                <c:pt idx="45">
                  <c:v>43.267973856209203</c:v>
                </c:pt>
                <c:pt idx="46">
                  <c:v>50.940170940171001</c:v>
                </c:pt>
                <c:pt idx="47">
                  <c:v>56.25</c:v>
                </c:pt>
              </c:numCache>
            </c:numRef>
          </c:val>
          <c:smooth val="0"/>
        </c:ser>
        <c:ser>
          <c:idx val="21"/>
          <c:order val="17"/>
          <c:tx>
            <c:strRef>
              <c:f>'Cotton (Adjusted)'!$AL$6</c:f>
              <c:strCache>
                <c:ptCount val="1"/>
                <c:pt idx="0">
                  <c:v>Shiraz, Exports, in pound/ton</c:v>
                </c:pt>
              </c:strCache>
            </c:strRef>
          </c:tx>
          <c:spPr>
            <a:ln w="158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'Cotton (Adjusted)'!$A$28:$A$98</c:f>
              <c:numCache>
                <c:formatCode>General</c:formatCode>
                <c:ptCount val="71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</c:numCache>
            </c:numRef>
          </c:cat>
          <c:val>
            <c:numRef>
              <c:f>'Cotton (Adjusted)'!$AL$32:$AL$87</c:f>
              <c:numCache>
                <c:formatCode>General</c:formatCode>
                <c:ptCount val="56"/>
                <c:pt idx="22" formatCode="0.0000">
                  <c:v>25.5647508010126</c:v>
                </c:pt>
                <c:pt idx="23" formatCode="0.0000">
                  <c:v>22.711864503954203</c:v>
                </c:pt>
                <c:pt idx="24" formatCode="0.0000">
                  <c:v>24.088995135765799</c:v>
                </c:pt>
                <c:pt idx="25" formatCode="0.0000">
                  <c:v>20.667916249074199</c:v>
                </c:pt>
                <c:pt idx="26" formatCode="0.0000">
                  <c:v>26.044226044226001</c:v>
                </c:pt>
                <c:pt idx="27" formatCode="0.0000">
                  <c:v>9.5237854251012202</c:v>
                </c:pt>
                <c:pt idx="29" formatCode="0.0000">
                  <c:v>10.371111111111119</c:v>
                </c:pt>
                <c:pt idx="30" formatCode="0.0000">
                  <c:v>12.34545454545454</c:v>
                </c:pt>
                <c:pt idx="31" formatCode="0.0000">
                  <c:v>10.457333333333342</c:v>
                </c:pt>
                <c:pt idx="33" formatCode="0.0000">
                  <c:v>10.649251135980579</c:v>
                </c:pt>
                <c:pt idx="34" formatCode="0.0000">
                  <c:v>11.660773996879481</c:v>
                </c:pt>
                <c:pt idx="35" formatCode="0.0000">
                  <c:v>9.7364404621986793</c:v>
                </c:pt>
                <c:pt idx="36" formatCode="0.0000">
                  <c:v>8.8886486486486405</c:v>
                </c:pt>
              </c:numCache>
            </c:numRef>
          </c:val>
          <c:smooth val="0"/>
        </c:ser>
        <c:ser>
          <c:idx val="0"/>
          <c:order val="18"/>
          <c:tx>
            <c:strRef>
              <c:f>'Cotton (Adjusted)'!$AN$6</c:f>
              <c:strCache>
                <c:ptCount val="1"/>
                <c:pt idx="0">
                  <c:v>India, Exports, in pound/ton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'Cotton (Adjusted)'!$A$28:$A$98</c:f>
              <c:numCache>
                <c:formatCode>General</c:formatCode>
                <c:ptCount val="71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</c:numCache>
            </c:numRef>
          </c:cat>
          <c:val>
            <c:numRef>
              <c:f>'Cotton (Adjusted)'!$AN$28:$AN$98</c:f>
              <c:numCache>
                <c:formatCode>0.0000</c:formatCode>
                <c:ptCount val="71"/>
                <c:pt idx="0">
                  <c:v>37.70899959444975</c:v>
                </c:pt>
                <c:pt idx="1">
                  <c:v>56.322602546276173</c:v>
                </c:pt>
                <c:pt idx="2">
                  <c:v>100.62043755974622</c:v>
                </c:pt>
                <c:pt idx="3">
                  <c:v>160.17130876857561</c:v>
                </c:pt>
                <c:pt idx="4">
                  <c:v>93.298037788592438</c:v>
                </c:pt>
                <c:pt idx="5">
                  <c:v>111.45870448422698</c:v>
                </c:pt>
                <c:pt idx="6">
                  <c:v>72.946575997219071</c:v>
                </c:pt>
                <c:pt idx="7">
                  <c:v>62.354972385053273</c:v>
                </c:pt>
                <c:pt idx="8">
                  <c:v>65.242224828628878</c:v>
                </c:pt>
                <c:pt idx="9">
                  <c:v>79.3095805844371</c:v>
                </c:pt>
                <c:pt idx="10">
                  <c:v>64.725131759869257</c:v>
                </c:pt>
                <c:pt idx="11">
                  <c:v>62.13158962889414</c:v>
                </c:pt>
                <c:pt idx="12">
                  <c:v>67.133429452399582</c:v>
                </c:pt>
                <c:pt idx="13">
                  <c:v>58.017297260756493</c:v>
                </c:pt>
                <c:pt idx="14">
                  <c:v>54.461256135023739</c:v>
                </c:pt>
                <c:pt idx="15">
                  <c:v>50.019138274550848</c:v>
                </c:pt>
                <c:pt idx="16">
                  <c:v>52.673788614885112</c:v>
                </c:pt>
                <c:pt idx="17">
                  <c:v>48.723339719647981</c:v>
                </c:pt>
                <c:pt idx="18">
                  <c:v>48.868662062639274</c:v>
                </c:pt>
                <c:pt idx="19">
                  <c:v>54.846983567403811</c:v>
                </c:pt>
                <c:pt idx="20">
                  <c:v>54.076030695455401</c:v>
                </c:pt>
                <c:pt idx="21">
                  <c:v>50.107432185228362</c:v>
                </c:pt>
                <c:pt idx="22">
                  <c:v>44.889346113824601</c:v>
                </c:pt>
                <c:pt idx="23">
                  <c:v>45.534567705318757</c:v>
                </c:pt>
                <c:pt idx="24">
                  <c:v>46.883211521405293</c:v>
                </c:pt>
                <c:pt idx="25">
                  <c:v>41.920012454000762</c:v>
                </c:pt>
                <c:pt idx="26">
                  <c:v>40.837894338652362</c:v>
                </c:pt>
                <c:pt idx="27">
                  <c:v>43.212732775731311</c:v>
                </c:pt>
                <c:pt idx="28">
                  <c:v>43.155922860875648</c:v>
                </c:pt>
                <c:pt idx="29">
                  <c:v>49.185332178642042</c:v>
                </c:pt>
                <c:pt idx="30">
                  <c:v>43.26866260756475</c:v>
                </c:pt>
                <c:pt idx="31">
                  <c:v>33.586925534239327</c:v>
                </c:pt>
                <c:pt idx="32">
                  <c:v>38.029469549926489</c:v>
                </c:pt>
                <c:pt idx="33">
                  <c:v>29.271050703460567</c:v>
                </c:pt>
                <c:pt idx="34">
                  <c:v>27.517253428424659</c:v>
                </c:pt>
                <c:pt idx="35">
                  <c:v>33.243164452342747</c:v>
                </c:pt>
                <c:pt idx="36">
                  <c:v>32.479581515352351</c:v>
                </c:pt>
                <c:pt idx="37">
                  <c:v>29.626052566780515</c:v>
                </c:pt>
                <c:pt idx="38">
                  <c:v>27.140638062816155</c:v>
                </c:pt>
                <c:pt idx="39">
                  <c:v>34.281129971023475</c:v>
                </c:pt>
                <c:pt idx="40">
                  <c:v>38.506902392765689</c:v>
                </c:pt>
                <c:pt idx="41">
                  <c:v>35.630626878015036</c:v>
                </c:pt>
                <c:pt idx="42">
                  <c:v>33.49689387469067</c:v>
                </c:pt>
                <c:pt idx="43">
                  <c:v>42.008924410792218</c:v>
                </c:pt>
                <c:pt idx="44">
                  <c:v>39.07758067546952</c:v>
                </c:pt>
                <c:pt idx="45">
                  <c:v>41.075471274282258</c:v>
                </c:pt>
                <c:pt idx="46">
                  <c:v>42.992426937771562</c:v>
                </c:pt>
                <c:pt idx="47">
                  <c:v>41.620566720092008</c:v>
                </c:pt>
                <c:pt idx="48">
                  <c:v>40.492000610959579</c:v>
                </c:pt>
                <c:pt idx="49">
                  <c:v>46.913200675754325</c:v>
                </c:pt>
                <c:pt idx="50">
                  <c:v>55.310472808964064</c:v>
                </c:pt>
                <c:pt idx="51">
                  <c:v>49.467507394354492</c:v>
                </c:pt>
                <c:pt idx="52">
                  <c:v>50.900062145978126</c:v>
                </c:pt>
                <c:pt idx="53">
                  <c:v>41.257894910832121</c:v>
                </c:pt>
                <c:pt idx="54">
                  <c:v>21.964285714285719</c:v>
                </c:pt>
                <c:pt idx="55">
                  <c:v>31.285714285714288</c:v>
                </c:pt>
                <c:pt idx="56">
                  <c:v>49.392857142857146</c:v>
                </c:pt>
                <c:pt idx="57">
                  <c:v>69.964285714285722</c:v>
                </c:pt>
                <c:pt idx="58">
                  <c:v>68.035714285714292</c:v>
                </c:pt>
                <c:pt idx="59">
                  <c:v>53.866071428571438</c:v>
                </c:pt>
                <c:pt idx="60">
                  <c:v>34.607142857142861</c:v>
                </c:pt>
                <c:pt idx="61">
                  <c:v>54.937500000000007</c:v>
                </c:pt>
                <c:pt idx="62">
                  <c:v>53.517857142857153</c:v>
                </c:pt>
                <c:pt idx="63">
                  <c:v>62.383928571428577</c:v>
                </c:pt>
                <c:pt idx="64">
                  <c:v>49.232142857142868</c:v>
                </c:pt>
                <c:pt idx="65">
                  <c:v>37.098214285714292</c:v>
                </c:pt>
                <c:pt idx="66">
                  <c:v>31.714285714285719</c:v>
                </c:pt>
                <c:pt idx="67">
                  <c:v>42.589285714285722</c:v>
                </c:pt>
                <c:pt idx="68">
                  <c:v>36.375000000000007</c:v>
                </c:pt>
                <c:pt idx="69">
                  <c:v>25.046218487394956</c:v>
                </c:pt>
                <c:pt idx="70">
                  <c:v>18.025210084033613</c:v>
                </c:pt>
              </c:numCache>
            </c:numRef>
          </c:val>
          <c:smooth val="0"/>
        </c:ser>
        <c:ser>
          <c:idx val="1"/>
          <c:order val="19"/>
          <c:tx>
            <c:strRef>
              <c:f>'Cotton (Adjusted)'!$AO$6</c:f>
              <c:strCache>
                <c:ptCount val="1"/>
                <c:pt idx="0">
                  <c:v>India, Wholesale, in pound/ton</c:v>
                </c:pt>
              </c:strCache>
            </c:strRef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'Cotton (Adjusted)'!$AO$28:$AO$98</c:f>
              <c:numCache>
                <c:formatCode>General</c:formatCode>
                <c:ptCount val="71"/>
                <c:pt idx="12" formatCode="0.0000">
                  <c:v>64.005187005186997</c:v>
                </c:pt>
                <c:pt idx="23" formatCode="0.0000">
                  <c:v>43.960737320112329</c:v>
                </c:pt>
                <c:pt idx="24" formatCode="0.0000">
                  <c:v>44.295691287878789</c:v>
                </c:pt>
                <c:pt idx="25" formatCode="0.0000">
                  <c:v>37.586872586872595</c:v>
                </c:pt>
                <c:pt idx="26" formatCode="0.0000">
                  <c:v>40.141369047619051</c:v>
                </c:pt>
                <c:pt idx="27" formatCode="0.0000">
                  <c:v>39.785118925743937</c:v>
                </c:pt>
                <c:pt idx="28" formatCode="0.0000">
                  <c:v>45.788309402939042</c:v>
                </c:pt>
                <c:pt idx="29" formatCode="0.0000">
                  <c:v>45.672900579150586</c:v>
                </c:pt>
                <c:pt idx="30" formatCode="0.0000">
                  <c:v>38.80188853626354</c:v>
                </c:pt>
                <c:pt idx="31" formatCode="0.0000">
                  <c:v>34.49369317655318</c:v>
                </c:pt>
                <c:pt idx="32" formatCode="0.0000">
                  <c:v>37.750710099740132</c:v>
                </c:pt>
                <c:pt idx="33" formatCode="0.0000">
                  <c:v>29.70512333745312</c:v>
                </c:pt>
                <c:pt idx="34" formatCode="0.0000">
                  <c:v>29.8348502310734</c:v>
                </c:pt>
                <c:pt idx="35" formatCode="0.0000">
                  <c:v>33.307096818580185</c:v>
                </c:pt>
                <c:pt idx="36" formatCode="0.0000">
                  <c:v>31.924256800790662</c:v>
                </c:pt>
                <c:pt idx="37" formatCode="0.0000">
                  <c:v>27.10253853985056</c:v>
                </c:pt>
                <c:pt idx="38" formatCode="0.0000">
                  <c:v>29.183052208926451</c:v>
                </c:pt>
                <c:pt idx="39" formatCode="0.0000">
                  <c:v>44.153751886413488</c:v>
                </c:pt>
                <c:pt idx="40" formatCode="0.0000">
                  <c:v>36.323255966572518</c:v>
                </c:pt>
                <c:pt idx="41" formatCode="0.0000">
                  <c:v>34.203217503217502</c:v>
                </c:pt>
                <c:pt idx="42" formatCode="0.0000">
                  <c:v>42.621307673240395</c:v>
                </c:pt>
                <c:pt idx="43" formatCode="0.0000">
                  <c:v>52.067436585563151</c:v>
                </c:pt>
                <c:pt idx="44" formatCode="0.0000">
                  <c:v>39.306850683425246</c:v>
                </c:pt>
                <c:pt idx="45" formatCode="0.0000">
                  <c:v>45.149619749591032</c:v>
                </c:pt>
                <c:pt idx="46" formatCode="0.0000">
                  <c:v>45.880511763116182</c:v>
                </c:pt>
                <c:pt idx="47" formatCode="0.0000">
                  <c:v>43.233213097821761</c:v>
                </c:pt>
                <c:pt idx="48" formatCode="0.0000">
                  <c:v>49.973607855304287</c:v>
                </c:pt>
                <c:pt idx="49" formatCode="0.0000">
                  <c:v>58.73648672135684</c:v>
                </c:pt>
                <c:pt idx="50" formatCode="0.0000">
                  <c:v>56.264084492018846</c:v>
                </c:pt>
                <c:pt idx="51" formatCode="0.0000">
                  <c:v>53.130238203936322</c:v>
                </c:pt>
                <c:pt idx="52" formatCode="0.0000">
                  <c:v>55.561888376411112</c:v>
                </c:pt>
                <c:pt idx="53" formatCode="0.0000">
                  <c:v>39.666666666666664</c:v>
                </c:pt>
                <c:pt idx="54" formatCode="0.0000">
                  <c:v>40.541666666666664</c:v>
                </c:pt>
                <c:pt idx="55" formatCode="0.0000">
                  <c:v>57.166666666666664</c:v>
                </c:pt>
                <c:pt idx="56" formatCode="0.0000">
                  <c:v>91.956018311111109</c:v>
                </c:pt>
                <c:pt idx="57" formatCode="0.0000">
                  <c:v>137.92534248888887</c:v>
                </c:pt>
                <c:pt idx="58" formatCode="0.0000">
                  <c:v>120.48563084870447</c:v>
                </c:pt>
                <c:pt idx="59" formatCode="0.0000">
                  <c:v>120.32973756542037</c:v>
                </c:pt>
              </c:numCache>
            </c:numRef>
          </c:val>
          <c:smooth val="0"/>
        </c:ser>
        <c:ser>
          <c:idx val="10"/>
          <c:order val="20"/>
          <c:tx>
            <c:strRef>
              <c:f>'Cotton (Adjusted)'!$AM$6</c:f>
              <c:strCache>
                <c:ptCount val="1"/>
                <c:pt idx="0">
                  <c:v>India, Imports,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val>
            <c:numRef>
              <c:f>'Cotton (Adjusted)'!$AM$28:$AM$98</c:f>
              <c:numCache>
                <c:formatCode>General</c:formatCode>
                <c:ptCount val="71"/>
                <c:pt idx="34" formatCode="0.0000">
                  <c:v>26.441727695381072</c:v>
                </c:pt>
                <c:pt idx="35" formatCode="0.0000">
                  <c:v>22.227095956327233</c:v>
                </c:pt>
                <c:pt idx="36" formatCode="0.0000">
                  <c:v>27.554470625297881</c:v>
                </c:pt>
                <c:pt idx="37" formatCode="0.0000">
                  <c:v>27.267846051859745</c:v>
                </c:pt>
                <c:pt idx="38" formatCode="0.0000">
                  <c:v>30.717412191736951</c:v>
                </c:pt>
                <c:pt idx="39" formatCode="0.0000">
                  <c:v>32.649805344421196</c:v>
                </c:pt>
                <c:pt idx="40" formatCode="0.0000">
                  <c:v>41.493868054383832</c:v>
                </c:pt>
                <c:pt idx="41" formatCode="0.0000">
                  <c:v>34.557332789975042</c:v>
                </c:pt>
                <c:pt idx="42" formatCode="0.0000">
                  <c:v>33.476361805771482</c:v>
                </c:pt>
                <c:pt idx="43" formatCode="0.0000">
                  <c:v>36.686908474205367</c:v>
                </c:pt>
                <c:pt idx="44" formatCode="0.0000">
                  <c:v>44.215440863342231</c:v>
                </c:pt>
                <c:pt idx="45" formatCode="0.0000">
                  <c:v>44.615794297604594</c:v>
                </c:pt>
                <c:pt idx="46" formatCode="0.0000">
                  <c:v>52.656844351882128</c:v>
                </c:pt>
                <c:pt idx="47" formatCode="0.0000">
                  <c:v>60.056878416037677</c:v>
                </c:pt>
                <c:pt idx="48" formatCode="0.0000">
                  <c:v>56.345916310056019</c:v>
                </c:pt>
                <c:pt idx="49" formatCode="0.0000">
                  <c:v>47.637083218077755</c:v>
                </c:pt>
                <c:pt idx="50" formatCode="0.0000">
                  <c:v>56.748139807025673</c:v>
                </c:pt>
                <c:pt idx="51" formatCode="0.0000">
                  <c:v>57.621267825888836</c:v>
                </c:pt>
                <c:pt idx="52" formatCode="0.0000">
                  <c:v>54.101457657858198</c:v>
                </c:pt>
                <c:pt idx="53" formatCode="0.0000">
                  <c:v>64.846193626620533</c:v>
                </c:pt>
                <c:pt idx="54" formatCode="0.0000">
                  <c:v>45.244909831297264</c:v>
                </c:pt>
                <c:pt idx="55" formatCode="0.0000">
                  <c:v>51.444856311530948</c:v>
                </c:pt>
                <c:pt idx="56" formatCode="0.0000">
                  <c:v>87.170590170799557</c:v>
                </c:pt>
                <c:pt idx="57" formatCode="0.0000">
                  <c:v>106.46591725396547</c:v>
                </c:pt>
                <c:pt idx="58" formatCode="0.0000">
                  <c:v>172.01157370197717</c:v>
                </c:pt>
                <c:pt idx="59" formatCode="0.0000">
                  <c:v>205.260146232913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362416"/>
        <c:axId val="721362976"/>
      </c:lineChart>
      <c:catAx>
        <c:axId val="721362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1362976"/>
        <c:crosses val="autoZero"/>
        <c:auto val="1"/>
        <c:lblAlgn val="ctr"/>
        <c:lblOffset val="100"/>
        <c:noMultiLvlLbl val="0"/>
      </c:catAx>
      <c:valAx>
        <c:axId val="721362976"/>
        <c:scaling>
          <c:orientation val="minMax"/>
          <c:max val="2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1362416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929453052772946"/>
          <c:y val="0.11664486048005329"/>
          <c:w val="0.21440427224479738"/>
          <c:h val="0.827359627629627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Mosul,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(All)'!$K$7:$K$107</c:f>
              <c:numCache>
                <c:formatCode>0.0000</c:formatCode>
                <c:ptCount val="92"/>
                <c:pt idx="44">
                  <c:v>7.6363636363636402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(All)'!$K$7:$K$107</c:f>
              <c:numCache>
                <c:formatCode>0.0000</c:formatCode>
                <c:ptCount val="92"/>
                <c:pt idx="44">
                  <c:v>7.6363636363636402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7272256"/>
        <c:axId val="707272816"/>
      </c:scatterChart>
      <c:valAx>
        <c:axId val="70727225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7272816"/>
        <c:crosses val="autoZero"/>
        <c:crossBetween val="midCat"/>
        <c:majorUnit val="5"/>
      </c:valAx>
      <c:valAx>
        <c:axId val="707272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727225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Mosul, Exports, in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(All)'!$L$7:$L$107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(All)'!$L$7:$L$107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7275616"/>
        <c:axId val="707276176"/>
      </c:scatterChart>
      <c:valAx>
        <c:axId val="70727561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7276176"/>
        <c:crosses val="autoZero"/>
        <c:crossBetween val="midCat"/>
        <c:majorUnit val="5"/>
      </c:valAx>
      <c:valAx>
        <c:axId val="707276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727561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Mosul, Bazaar (Local), in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(All)'!$M$7:$M$107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(All)'!$M$7:$M$107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7278976"/>
        <c:axId val="707279536"/>
      </c:scatterChart>
      <c:valAx>
        <c:axId val="70727897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7279536"/>
        <c:crosses val="autoZero"/>
        <c:crossBetween val="midCat"/>
        <c:majorUnit val="5"/>
      </c:valAx>
      <c:valAx>
        <c:axId val="70727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727897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Damascus,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(All)'!$T$7:$T$107</c:f>
              <c:numCache>
                <c:formatCode>0.0000</c:formatCode>
                <c:ptCount val="92"/>
                <c:pt idx="61">
                  <c:v>40</c:v>
                </c:pt>
                <c:pt idx="62">
                  <c:v>42.5</c:v>
                </c:pt>
                <c:pt idx="63">
                  <c:v>50</c:v>
                </c:pt>
                <c:pt idx="64">
                  <c:v>50</c:v>
                </c:pt>
                <c:pt idx="65">
                  <c:v>41.6666666666666</c:v>
                </c:pt>
                <c:pt idx="66">
                  <c:v>41.25</c:v>
                </c:pt>
                <c:pt idx="67">
                  <c:v>40</c:v>
                </c:pt>
                <c:pt idx="68">
                  <c:v>42.105263157894797</c:v>
                </c:pt>
                <c:pt idx="69">
                  <c:v>50</c:v>
                </c:pt>
                <c:pt idx="70">
                  <c:v>50</c:v>
                </c:pt>
                <c:pt idx="71">
                  <c:v>60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(All)'!$T$7:$T$107</c:f>
              <c:numCache>
                <c:formatCode>0.0000</c:formatCode>
                <c:ptCount val="92"/>
                <c:pt idx="61">
                  <c:v>40</c:v>
                </c:pt>
                <c:pt idx="62">
                  <c:v>42.5</c:v>
                </c:pt>
                <c:pt idx="63">
                  <c:v>50</c:v>
                </c:pt>
                <c:pt idx="64">
                  <c:v>50</c:v>
                </c:pt>
                <c:pt idx="65">
                  <c:v>41.6666666666666</c:v>
                </c:pt>
                <c:pt idx="66">
                  <c:v>41.25</c:v>
                </c:pt>
                <c:pt idx="67">
                  <c:v>40</c:v>
                </c:pt>
                <c:pt idx="68">
                  <c:v>42.105263157894797</c:v>
                </c:pt>
                <c:pt idx="69">
                  <c:v>50</c:v>
                </c:pt>
                <c:pt idx="70">
                  <c:v>50</c:v>
                </c:pt>
                <c:pt idx="71">
                  <c:v>60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7282336"/>
        <c:axId val="707282896"/>
      </c:scatterChart>
      <c:valAx>
        <c:axId val="70728233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7282896"/>
        <c:crosses val="autoZero"/>
        <c:crossBetween val="midCat"/>
        <c:majorUnit val="5"/>
      </c:valAx>
      <c:valAx>
        <c:axId val="70728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728233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Damascus, Exports,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(All)'!$U$7:$U$107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(All)'!$U$7:$U$107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7285696"/>
        <c:axId val="707286256"/>
      </c:scatterChart>
      <c:valAx>
        <c:axId val="70728569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7286256"/>
        <c:crosses val="autoZero"/>
        <c:crossBetween val="midCat"/>
        <c:majorUnit val="5"/>
      </c:valAx>
      <c:valAx>
        <c:axId val="70728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728569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Damascus,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(All)'!$V$7:$V$107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(All)'!$V$7:$V$107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7289056"/>
        <c:axId val="707289616"/>
      </c:scatterChart>
      <c:valAx>
        <c:axId val="70728905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7289616"/>
        <c:crosses val="autoZero"/>
        <c:crossBetween val="midCat"/>
        <c:majorUnit val="5"/>
      </c:valAx>
      <c:valAx>
        <c:axId val="707289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728905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Beirut,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(All)'!$W$7:$W$107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(All)'!$W$7:$W$107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7292416"/>
        <c:axId val="707292976"/>
      </c:scatterChart>
      <c:valAx>
        <c:axId val="70729241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7292976"/>
        <c:crosses val="autoZero"/>
        <c:crossBetween val="midCat"/>
        <c:majorUnit val="5"/>
      </c:valAx>
      <c:valAx>
        <c:axId val="707292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729241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Beirut, Bazaar (Local), in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(All)'!$Y$7:$Y$107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(All)'!$Y$7:$Y$107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7295776"/>
        <c:axId val="707296336"/>
      </c:scatterChart>
      <c:valAx>
        <c:axId val="70729577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7296336"/>
        <c:crosses val="autoZero"/>
        <c:crossBetween val="midCat"/>
        <c:majorUnit val="5"/>
      </c:valAx>
      <c:valAx>
        <c:axId val="707296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729577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UK,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4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(All)'!$C$7:$C$107</c:f>
              <c:numCache>
                <c:formatCode>0.0000</c:formatCode>
                <c:ptCount val="92"/>
                <c:pt idx="14">
                  <c:v>50.931138031789246</c:v>
                </c:pt>
                <c:pt idx="15">
                  <c:v>52.369578216521809</c:v>
                </c:pt>
                <c:pt idx="16">
                  <c:v>57.861914480692192</c:v>
                </c:pt>
                <c:pt idx="17">
                  <c:v>67.6835794192544</c:v>
                </c:pt>
                <c:pt idx="18">
                  <c:v>65.200481895461252</c:v>
                </c:pt>
                <c:pt idx="19">
                  <c:v>63.143780322374681</c:v>
                </c:pt>
                <c:pt idx="20">
                  <c:v>57.58375050023794</c:v>
                </c:pt>
                <c:pt idx="21">
                  <c:v>68.881991197067322</c:v>
                </c:pt>
                <c:pt idx="22">
                  <c:v>132.92360761835465</c:v>
                </c:pt>
                <c:pt idx="23">
                  <c:v>188.14404533993084</c:v>
                </c:pt>
                <c:pt idx="24">
                  <c:v>195.96352875846935</c:v>
                </c:pt>
                <c:pt idx="25">
                  <c:v>151.19999999999999</c:v>
                </c:pt>
                <c:pt idx="26">
                  <c:v>126</c:v>
                </c:pt>
                <c:pt idx="27">
                  <c:v>92.2</c:v>
                </c:pt>
                <c:pt idx="28">
                  <c:v>93.000000000000014</c:v>
                </c:pt>
                <c:pt idx="29">
                  <c:v>104.2</c:v>
                </c:pt>
                <c:pt idx="30">
                  <c:v>89.4</c:v>
                </c:pt>
                <c:pt idx="31">
                  <c:v>70.400000000000006</c:v>
                </c:pt>
                <c:pt idx="32">
                  <c:v>84.800000000000011</c:v>
                </c:pt>
                <c:pt idx="33">
                  <c:v>80.2</c:v>
                </c:pt>
                <c:pt idx="34">
                  <c:v>72.400000000000006</c:v>
                </c:pt>
                <c:pt idx="35">
                  <c:v>69.400000000000006</c:v>
                </c:pt>
                <c:pt idx="36">
                  <c:v>60.4</c:v>
                </c:pt>
                <c:pt idx="37">
                  <c:v>58.6</c:v>
                </c:pt>
                <c:pt idx="38">
                  <c:v>55.999999999999993</c:v>
                </c:pt>
                <c:pt idx="39">
                  <c:v>55.199999999999996</c:v>
                </c:pt>
                <c:pt idx="40">
                  <c:v>58.8</c:v>
                </c:pt>
                <c:pt idx="41">
                  <c:v>58.4</c:v>
                </c:pt>
                <c:pt idx="42">
                  <c:v>58.6</c:v>
                </c:pt>
                <c:pt idx="43">
                  <c:v>58.20000000000001</c:v>
                </c:pt>
                <c:pt idx="44">
                  <c:v>57</c:v>
                </c:pt>
                <c:pt idx="45">
                  <c:v>57.199999999999996</c:v>
                </c:pt>
                <c:pt idx="46">
                  <c:v>49.800000000000004</c:v>
                </c:pt>
                <c:pt idx="47">
                  <c:v>50.199999999999996</c:v>
                </c:pt>
                <c:pt idx="48">
                  <c:v>51.8</c:v>
                </c:pt>
                <c:pt idx="49">
                  <c:v>52.8</c:v>
                </c:pt>
                <c:pt idx="50">
                  <c:v>53.399999999999991</c:v>
                </c:pt>
                <c:pt idx="51">
                  <c:v>51.8</c:v>
                </c:pt>
                <c:pt idx="52">
                  <c:v>47.800000000000004</c:v>
                </c:pt>
                <c:pt idx="53">
                  <c:v>48.533333333333331</c:v>
                </c:pt>
                <c:pt idx="54">
                  <c:v>41.25333333333333</c:v>
                </c:pt>
                <c:pt idx="55">
                  <c:v>38.826666666666668</c:v>
                </c:pt>
                <c:pt idx="56">
                  <c:v>46.293333333333329</c:v>
                </c:pt>
                <c:pt idx="57">
                  <c:v>41.81333333333334</c:v>
                </c:pt>
                <c:pt idx="58">
                  <c:v>35.93333333333333</c:v>
                </c:pt>
                <c:pt idx="59">
                  <c:v>38.080000000000005</c:v>
                </c:pt>
                <c:pt idx="60">
                  <c:v>52.173333333333332</c:v>
                </c:pt>
                <c:pt idx="61">
                  <c:v>51.426666666666662</c:v>
                </c:pt>
                <c:pt idx="62">
                  <c:v>50.773333333333333</c:v>
                </c:pt>
                <c:pt idx="63">
                  <c:v>56</c:v>
                </c:pt>
                <c:pt idx="64">
                  <c:v>62.626666666666665</c:v>
                </c:pt>
                <c:pt idx="65">
                  <c:v>53.013333333333328</c:v>
                </c:pt>
                <c:pt idx="66">
                  <c:v>70.14</c:v>
                </c:pt>
                <c:pt idx="67">
                  <c:v>77.513333333333335</c:v>
                </c:pt>
                <c:pt idx="68">
                  <c:v>71.586666666666659</c:v>
                </c:pt>
                <c:pt idx="69">
                  <c:v>71.213333333333338</c:v>
                </c:pt>
                <c:pt idx="70">
                  <c:v>97.486666666666665</c:v>
                </c:pt>
                <c:pt idx="71">
                  <c:v>85.726666666666674</c:v>
                </c:pt>
                <c:pt idx="72">
                  <c:v>75.88000000000001</c:v>
                </c:pt>
                <c:pt idx="73">
                  <c:v>82.506666666666661</c:v>
                </c:pt>
                <c:pt idx="74">
                  <c:v>76.066666666666663</c:v>
                </c:pt>
                <c:pt idx="75">
                  <c:v>63.186666666666675</c:v>
                </c:pt>
                <c:pt idx="76">
                  <c:v>100.61333333333336</c:v>
                </c:pt>
                <c:pt idx="77">
                  <c:v>174.06666666666666</c:v>
                </c:pt>
                <c:pt idx="78">
                  <c:v>237.01999999999998</c:v>
                </c:pt>
                <c:pt idx="79">
                  <c:v>239.11999999999998</c:v>
                </c:pt>
                <c:pt idx="80">
                  <c:v>374.22</c:v>
                </c:pt>
              </c:numCache>
            </c:numRef>
          </c:yVal>
          <c:smooth val="0"/>
        </c:ser>
        <c:ser>
          <c:idx val="5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(All)'!$C$7:$C$107</c:f>
              <c:numCache>
                <c:formatCode>0.0000</c:formatCode>
                <c:ptCount val="92"/>
                <c:pt idx="14">
                  <c:v>50.931138031789246</c:v>
                </c:pt>
                <c:pt idx="15">
                  <c:v>52.369578216521809</c:v>
                </c:pt>
                <c:pt idx="16">
                  <c:v>57.861914480692192</c:v>
                </c:pt>
                <c:pt idx="17">
                  <c:v>67.6835794192544</c:v>
                </c:pt>
                <c:pt idx="18">
                  <c:v>65.200481895461252</c:v>
                </c:pt>
                <c:pt idx="19">
                  <c:v>63.143780322374681</c:v>
                </c:pt>
                <c:pt idx="20">
                  <c:v>57.58375050023794</c:v>
                </c:pt>
                <c:pt idx="21">
                  <c:v>68.881991197067322</c:v>
                </c:pt>
                <c:pt idx="22">
                  <c:v>132.92360761835465</c:v>
                </c:pt>
                <c:pt idx="23">
                  <c:v>188.14404533993084</c:v>
                </c:pt>
                <c:pt idx="24">
                  <c:v>195.96352875846935</c:v>
                </c:pt>
                <c:pt idx="25">
                  <c:v>151.19999999999999</c:v>
                </c:pt>
                <c:pt idx="26">
                  <c:v>126</c:v>
                </c:pt>
                <c:pt idx="27">
                  <c:v>92.2</c:v>
                </c:pt>
                <c:pt idx="28">
                  <c:v>93.000000000000014</c:v>
                </c:pt>
                <c:pt idx="29">
                  <c:v>104.2</c:v>
                </c:pt>
                <c:pt idx="30">
                  <c:v>89.4</c:v>
                </c:pt>
                <c:pt idx="31">
                  <c:v>70.400000000000006</c:v>
                </c:pt>
                <c:pt idx="32">
                  <c:v>84.800000000000011</c:v>
                </c:pt>
                <c:pt idx="33">
                  <c:v>80.2</c:v>
                </c:pt>
                <c:pt idx="34">
                  <c:v>72.400000000000006</c:v>
                </c:pt>
                <c:pt idx="35">
                  <c:v>69.400000000000006</c:v>
                </c:pt>
                <c:pt idx="36">
                  <c:v>60.4</c:v>
                </c:pt>
                <c:pt idx="37">
                  <c:v>58.6</c:v>
                </c:pt>
                <c:pt idx="38">
                  <c:v>55.999999999999993</c:v>
                </c:pt>
                <c:pt idx="39">
                  <c:v>55.199999999999996</c:v>
                </c:pt>
                <c:pt idx="40">
                  <c:v>58.8</c:v>
                </c:pt>
                <c:pt idx="41">
                  <c:v>58.4</c:v>
                </c:pt>
                <c:pt idx="42">
                  <c:v>58.6</c:v>
                </c:pt>
                <c:pt idx="43">
                  <c:v>58.20000000000001</c:v>
                </c:pt>
                <c:pt idx="44">
                  <c:v>57</c:v>
                </c:pt>
                <c:pt idx="45">
                  <c:v>57.199999999999996</c:v>
                </c:pt>
                <c:pt idx="46">
                  <c:v>49.800000000000004</c:v>
                </c:pt>
                <c:pt idx="47">
                  <c:v>50.199999999999996</c:v>
                </c:pt>
                <c:pt idx="48">
                  <c:v>51.8</c:v>
                </c:pt>
                <c:pt idx="49">
                  <c:v>52.8</c:v>
                </c:pt>
                <c:pt idx="50">
                  <c:v>53.399999999999991</c:v>
                </c:pt>
                <c:pt idx="51">
                  <c:v>51.8</c:v>
                </c:pt>
                <c:pt idx="52">
                  <c:v>47.800000000000004</c:v>
                </c:pt>
                <c:pt idx="53">
                  <c:v>48.533333333333331</c:v>
                </c:pt>
                <c:pt idx="54">
                  <c:v>41.25333333333333</c:v>
                </c:pt>
                <c:pt idx="55">
                  <c:v>38.826666666666668</c:v>
                </c:pt>
                <c:pt idx="56">
                  <c:v>46.293333333333329</c:v>
                </c:pt>
                <c:pt idx="57">
                  <c:v>41.81333333333334</c:v>
                </c:pt>
                <c:pt idx="58">
                  <c:v>35.93333333333333</c:v>
                </c:pt>
                <c:pt idx="59">
                  <c:v>38.080000000000005</c:v>
                </c:pt>
                <c:pt idx="60">
                  <c:v>52.173333333333332</c:v>
                </c:pt>
                <c:pt idx="61">
                  <c:v>51.426666666666662</c:v>
                </c:pt>
                <c:pt idx="62">
                  <c:v>50.773333333333333</c:v>
                </c:pt>
                <c:pt idx="63">
                  <c:v>56</c:v>
                </c:pt>
                <c:pt idx="64">
                  <c:v>62.626666666666665</c:v>
                </c:pt>
                <c:pt idx="65">
                  <c:v>53.013333333333328</c:v>
                </c:pt>
                <c:pt idx="66">
                  <c:v>70.14</c:v>
                </c:pt>
                <c:pt idx="67">
                  <c:v>77.513333333333335</c:v>
                </c:pt>
                <c:pt idx="68">
                  <c:v>71.586666666666659</c:v>
                </c:pt>
                <c:pt idx="69">
                  <c:v>71.213333333333338</c:v>
                </c:pt>
                <c:pt idx="70">
                  <c:v>97.486666666666665</c:v>
                </c:pt>
                <c:pt idx="71">
                  <c:v>85.726666666666674</c:v>
                </c:pt>
                <c:pt idx="72">
                  <c:v>75.88000000000001</c:v>
                </c:pt>
                <c:pt idx="73">
                  <c:v>82.506666666666661</c:v>
                </c:pt>
                <c:pt idx="74">
                  <c:v>76.066666666666663</c:v>
                </c:pt>
                <c:pt idx="75">
                  <c:v>63.186666666666675</c:v>
                </c:pt>
                <c:pt idx="76">
                  <c:v>100.61333333333336</c:v>
                </c:pt>
                <c:pt idx="77">
                  <c:v>174.06666666666666</c:v>
                </c:pt>
                <c:pt idx="78">
                  <c:v>237.01999999999998</c:v>
                </c:pt>
                <c:pt idx="79">
                  <c:v>239.11999999999998</c:v>
                </c:pt>
                <c:pt idx="80">
                  <c:v>374.22</c:v>
                </c:pt>
              </c:numCache>
            </c:numRef>
          </c:yVal>
          <c:smooth val="0"/>
        </c:ser>
        <c:ser>
          <c:idx val="6"/>
          <c:order val="2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(All)'!$C$7:$C$107</c:f>
              <c:numCache>
                <c:formatCode>0.0000</c:formatCode>
                <c:ptCount val="92"/>
                <c:pt idx="14">
                  <c:v>50.931138031789246</c:v>
                </c:pt>
                <c:pt idx="15">
                  <c:v>52.369578216521809</c:v>
                </c:pt>
                <c:pt idx="16">
                  <c:v>57.861914480692192</c:v>
                </c:pt>
                <c:pt idx="17">
                  <c:v>67.6835794192544</c:v>
                </c:pt>
                <c:pt idx="18">
                  <c:v>65.200481895461252</c:v>
                </c:pt>
                <c:pt idx="19">
                  <c:v>63.143780322374681</c:v>
                </c:pt>
                <c:pt idx="20">
                  <c:v>57.58375050023794</c:v>
                </c:pt>
                <c:pt idx="21">
                  <c:v>68.881991197067322</c:v>
                </c:pt>
                <c:pt idx="22">
                  <c:v>132.92360761835465</c:v>
                </c:pt>
                <c:pt idx="23">
                  <c:v>188.14404533993084</c:v>
                </c:pt>
                <c:pt idx="24">
                  <c:v>195.96352875846935</c:v>
                </c:pt>
                <c:pt idx="25">
                  <c:v>151.19999999999999</c:v>
                </c:pt>
                <c:pt idx="26">
                  <c:v>126</c:v>
                </c:pt>
                <c:pt idx="27">
                  <c:v>92.2</c:v>
                </c:pt>
                <c:pt idx="28">
                  <c:v>93.000000000000014</c:v>
                </c:pt>
                <c:pt idx="29">
                  <c:v>104.2</c:v>
                </c:pt>
                <c:pt idx="30">
                  <c:v>89.4</c:v>
                </c:pt>
                <c:pt idx="31">
                  <c:v>70.400000000000006</c:v>
                </c:pt>
                <c:pt idx="32">
                  <c:v>84.800000000000011</c:v>
                </c:pt>
                <c:pt idx="33">
                  <c:v>80.2</c:v>
                </c:pt>
                <c:pt idx="34">
                  <c:v>72.400000000000006</c:v>
                </c:pt>
                <c:pt idx="35">
                  <c:v>69.400000000000006</c:v>
                </c:pt>
                <c:pt idx="36">
                  <c:v>60.4</c:v>
                </c:pt>
                <c:pt idx="37">
                  <c:v>58.6</c:v>
                </c:pt>
                <c:pt idx="38">
                  <c:v>55.999999999999993</c:v>
                </c:pt>
                <c:pt idx="39">
                  <c:v>55.199999999999996</c:v>
                </c:pt>
                <c:pt idx="40">
                  <c:v>58.8</c:v>
                </c:pt>
                <c:pt idx="41">
                  <c:v>58.4</c:v>
                </c:pt>
                <c:pt idx="42">
                  <c:v>58.6</c:v>
                </c:pt>
                <c:pt idx="43">
                  <c:v>58.20000000000001</c:v>
                </c:pt>
                <c:pt idx="44">
                  <c:v>57</c:v>
                </c:pt>
                <c:pt idx="45">
                  <c:v>57.199999999999996</c:v>
                </c:pt>
                <c:pt idx="46">
                  <c:v>49.800000000000004</c:v>
                </c:pt>
                <c:pt idx="47">
                  <c:v>50.199999999999996</c:v>
                </c:pt>
                <c:pt idx="48">
                  <c:v>51.8</c:v>
                </c:pt>
                <c:pt idx="49">
                  <c:v>52.8</c:v>
                </c:pt>
                <c:pt idx="50">
                  <c:v>53.399999999999991</c:v>
                </c:pt>
                <c:pt idx="51">
                  <c:v>51.8</c:v>
                </c:pt>
                <c:pt idx="52">
                  <c:v>47.800000000000004</c:v>
                </c:pt>
                <c:pt idx="53">
                  <c:v>48.533333333333331</c:v>
                </c:pt>
                <c:pt idx="54">
                  <c:v>41.25333333333333</c:v>
                </c:pt>
                <c:pt idx="55">
                  <c:v>38.826666666666668</c:v>
                </c:pt>
                <c:pt idx="56">
                  <c:v>46.293333333333329</c:v>
                </c:pt>
                <c:pt idx="57">
                  <c:v>41.81333333333334</c:v>
                </c:pt>
                <c:pt idx="58">
                  <c:v>35.93333333333333</c:v>
                </c:pt>
                <c:pt idx="59">
                  <c:v>38.080000000000005</c:v>
                </c:pt>
                <c:pt idx="60">
                  <c:v>52.173333333333332</c:v>
                </c:pt>
                <c:pt idx="61">
                  <c:v>51.426666666666662</c:v>
                </c:pt>
                <c:pt idx="62">
                  <c:v>50.773333333333333</c:v>
                </c:pt>
                <c:pt idx="63">
                  <c:v>56</c:v>
                </c:pt>
                <c:pt idx="64">
                  <c:v>62.626666666666665</c:v>
                </c:pt>
                <c:pt idx="65">
                  <c:v>53.013333333333328</c:v>
                </c:pt>
                <c:pt idx="66">
                  <c:v>70.14</c:v>
                </c:pt>
                <c:pt idx="67">
                  <c:v>77.513333333333335</c:v>
                </c:pt>
                <c:pt idx="68">
                  <c:v>71.586666666666659</c:v>
                </c:pt>
                <c:pt idx="69">
                  <c:v>71.213333333333338</c:v>
                </c:pt>
                <c:pt idx="70">
                  <c:v>97.486666666666665</c:v>
                </c:pt>
                <c:pt idx="71">
                  <c:v>85.726666666666674</c:v>
                </c:pt>
                <c:pt idx="72">
                  <c:v>75.88000000000001</c:v>
                </c:pt>
                <c:pt idx="73">
                  <c:v>82.506666666666661</c:v>
                </c:pt>
                <c:pt idx="74">
                  <c:v>76.066666666666663</c:v>
                </c:pt>
                <c:pt idx="75">
                  <c:v>63.186666666666675</c:v>
                </c:pt>
                <c:pt idx="76">
                  <c:v>100.61333333333336</c:v>
                </c:pt>
                <c:pt idx="77">
                  <c:v>174.06666666666666</c:v>
                </c:pt>
                <c:pt idx="78">
                  <c:v>237.01999999999998</c:v>
                </c:pt>
                <c:pt idx="79">
                  <c:v>239.11999999999998</c:v>
                </c:pt>
                <c:pt idx="80">
                  <c:v>374.22</c:v>
                </c:pt>
              </c:numCache>
            </c:numRef>
          </c:yVal>
          <c:smooth val="0"/>
        </c:ser>
        <c:ser>
          <c:idx val="7"/>
          <c:order val="3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(All)'!$C$7:$C$107</c:f>
              <c:numCache>
                <c:formatCode>0.0000</c:formatCode>
                <c:ptCount val="92"/>
                <c:pt idx="14">
                  <c:v>50.931138031789246</c:v>
                </c:pt>
                <c:pt idx="15">
                  <c:v>52.369578216521809</c:v>
                </c:pt>
                <c:pt idx="16">
                  <c:v>57.861914480692192</c:v>
                </c:pt>
                <c:pt idx="17">
                  <c:v>67.6835794192544</c:v>
                </c:pt>
                <c:pt idx="18">
                  <c:v>65.200481895461252</c:v>
                </c:pt>
                <c:pt idx="19">
                  <c:v>63.143780322374681</c:v>
                </c:pt>
                <c:pt idx="20">
                  <c:v>57.58375050023794</c:v>
                </c:pt>
                <c:pt idx="21">
                  <c:v>68.881991197067322</c:v>
                </c:pt>
                <c:pt idx="22">
                  <c:v>132.92360761835465</c:v>
                </c:pt>
                <c:pt idx="23">
                  <c:v>188.14404533993084</c:v>
                </c:pt>
                <c:pt idx="24">
                  <c:v>195.96352875846935</c:v>
                </c:pt>
                <c:pt idx="25">
                  <c:v>151.19999999999999</c:v>
                </c:pt>
                <c:pt idx="26">
                  <c:v>126</c:v>
                </c:pt>
                <c:pt idx="27">
                  <c:v>92.2</c:v>
                </c:pt>
                <c:pt idx="28">
                  <c:v>93.000000000000014</c:v>
                </c:pt>
                <c:pt idx="29">
                  <c:v>104.2</c:v>
                </c:pt>
                <c:pt idx="30">
                  <c:v>89.4</c:v>
                </c:pt>
                <c:pt idx="31">
                  <c:v>70.400000000000006</c:v>
                </c:pt>
                <c:pt idx="32">
                  <c:v>84.800000000000011</c:v>
                </c:pt>
                <c:pt idx="33">
                  <c:v>80.2</c:v>
                </c:pt>
                <c:pt idx="34">
                  <c:v>72.400000000000006</c:v>
                </c:pt>
                <c:pt idx="35">
                  <c:v>69.400000000000006</c:v>
                </c:pt>
                <c:pt idx="36">
                  <c:v>60.4</c:v>
                </c:pt>
                <c:pt idx="37">
                  <c:v>58.6</c:v>
                </c:pt>
                <c:pt idx="38">
                  <c:v>55.999999999999993</c:v>
                </c:pt>
                <c:pt idx="39">
                  <c:v>55.199999999999996</c:v>
                </c:pt>
                <c:pt idx="40">
                  <c:v>58.8</c:v>
                </c:pt>
                <c:pt idx="41">
                  <c:v>58.4</c:v>
                </c:pt>
                <c:pt idx="42">
                  <c:v>58.6</c:v>
                </c:pt>
                <c:pt idx="43">
                  <c:v>58.20000000000001</c:v>
                </c:pt>
                <c:pt idx="44">
                  <c:v>57</c:v>
                </c:pt>
                <c:pt idx="45">
                  <c:v>57.199999999999996</c:v>
                </c:pt>
                <c:pt idx="46">
                  <c:v>49.800000000000004</c:v>
                </c:pt>
                <c:pt idx="47">
                  <c:v>50.199999999999996</c:v>
                </c:pt>
                <c:pt idx="48">
                  <c:v>51.8</c:v>
                </c:pt>
                <c:pt idx="49">
                  <c:v>52.8</c:v>
                </c:pt>
                <c:pt idx="50">
                  <c:v>53.399999999999991</c:v>
                </c:pt>
                <c:pt idx="51">
                  <c:v>51.8</c:v>
                </c:pt>
                <c:pt idx="52">
                  <c:v>47.800000000000004</c:v>
                </c:pt>
                <c:pt idx="53">
                  <c:v>48.533333333333331</c:v>
                </c:pt>
                <c:pt idx="54">
                  <c:v>41.25333333333333</c:v>
                </c:pt>
                <c:pt idx="55">
                  <c:v>38.826666666666668</c:v>
                </c:pt>
                <c:pt idx="56">
                  <c:v>46.293333333333329</c:v>
                </c:pt>
                <c:pt idx="57">
                  <c:v>41.81333333333334</c:v>
                </c:pt>
                <c:pt idx="58">
                  <c:v>35.93333333333333</c:v>
                </c:pt>
                <c:pt idx="59">
                  <c:v>38.080000000000005</c:v>
                </c:pt>
                <c:pt idx="60">
                  <c:v>52.173333333333332</c:v>
                </c:pt>
                <c:pt idx="61">
                  <c:v>51.426666666666662</c:v>
                </c:pt>
                <c:pt idx="62">
                  <c:v>50.773333333333333</c:v>
                </c:pt>
                <c:pt idx="63">
                  <c:v>56</c:v>
                </c:pt>
                <c:pt idx="64">
                  <c:v>62.626666666666665</c:v>
                </c:pt>
                <c:pt idx="65">
                  <c:v>53.013333333333328</c:v>
                </c:pt>
                <c:pt idx="66">
                  <c:v>70.14</c:v>
                </c:pt>
                <c:pt idx="67">
                  <c:v>77.513333333333335</c:v>
                </c:pt>
                <c:pt idx="68">
                  <c:v>71.586666666666659</c:v>
                </c:pt>
                <c:pt idx="69">
                  <c:v>71.213333333333338</c:v>
                </c:pt>
                <c:pt idx="70">
                  <c:v>97.486666666666665</c:v>
                </c:pt>
                <c:pt idx="71">
                  <c:v>85.726666666666674</c:v>
                </c:pt>
                <c:pt idx="72">
                  <c:v>75.88000000000001</c:v>
                </c:pt>
                <c:pt idx="73">
                  <c:v>82.506666666666661</c:v>
                </c:pt>
                <c:pt idx="74">
                  <c:v>76.066666666666663</c:v>
                </c:pt>
                <c:pt idx="75">
                  <c:v>63.186666666666675</c:v>
                </c:pt>
                <c:pt idx="76">
                  <c:v>100.61333333333336</c:v>
                </c:pt>
                <c:pt idx="77">
                  <c:v>174.06666666666666</c:v>
                </c:pt>
                <c:pt idx="78">
                  <c:v>237.01999999999998</c:v>
                </c:pt>
                <c:pt idx="79">
                  <c:v>239.11999999999998</c:v>
                </c:pt>
                <c:pt idx="80">
                  <c:v>374.22</c:v>
                </c:pt>
              </c:numCache>
            </c:numRef>
          </c:yVal>
          <c:smooth val="0"/>
        </c:ser>
        <c:ser>
          <c:idx val="2"/>
          <c:order val="4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(All)'!$C$7:$C$107</c:f>
              <c:numCache>
                <c:formatCode>0.0000</c:formatCode>
                <c:ptCount val="92"/>
                <c:pt idx="14">
                  <c:v>50.931138031789246</c:v>
                </c:pt>
                <c:pt idx="15">
                  <c:v>52.369578216521809</c:v>
                </c:pt>
                <c:pt idx="16">
                  <c:v>57.861914480692192</c:v>
                </c:pt>
                <c:pt idx="17">
                  <c:v>67.6835794192544</c:v>
                </c:pt>
                <c:pt idx="18">
                  <c:v>65.200481895461252</c:v>
                </c:pt>
                <c:pt idx="19">
                  <c:v>63.143780322374681</c:v>
                </c:pt>
                <c:pt idx="20">
                  <c:v>57.58375050023794</c:v>
                </c:pt>
                <c:pt idx="21">
                  <c:v>68.881991197067322</c:v>
                </c:pt>
                <c:pt idx="22">
                  <c:v>132.92360761835465</c:v>
                </c:pt>
                <c:pt idx="23">
                  <c:v>188.14404533993084</c:v>
                </c:pt>
                <c:pt idx="24">
                  <c:v>195.96352875846935</c:v>
                </c:pt>
                <c:pt idx="25">
                  <c:v>151.19999999999999</c:v>
                </c:pt>
                <c:pt idx="26">
                  <c:v>126</c:v>
                </c:pt>
                <c:pt idx="27">
                  <c:v>92.2</c:v>
                </c:pt>
                <c:pt idx="28">
                  <c:v>93.000000000000014</c:v>
                </c:pt>
                <c:pt idx="29">
                  <c:v>104.2</c:v>
                </c:pt>
                <c:pt idx="30">
                  <c:v>89.4</c:v>
                </c:pt>
                <c:pt idx="31">
                  <c:v>70.400000000000006</c:v>
                </c:pt>
                <c:pt idx="32">
                  <c:v>84.800000000000011</c:v>
                </c:pt>
                <c:pt idx="33">
                  <c:v>80.2</c:v>
                </c:pt>
                <c:pt idx="34">
                  <c:v>72.400000000000006</c:v>
                </c:pt>
                <c:pt idx="35">
                  <c:v>69.400000000000006</c:v>
                </c:pt>
                <c:pt idx="36">
                  <c:v>60.4</c:v>
                </c:pt>
                <c:pt idx="37">
                  <c:v>58.6</c:v>
                </c:pt>
                <c:pt idx="38">
                  <c:v>55.999999999999993</c:v>
                </c:pt>
                <c:pt idx="39">
                  <c:v>55.199999999999996</c:v>
                </c:pt>
                <c:pt idx="40">
                  <c:v>58.8</c:v>
                </c:pt>
                <c:pt idx="41">
                  <c:v>58.4</c:v>
                </c:pt>
                <c:pt idx="42">
                  <c:v>58.6</c:v>
                </c:pt>
                <c:pt idx="43">
                  <c:v>58.20000000000001</c:v>
                </c:pt>
                <c:pt idx="44">
                  <c:v>57</c:v>
                </c:pt>
                <c:pt idx="45">
                  <c:v>57.199999999999996</c:v>
                </c:pt>
                <c:pt idx="46">
                  <c:v>49.800000000000004</c:v>
                </c:pt>
                <c:pt idx="47">
                  <c:v>50.199999999999996</c:v>
                </c:pt>
                <c:pt idx="48">
                  <c:v>51.8</c:v>
                </c:pt>
                <c:pt idx="49">
                  <c:v>52.8</c:v>
                </c:pt>
                <c:pt idx="50">
                  <c:v>53.399999999999991</c:v>
                </c:pt>
                <c:pt idx="51">
                  <c:v>51.8</c:v>
                </c:pt>
                <c:pt idx="52">
                  <c:v>47.800000000000004</c:v>
                </c:pt>
                <c:pt idx="53">
                  <c:v>48.533333333333331</c:v>
                </c:pt>
                <c:pt idx="54">
                  <c:v>41.25333333333333</c:v>
                </c:pt>
                <c:pt idx="55">
                  <c:v>38.826666666666668</c:v>
                </c:pt>
                <c:pt idx="56">
                  <c:v>46.293333333333329</c:v>
                </c:pt>
                <c:pt idx="57">
                  <c:v>41.81333333333334</c:v>
                </c:pt>
                <c:pt idx="58">
                  <c:v>35.93333333333333</c:v>
                </c:pt>
                <c:pt idx="59">
                  <c:v>38.080000000000005</c:v>
                </c:pt>
                <c:pt idx="60">
                  <c:v>52.173333333333332</c:v>
                </c:pt>
                <c:pt idx="61">
                  <c:v>51.426666666666662</c:v>
                </c:pt>
                <c:pt idx="62">
                  <c:v>50.773333333333333</c:v>
                </c:pt>
                <c:pt idx="63">
                  <c:v>56</c:v>
                </c:pt>
                <c:pt idx="64">
                  <c:v>62.626666666666665</c:v>
                </c:pt>
                <c:pt idx="65">
                  <c:v>53.013333333333328</c:v>
                </c:pt>
                <c:pt idx="66">
                  <c:v>70.14</c:v>
                </c:pt>
                <c:pt idx="67">
                  <c:v>77.513333333333335</c:v>
                </c:pt>
                <c:pt idx="68">
                  <c:v>71.586666666666659</c:v>
                </c:pt>
                <c:pt idx="69">
                  <c:v>71.213333333333338</c:v>
                </c:pt>
                <c:pt idx="70">
                  <c:v>97.486666666666665</c:v>
                </c:pt>
                <c:pt idx="71">
                  <c:v>85.726666666666674</c:v>
                </c:pt>
                <c:pt idx="72">
                  <c:v>75.88000000000001</c:v>
                </c:pt>
                <c:pt idx="73">
                  <c:v>82.506666666666661</c:v>
                </c:pt>
                <c:pt idx="74">
                  <c:v>76.066666666666663</c:v>
                </c:pt>
                <c:pt idx="75">
                  <c:v>63.186666666666675</c:v>
                </c:pt>
                <c:pt idx="76">
                  <c:v>100.61333333333336</c:v>
                </c:pt>
                <c:pt idx="77">
                  <c:v>174.06666666666666</c:v>
                </c:pt>
                <c:pt idx="78">
                  <c:v>237.01999999999998</c:v>
                </c:pt>
                <c:pt idx="79">
                  <c:v>239.11999999999998</c:v>
                </c:pt>
                <c:pt idx="80">
                  <c:v>374.22</c:v>
                </c:pt>
              </c:numCache>
            </c:numRef>
          </c:yVal>
          <c:smooth val="0"/>
        </c:ser>
        <c:ser>
          <c:idx val="3"/>
          <c:order val="5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(All)'!$C$7:$C$107</c:f>
              <c:numCache>
                <c:formatCode>0.0000</c:formatCode>
                <c:ptCount val="92"/>
                <c:pt idx="14">
                  <c:v>50.931138031789246</c:v>
                </c:pt>
                <c:pt idx="15">
                  <c:v>52.369578216521809</c:v>
                </c:pt>
                <c:pt idx="16">
                  <c:v>57.861914480692192</c:v>
                </c:pt>
                <c:pt idx="17">
                  <c:v>67.6835794192544</c:v>
                </c:pt>
                <c:pt idx="18">
                  <c:v>65.200481895461252</c:v>
                </c:pt>
                <c:pt idx="19">
                  <c:v>63.143780322374681</c:v>
                </c:pt>
                <c:pt idx="20">
                  <c:v>57.58375050023794</c:v>
                </c:pt>
                <c:pt idx="21">
                  <c:v>68.881991197067322</c:v>
                </c:pt>
                <c:pt idx="22">
                  <c:v>132.92360761835465</c:v>
                </c:pt>
                <c:pt idx="23">
                  <c:v>188.14404533993084</c:v>
                </c:pt>
                <c:pt idx="24">
                  <c:v>195.96352875846935</c:v>
                </c:pt>
                <c:pt idx="25">
                  <c:v>151.19999999999999</c:v>
                </c:pt>
                <c:pt idx="26">
                  <c:v>126</c:v>
                </c:pt>
                <c:pt idx="27">
                  <c:v>92.2</c:v>
                </c:pt>
                <c:pt idx="28">
                  <c:v>93.000000000000014</c:v>
                </c:pt>
                <c:pt idx="29">
                  <c:v>104.2</c:v>
                </c:pt>
                <c:pt idx="30">
                  <c:v>89.4</c:v>
                </c:pt>
                <c:pt idx="31">
                  <c:v>70.400000000000006</c:v>
                </c:pt>
                <c:pt idx="32">
                  <c:v>84.800000000000011</c:v>
                </c:pt>
                <c:pt idx="33">
                  <c:v>80.2</c:v>
                </c:pt>
                <c:pt idx="34">
                  <c:v>72.400000000000006</c:v>
                </c:pt>
                <c:pt idx="35">
                  <c:v>69.400000000000006</c:v>
                </c:pt>
                <c:pt idx="36">
                  <c:v>60.4</c:v>
                </c:pt>
                <c:pt idx="37">
                  <c:v>58.6</c:v>
                </c:pt>
                <c:pt idx="38">
                  <c:v>55.999999999999993</c:v>
                </c:pt>
                <c:pt idx="39">
                  <c:v>55.199999999999996</c:v>
                </c:pt>
                <c:pt idx="40">
                  <c:v>58.8</c:v>
                </c:pt>
                <c:pt idx="41">
                  <c:v>58.4</c:v>
                </c:pt>
                <c:pt idx="42">
                  <c:v>58.6</c:v>
                </c:pt>
                <c:pt idx="43">
                  <c:v>58.20000000000001</c:v>
                </c:pt>
                <c:pt idx="44">
                  <c:v>57</c:v>
                </c:pt>
                <c:pt idx="45">
                  <c:v>57.199999999999996</c:v>
                </c:pt>
                <c:pt idx="46">
                  <c:v>49.800000000000004</c:v>
                </c:pt>
                <c:pt idx="47">
                  <c:v>50.199999999999996</c:v>
                </c:pt>
                <c:pt idx="48">
                  <c:v>51.8</c:v>
                </c:pt>
                <c:pt idx="49">
                  <c:v>52.8</c:v>
                </c:pt>
                <c:pt idx="50">
                  <c:v>53.399999999999991</c:v>
                </c:pt>
                <c:pt idx="51">
                  <c:v>51.8</c:v>
                </c:pt>
                <c:pt idx="52">
                  <c:v>47.800000000000004</c:v>
                </c:pt>
                <c:pt idx="53">
                  <c:v>48.533333333333331</c:v>
                </c:pt>
                <c:pt idx="54">
                  <c:v>41.25333333333333</c:v>
                </c:pt>
                <c:pt idx="55">
                  <c:v>38.826666666666668</c:v>
                </c:pt>
                <c:pt idx="56">
                  <c:v>46.293333333333329</c:v>
                </c:pt>
                <c:pt idx="57">
                  <c:v>41.81333333333334</c:v>
                </c:pt>
                <c:pt idx="58">
                  <c:v>35.93333333333333</c:v>
                </c:pt>
                <c:pt idx="59">
                  <c:v>38.080000000000005</c:v>
                </c:pt>
                <c:pt idx="60">
                  <c:v>52.173333333333332</c:v>
                </c:pt>
                <c:pt idx="61">
                  <c:v>51.426666666666662</c:v>
                </c:pt>
                <c:pt idx="62">
                  <c:v>50.773333333333333</c:v>
                </c:pt>
                <c:pt idx="63">
                  <c:v>56</c:v>
                </c:pt>
                <c:pt idx="64">
                  <c:v>62.626666666666665</c:v>
                </c:pt>
                <c:pt idx="65">
                  <c:v>53.013333333333328</c:v>
                </c:pt>
                <c:pt idx="66">
                  <c:v>70.14</c:v>
                </c:pt>
                <c:pt idx="67">
                  <c:v>77.513333333333335</c:v>
                </c:pt>
                <c:pt idx="68">
                  <c:v>71.586666666666659</c:v>
                </c:pt>
                <c:pt idx="69">
                  <c:v>71.213333333333338</c:v>
                </c:pt>
                <c:pt idx="70">
                  <c:v>97.486666666666665</c:v>
                </c:pt>
                <c:pt idx="71">
                  <c:v>85.726666666666674</c:v>
                </c:pt>
                <c:pt idx="72">
                  <c:v>75.88000000000001</c:v>
                </c:pt>
                <c:pt idx="73">
                  <c:v>82.506666666666661</c:v>
                </c:pt>
                <c:pt idx="74">
                  <c:v>76.066666666666663</c:v>
                </c:pt>
                <c:pt idx="75">
                  <c:v>63.186666666666675</c:v>
                </c:pt>
                <c:pt idx="76">
                  <c:v>100.61333333333336</c:v>
                </c:pt>
                <c:pt idx="77">
                  <c:v>174.06666666666666</c:v>
                </c:pt>
                <c:pt idx="78">
                  <c:v>237.01999999999998</c:v>
                </c:pt>
                <c:pt idx="79">
                  <c:v>239.11999999999998</c:v>
                </c:pt>
                <c:pt idx="80">
                  <c:v>374.22</c:v>
                </c:pt>
              </c:numCache>
            </c:numRef>
          </c:yVal>
          <c:smooth val="0"/>
        </c:ser>
        <c:ser>
          <c:idx val="1"/>
          <c:order val="6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(All)'!$C$7:$C$107</c:f>
              <c:numCache>
                <c:formatCode>0.0000</c:formatCode>
                <c:ptCount val="92"/>
                <c:pt idx="14">
                  <c:v>50.931138031789246</c:v>
                </c:pt>
                <c:pt idx="15">
                  <c:v>52.369578216521809</c:v>
                </c:pt>
                <c:pt idx="16">
                  <c:v>57.861914480692192</c:v>
                </c:pt>
                <c:pt idx="17">
                  <c:v>67.6835794192544</c:v>
                </c:pt>
                <c:pt idx="18">
                  <c:v>65.200481895461252</c:v>
                </c:pt>
                <c:pt idx="19">
                  <c:v>63.143780322374681</c:v>
                </c:pt>
                <c:pt idx="20">
                  <c:v>57.58375050023794</c:v>
                </c:pt>
                <c:pt idx="21">
                  <c:v>68.881991197067322</c:v>
                </c:pt>
                <c:pt idx="22">
                  <c:v>132.92360761835465</c:v>
                </c:pt>
                <c:pt idx="23">
                  <c:v>188.14404533993084</c:v>
                </c:pt>
                <c:pt idx="24">
                  <c:v>195.96352875846935</c:v>
                </c:pt>
                <c:pt idx="25">
                  <c:v>151.19999999999999</c:v>
                </c:pt>
                <c:pt idx="26">
                  <c:v>126</c:v>
                </c:pt>
                <c:pt idx="27">
                  <c:v>92.2</c:v>
                </c:pt>
                <c:pt idx="28">
                  <c:v>93.000000000000014</c:v>
                </c:pt>
                <c:pt idx="29">
                  <c:v>104.2</c:v>
                </c:pt>
                <c:pt idx="30">
                  <c:v>89.4</c:v>
                </c:pt>
                <c:pt idx="31">
                  <c:v>70.400000000000006</c:v>
                </c:pt>
                <c:pt idx="32">
                  <c:v>84.800000000000011</c:v>
                </c:pt>
                <c:pt idx="33">
                  <c:v>80.2</c:v>
                </c:pt>
                <c:pt idx="34">
                  <c:v>72.400000000000006</c:v>
                </c:pt>
                <c:pt idx="35">
                  <c:v>69.400000000000006</c:v>
                </c:pt>
                <c:pt idx="36">
                  <c:v>60.4</c:v>
                </c:pt>
                <c:pt idx="37">
                  <c:v>58.6</c:v>
                </c:pt>
                <c:pt idx="38">
                  <c:v>55.999999999999993</c:v>
                </c:pt>
                <c:pt idx="39">
                  <c:v>55.199999999999996</c:v>
                </c:pt>
                <c:pt idx="40">
                  <c:v>58.8</c:v>
                </c:pt>
                <c:pt idx="41">
                  <c:v>58.4</c:v>
                </c:pt>
                <c:pt idx="42">
                  <c:v>58.6</c:v>
                </c:pt>
                <c:pt idx="43">
                  <c:v>58.20000000000001</c:v>
                </c:pt>
                <c:pt idx="44">
                  <c:v>57</c:v>
                </c:pt>
                <c:pt idx="45">
                  <c:v>57.199999999999996</c:v>
                </c:pt>
                <c:pt idx="46">
                  <c:v>49.800000000000004</c:v>
                </c:pt>
                <c:pt idx="47">
                  <c:v>50.199999999999996</c:v>
                </c:pt>
                <c:pt idx="48">
                  <c:v>51.8</c:v>
                </c:pt>
                <c:pt idx="49">
                  <c:v>52.8</c:v>
                </c:pt>
                <c:pt idx="50">
                  <c:v>53.399999999999991</c:v>
                </c:pt>
                <c:pt idx="51">
                  <c:v>51.8</c:v>
                </c:pt>
                <c:pt idx="52">
                  <c:v>47.800000000000004</c:v>
                </c:pt>
                <c:pt idx="53">
                  <c:v>48.533333333333331</c:v>
                </c:pt>
                <c:pt idx="54">
                  <c:v>41.25333333333333</c:v>
                </c:pt>
                <c:pt idx="55">
                  <c:v>38.826666666666668</c:v>
                </c:pt>
                <c:pt idx="56">
                  <c:v>46.293333333333329</c:v>
                </c:pt>
                <c:pt idx="57">
                  <c:v>41.81333333333334</c:v>
                </c:pt>
                <c:pt idx="58">
                  <c:v>35.93333333333333</c:v>
                </c:pt>
                <c:pt idx="59">
                  <c:v>38.080000000000005</c:v>
                </c:pt>
                <c:pt idx="60">
                  <c:v>52.173333333333332</c:v>
                </c:pt>
                <c:pt idx="61">
                  <c:v>51.426666666666662</c:v>
                </c:pt>
                <c:pt idx="62">
                  <c:v>50.773333333333333</c:v>
                </c:pt>
                <c:pt idx="63">
                  <c:v>56</c:v>
                </c:pt>
                <c:pt idx="64">
                  <c:v>62.626666666666665</c:v>
                </c:pt>
                <c:pt idx="65">
                  <c:v>53.013333333333328</c:v>
                </c:pt>
                <c:pt idx="66">
                  <c:v>70.14</c:v>
                </c:pt>
                <c:pt idx="67">
                  <c:v>77.513333333333335</c:v>
                </c:pt>
                <c:pt idx="68">
                  <c:v>71.586666666666659</c:v>
                </c:pt>
                <c:pt idx="69">
                  <c:v>71.213333333333338</c:v>
                </c:pt>
                <c:pt idx="70">
                  <c:v>97.486666666666665</c:v>
                </c:pt>
                <c:pt idx="71">
                  <c:v>85.726666666666674</c:v>
                </c:pt>
                <c:pt idx="72">
                  <c:v>75.88000000000001</c:v>
                </c:pt>
                <c:pt idx="73">
                  <c:v>82.506666666666661</c:v>
                </c:pt>
                <c:pt idx="74">
                  <c:v>76.066666666666663</c:v>
                </c:pt>
                <c:pt idx="75">
                  <c:v>63.186666666666675</c:v>
                </c:pt>
                <c:pt idx="76">
                  <c:v>100.61333333333336</c:v>
                </c:pt>
                <c:pt idx="77">
                  <c:v>174.06666666666666</c:v>
                </c:pt>
                <c:pt idx="78">
                  <c:v>237.01999999999998</c:v>
                </c:pt>
                <c:pt idx="79">
                  <c:v>239.11999999999998</c:v>
                </c:pt>
                <c:pt idx="80">
                  <c:v>374.22</c:v>
                </c:pt>
              </c:numCache>
            </c:numRef>
          </c:yVal>
          <c:smooth val="0"/>
        </c:ser>
        <c:ser>
          <c:idx val="0"/>
          <c:order val="7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(All)'!$C$7:$C$107</c:f>
              <c:numCache>
                <c:formatCode>0.0000</c:formatCode>
                <c:ptCount val="92"/>
                <c:pt idx="14">
                  <c:v>50.931138031789246</c:v>
                </c:pt>
                <c:pt idx="15">
                  <c:v>52.369578216521809</c:v>
                </c:pt>
                <c:pt idx="16">
                  <c:v>57.861914480692192</c:v>
                </c:pt>
                <c:pt idx="17">
                  <c:v>67.6835794192544</c:v>
                </c:pt>
                <c:pt idx="18">
                  <c:v>65.200481895461252</c:v>
                </c:pt>
                <c:pt idx="19">
                  <c:v>63.143780322374681</c:v>
                </c:pt>
                <c:pt idx="20">
                  <c:v>57.58375050023794</c:v>
                </c:pt>
                <c:pt idx="21">
                  <c:v>68.881991197067322</c:v>
                </c:pt>
                <c:pt idx="22">
                  <c:v>132.92360761835465</c:v>
                </c:pt>
                <c:pt idx="23">
                  <c:v>188.14404533993084</c:v>
                </c:pt>
                <c:pt idx="24">
                  <c:v>195.96352875846935</c:v>
                </c:pt>
                <c:pt idx="25">
                  <c:v>151.19999999999999</c:v>
                </c:pt>
                <c:pt idx="26">
                  <c:v>126</c:v>
                </c:pt>
                <c:pt idx="27">
                  <c:v>92.2</c:v>
                </c:pt>
                <c:pt idx="28">
                  <c:v>93.000000000000014</c:v>
                </c:pt>
                <c:pt idx="29">
                  <c:v>104.2</c:v>
                </c:pt>
                <c:pt idx="30">
                  <c:v>89.4</c:v>
                </c:pt>
                <c:pt idx="31">
                  <c:v>70.400000000000006</c:v>
                </c:pt>
                <c:pt idx="32">
                  <c:v>84.800000000000011</c:v>
                </c:pt>
                <c:pt idx="33">
                  <c:v>80.2</c:v>
                </c:pt>
                <c:pt idx="34">
                  <c:v>72.400000000000006</c:v>
                </c:pt>
                <c:pt idx="35">
                  <c:v>69.400000000000006</c:v>
                </c:pt>
                <c:pt idx="36">
                  <c:v>60.4</c:v>
                </c:pt>
                <c:pt idx="37">
                  <c:v>58.6</c:v>
                </c:pt>
                <c:pt idx="38">
                  <c:v>55.999999999999993</c:v>
                </c:pt>
                <c:pt idx="39">
                  <c:v>55.199999999999996</c:v>
                </c:pt>
                <c:pt idx="40">
                  <c:v>58.8</c:v>
                </c:pt>
                <c:pt idx="41">
                  <c:v>58.4</c:v>
                </c:pt>
                <c:pt idx="42">
                  <c:v>58.6</c:v>
                </c:pt>
                <c:pt idx="43">
                  <c:v>58.20000000000001</c:v>
                </c:pt>
                <c:pt idx="44">
                  <c:v>57</c:v>
                </c:pt>
                <c:pt idx="45">
                  <c:v>57.199999999999996</c:v>
                </c:pt>
                <c:pt idx="46">
                  <c:v>49.800000000000004</c:v>
                </c:pt>
                <c:pt idx="47">
                  <c:v>50.199999999999996</c:v>
                </c:pt>
                <c:pt idx="48">
                  <c:v>51.8</c:v>
                </c:pt>
                <c:pt idx="49">
                  <c:v>52.8</c:v>
                </c:pt>
                <c:pt idx="50">
                  <c:v>53.399999999999991</c:v>
                </c:pt>
                <c:pt idx="51">
                  <c:v>51.8</c:v>
                </c:pt>
                <c:pt idx="52">
                  <c:v>47.800000000000004</c:v>
                </c:pt>
                <c:pt idx="53">
                  <c:v>48.533333333333331</c:v>
                </c:pt>
                <c:pt idx="54">
                  <c:v>41.25333333333333</c:v>
                </c:pt>
                <c:pt idx="55">
                  <c:v>38.826666666666668</c:v>
                </c:pt>
                <c:pt idx="56">
                  <c:v>46.293333333333329</c:v>
                </c:pt>
                <c:pt idx="57">
                  <c:v>41.81333333333334</c:v>
                </c:pt>
                <c:pt idx="58">
                  <c:v>35.93333333333333</c:v>
                </c:pt>
                <c:pt idx="59">
                  <c:v>38.080000000000005</c:v>
                </c:pt>
                <c:pt idx="60">
                  <c:v>52.173333333333332</c:v>
                </c:pt>
                <c:pt idx="61">
                  <c:v>51.426666666666662</c:v>
                </c:pt>
                <c:pt idx="62">
                  <c:v>50.773333333333333</c:v>
                </c:pt>
                <c:pt idx="63">
                  <c:v>56</c:v>
                </c:pt>
                <c:pt idx="64">
                  <c:v>62.626666666666665</c:v>
                </c:pt>
                <c:pt idx="65">
                  <c:v>53.013333333333328</c:v>
                </c:pt>
                <c:pt idx="66">
                  <c:v>70.14</c:v>
                </c:pt>
                <c:pt idx="67">
                  <c:v>77.513333333333335</c:v>
                </c:pt>
                <c:pt idx="68">
                  <c:v>71.586666666666659</c:v>
                </c:pt>
                <c:pt idx="69">
                  <c:v>71.213333333333338</c:v>
                </c:pt>
                <c:pt idx="70">
                  <c:v>97.486666666666665</c:v>
                </c:pt>
                <c:pt idx="71">
                  <c:v>85.726666666666674</c:v>
                </c:pt>
                <c:pt idx="72">
                  <c:v>75.88000000000001</c:v>
                </c:pt>
                <c:pt idx="73">
                  <c:v>82.506666666666661</c:v>
                </c:pt>
                <c:pt idx="74">
                  <c:v>76.066666666666663</c:v>
                </c:pt>
                <c:pt idx="75">
                  <c:v>63.186666666666675</c:v>
                </c:pt>
                <c:pt idx="76">
                  <c:v>100.61333333333336</c:v>
                </c:pt>
                <c:pt idx="77">
                  <c:v>174.06666666666666</c:v>
                </c:pt>
                <c:pt idx="78">
                  <c:v>237.01999999999998</c:v>
                </c:pt>
                <c:pt idx="79">
                  <c:v>239.11999999999998</c:v>
                </c:pt>
                <c:pt idx="80">
                  <c:v>374.22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3085264"/>
        <c:axId val="543084704"/>
      </c:scatterChart>
      <c:valAx>
        <c:axId val="54308526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3084704"/>
        <c:crosses val="autoZero"/>
        <c:crossBetween val="midCat"/>
        <c:majorUnit val="5"/>
      </c:valAx>
      <c:valAx>
        <c:axId val="543084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308526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Beirut, Exports, in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(All)'!$X$7:$X$107</c:f>
              <c:numCache>
                <c:formatCode>0.0000</c:formatCode>
                <c:ptCount val="92"/>
                <c:pt idx="31">
                  <c:v>49</c:v>
                </c:pt>
                <c:pt idx="32">
                  <c:v>52.5</c:v>
                </c:pt>
                <c:pt idx="33">
                  <c:v>49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(All)'!$X$7:$X$107</c:f>
              <c:numCache>
                <c:formatCode>0.0000</c:formatCode>
                <c:ptCount val="92"/>
                <c:pt idx="31">
                  <c:v>49</c:v>
                </c:pt>
                <c:pt idx="32">
                  <c:v>52.5</c:v>
                </c:pt>
                <c:pt idx="33">
                  <c:v>49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7299136"/>
        <c:axId val="707299696"/>
      </c:scatterChart>
      <c:valAx>
        <c:axId val="70729913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7299696"/>
        <c:crosses val="autoZero"/>
        <c:crossBetween val="midCat"/>
        <c:majorUnit val="5"/>
      </c:valAx>
      <c:valAx>
        <c:axId val="707299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729913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Istanbul (Malatya),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(All)'!$Z$7:$Z$107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(All)'!$Z$7:$Z$107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7302496"/>
        <c:axId val="707303056"/>
      </c:scatterChart>
      <c:valAx>
        <c:axId val="70730249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7303056"/>
        <c:crosses val="autoZero"/>
        <c:crossBetween val="midCat"/>
        <c:majorUnit val="5"/>
      </c:valAx>
      <c:valAx>
        <c:axId val="707303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730249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Istanbul (Geyve),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(All)'!$AC$7:$AC$107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(All)'!$AC$7:$AC$107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7305856"/>
        <c:axId val="707306416"/>
      </c:scatterChart>
      <c:valAx>
        <c:axId val="70730585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7306416"/>
        <c:crosses val="autoZero"/>
        <c:crossBetween val="midCat"/>
        <c:majorUnit val="5"/>
      </c:valAx>
      <c:valAx>
        <c:axId val="707306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730585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Istanbul (Malatya), Exports,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(All)'!$AA$7:$AA$107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(All)'!$AA$7:$AA$107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7309216"/>
        <c:axId val="707309776"/>
      </c:scatterChart>
      <c:valAx>
        <c:axId val="70730921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7309776"/>
        <c:crosses val="autoZero"/>
        <c:crossBetween val="midCat"/>
        <c:majorUnit val="5"/>
      </c:valAx>
      <c:valAx>
        <c:axId val="70730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730921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Istanbul (Malatya), Bazaar (Local),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(All)'!$AB$7:$AB$107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(All)'!$AB$7:$AB$107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7312576"/>
        <c:axId val="707313136"/>
      </c:scatterChart>
      <c:valAx>
        <c:axId val="70731257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7313136"/>
        <c:crosses val="autoZero"/>
        <c:crossBetween val="midCat"/>
        <c:majorUnit val="5"/>
      </c:valAx>
      <c:valAx>
        <c:axId val="707313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731257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Istanbul (Geyve), Exports, in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(All)'!$AD$7:$AD$107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(All)'!$AD$7:$AD$107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5237408"/>
        <c:axId val="705237968"/>
      </c:scatterChart>
      <c:valAx>
        <c:axId val="7052374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237968"/>
        <c:crosses val="autoZero"/>
        <c:crossBetween val="midCat"/>
        <c:majorUnit val="5"/>
      </c:valAx>
      <c:valAx>
        <c:axId val="705237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2374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Istanbul (Geyve), Bazaar (Local), in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(All)'!$AE$7:$AE$107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(All)'!$AE$7:$AE$107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5240768"/>
        <c:axId val="705241328"/>
      </c:scatterChart>
      <c:valAx>
        <c:axId val="7052407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241328"/>
        <c:crosses val="autoZero"/>
        <c:crossBetween val="midCat"/>
        <c:majorUnit val="5"/>
      </c:valAx>
      <c:valAx>
        <c:axId val="705241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2407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Turkey, Exports,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(All)'!$AJ$7:$AJ$107</c:f>
              <c:numCache>
                <c:formatCode>0.0000</c:formatCode>
                <c:ptCount val="92"/>
                <c:pt idx="71">
                  <c:v>49.634710835982375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(All)'!$AJ$7:$AJ$107</c:f>
              <c:numCache>
                <c:formatCode>0.0000</c:formatCode>
                <c:ptCount val="92"/>
                <c:pt idx="71">
                  <c:v>49.634710835982375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5244128"/>
        <c:axId val="705244688"/>
      </c:scatterChart>
      <c:valAx>
        <c:axId val="70524412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244688"/>
        <c:crosses val="autoZero"/>
        <c:crossBetween val="midCat"/>
        <c:majorUnit val="5"/>
      </c:valAx>
      <c:valAx>
        <c:axId val="705244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2441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Turkey,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(All)'!$AI$7:$AI$107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(All)'!$AI$7:$AI$107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5247488"/>
        <c:axId val="705248048"/>
      </c:scatterChart>
      <c:valAx>
        <c:axId val="7052474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248048"/>
        <c:crosses val="autoZero"/>
        <c:crossBetween val="midCat"/>
        <c:majorUnit val="5"/>
      </c:valAx>
      <c:valAx>
        <c:axId val="70524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2474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Turkey, Bazaar (Local),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(All)'!$AK$7:$AK$107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(All)'!$AK$7:$AK$107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5250848"/>
        <c:axId val="705251408"/>
      </c:scatterChart>
      <c:valAx>
        <c:axId val="7052508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251408"/>
        <c:crosses val="autoZero"/>
        <c:crossBetween val="midCat"/>
        <c:majorUnit val="5"/>
      </c:valAx>
      <c:valAx>
        <c:axId val="705251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2508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Baghdad, Exports,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4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(All)'!$F$7:$F$107</c:f>
              <c:numCache>
                <c:formatCode>0.0000</c:formatCode>
                <c:ptCount val="92"/>
                <c:pt idx="29">
                  <c:v>50.323108412070816</c:v>
                </c:pt>
                <c:pt idx="30">
                  <c:v>59.163495582220065</c:v>
                </c:pt>
                <c:pt idx="44">
                  <c:v>35.185185185185283</c:v>
                </c:pt>
                <c:pt idx="47">
                  <c:v>50.000000000000064</c:v>
                </c:pt>
                <c:pt idx="48">
                  <c:v>23.750000000000064</c:v>
                </c:pt>
                <c:pt idx="49">
                  <c:v>35</c:v>
                </c:pt>
                <c:pt idx="64">
                  <c:v>60.122699386503037</c:v>
                </c:pt>
                <c:pt idx="71">
                  <c:v>53.118279569892543</c:v>
                </c:pt>
              </c:numCache>
            </c:numRef>
          </c:yVal>
          <c:smooth val="0"/>
        </c:ser>
        <c:ser>
          <c:idx val="5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(All)'!$F$7:$F$107</c:f>
              <c:numCache>
                <c:formatCode>0.0000</c:formatCode>
                <c:ptCount val="92"/>
                <c:pt idx="29">
                  <c:v>50.323108412070816</c:v>
                </c:pt>
                <c:pt idx="30">
                  <c:v>59.163495582220065</c:v>
                </c:pt>
                <c:pt idx="44">
                  <c:v>35.185185185185283</c:v>
                </c:pt>
                <c:pt idx="47">
                  <c:v>50.000000000000064</c:v>
                </c:pt>
                <c:pt idx="48">
                  <c:v>23.750000000000064</c:v>
                </c:pt>
                <c:pt idx="49">
                  <c:v>35</c:v>
                </c:pt>
                <c:pt idx="64">
                  <c:v>60.122699386503037</c:v>
                </c:pt>
                <c:pt idx="71">
                  <c:v>53.118279569892543</c:v>
                </c:pt>
              </c:numCache>
            </c:numRef>
          </c:yVal>
          <c:smooth val="0"/>
        </c:ser>
        <c:ser>
          <c:idx val="6"/>
          <c:order val="2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(All)'!$F$7:$F$107</c:f>
              <c:numCache>
                <c:formatCode>0.0000</c:formatCode>
                <c:ptCount val="92"/>
                <c:pt idx="29">
                  <c:v>50.323108412070816</c:v>
                </c:pt>
                <c:pt idx="30">
                  <c:v>59.163495582220065</c:v>
                </c:pt>
                <c:pt idx="44">
                  <c:v>35.185185185185283</c:v>
                </c:pt>
                <c:pt idx="47">
                  <c:v>50.000000000000064</c:v>
                </c:pt>
                <c:pt idx="48">
                  <c:v>23.750000000000064</c:v>
                </c:pt>
                <c:pt idx="49">
                  <c:v>35</c:v>
                </c:pt>
                <c:pt idx="64">
                  <c:v>60.122699386503037</c:v>
                </c:pt>
                <c:pt idx="71">
                  <c:v>53.118279569892543</c:v>
                </c:pt>
              </c:numCache>
            </c:numRef>
          </c:yVal>
          <c:smooth val="0"/>
        </c:ser>
        <c:ser>
          <c:idx val="7"/>
          <c:order val="3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(All)'!$F$7:$F$107</c:f>
              <c:numCache>
                <c:formatCode>0.0000</c:formatCode>
                <c:ptCount val="92"/>
                <c:pt idx="29">
                  <c:v>50.323108412070816</c:v>
                </c:pt>
                <c:pt idx="30">
                  <c:v>59.163495582220065</c:v>
                </c:pt>
                <c:pt idx="44">
                  <c:v>35.185185185185283</c:v>
                </c:pt>
                <c:pt idx="47">
                  <c:v>50.000000000000064</c:v>
                </c:pt>
                <c:pt idx="48">
                  <c:v>23.750000000000064</c:v>
                </c:pt>
                <c:pt idx="49">
                  <c:v>35</c:v>
                </c:pt>
                <c:pt idx="64">
                  <c:v>60.122699386503037</c:v>
                </c:pt>
                <c:pt idx="71">
                  <c:v>53.118279569892543</c:v>
                </c:pt>
              </c:numCache>
            </c:numRef>
          </c:yVal>
          <c:smooth val="0"/>
        </c:ser>
        <c:ser>
          <c:idx val="2"/>
          <c:order val="4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(All)'!$F$7:$F$107</c:f>
              <c:numCache>
                <c:formatCode>0.0000</c:formatCode>
                <c:ptCount val="92"/>
                <c:pt idx="29">
                  <c:v>50.323108412070816</c:v>
                </c:pt>
                <c:pt idx="30">
                  <c:v>59.163495582220065</c:v>
                </c:pt>
                <c:pt idx="44">
                  <c:v>35.185185185185283</c:v>
                </c:pt>
                <c:pt idx="47">
                  <c:v>50.000000000000064</c:v>
                </c:pt>
                <c:pt idx="48">
                  <c:v>23.750000000000064</c:v>
                </c:pt>
                <c:pt idx="49">
                  <c:v>35</c:v>
                </c:pt>
                <c:pt idx="64">
                  <c:v>60.122699386503037</c:v>
                </c:pt>
                <c:pt idx="71">
                  <c:v>53.118279569892543</c:v>
                </c:pt>
              </c:numCache>
            </c:numRef>
          </c:yVal>
          <c:smooth val="0"/>
        </c:ser>
        <c:ser>
          <c:idx val="3"/>
          <c:order val="5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(All)'!$F$7:$F$107</c:f>
              <c:numCache>
                <c:formatCode>0.0000</c:formatCode>
                <c:ptCount val="92"/>
                <c:pt idx="29">
                  <c:v>50.323108412070816</c:v>
                </c:pt>
                <c:pt idx="30">
                  <c:v>59.163495582220065</c:v>
                </c:pt>
                <c:pt idx="44">
                  <c:v>35.185185185185283</c:v>
                </c:pt>
                <c:pt idx="47">
                  <c:v>50.000000000000064</c:v>
                </c:pt>
                <c:pt idx="48">
                  <c:v>23.750000000000064</c:v>
                </c:pt>
                <c:pt idx="49">
                  <c:v>35</c:v>
                </c:pt>
                <c:pt idx="64">
                  <c:v>60.122699386503037</c:v>
                </c:pt>
                <c:pt idx="71">
                  <c:v>53.118279569892543</c:v>
                </c:pt>
              </c:numCache>
            </c:numRef>
          </c:yVal>
          <c:smooth val="0"/>
        </c:ser>
        <c:ser>
          <c:idx val="1"/>
          <c:order val="6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(All)'!$F$7:$F$107</c:f>
              <c:numCache>
                <c:formatCode>0.0000</c:formatCode>
                <c:ptCount val="92"/>
                <c:pt idx="29">
                  <c:v>50.323108412070816</c:v>
                </c:pt>
                <c:pt idx="30">
                  <c:v>59.163495582220065</c:v>
                </c:pt>
                <c:pt idx="44">
                  <c:v>35.185185185185283</c:v>
                </c:pt>
                <c:pt idx="47">
                  <c:v>50.000000000000064</c:v>
                </c:pt>
                <c:pt idx="48">
                  <c:v>23.750000000000064</c:v>
                </c:pt>
                <c:pt idx="49">
                  <c:v>35</c:v>
                </c:pt>
                <c:pt idx="64">
                  <c:v>60.122699386503037</c:v>
                </c:pt>
                <c:pt idx="71">
                  <c:v>53.118279569892543</c:v>
                </c:pt>
              </c:numCache>
            </c:numRef>
          </c:yVal>
          <c:smooth val="0"/>
        </c:ser>
        <c:ser>
          <c:idx val="0"/>
          <c:order val="7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(All)'!$F$7:$F$107</c:f>
              <c:numCache>
                <c:formatCode>0.0000</c:formatCode>
                <c:ptCount val="92"/>
                <c:pt idx="29">
                  <c:v>50.323108412070816</c:v>
                </c:pt>
                <c:pt idx="30">
                  <c:v>59.163495582220065</c:v>
                </c:pt>
                <c:pt idx="44">
                  <c:v>35.185185185185283</c:v>
                </c:pt>
                <c:pt idx="47">
                  <c:v>50.000000000000064</c:v>
                </c:pt>
                <c:pt idx="48">
                  <c:v>23.750000000000064</c:v>
                </c:pt>
                <c:pt idx="49">
                  <c:v>35</c:v>
                </c:pt>
                <c:pt idx="64">
                  <c:v>60.122699386503037</c:v>
                </c:pt>
                <c:pt idx="71">
                  <c:v>53.118279569892543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3060624"/>
        <c:axId val="543061184"/>
      </c:scatterChart>
      <c:valAx>
        <c:axId val="54306062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3061184"/>
        <c:crosses val="autoZero"/>
        <c:crossBetween val="midCat"/>
        <c:majorUnit val="5"/>
      </c:valAx>
      <c:valAx>
        <c:axId val="543061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306062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Constantinople,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(All)'!$AL$7:$AL$107</c:f>
              <c:numCache>
                <c:formatCode>0.0000</c:formatCode>
                <c:ptCount val="92"/>
                <c:pt idx="60">
                  <c:v>35.490605427974948</c:v>
                </c:pt>
                <c:pt idx="70">
                  <c:v>22.916666666666668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(All)'!$AL$7:$AL$107</c:f>
              <c:numCache>
                <c:formatCode>0.0000</c:formatCode>
                <c:ptCount val="92"/>
                <c:pt idx="60">
                  <c:v>35.490605427974948</c:v>
                </c:pt>
                <c:pt idx="70">
                  <c:v>22.916666666666668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5254208"/>
        <c:axId val="705254768"/>
      </c:scatterChart>
      <c:valAx>
        <c:axId val="7052542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254768"/>
        <c:crosses val="autoZero"/>
        <c:crossBetween val="midCat"/>
        <c:majorUnit val="5"/>
      </c:valAx>
      <c:valAx>
        <c:axId val="705254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2542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Constantinople, Exports,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(All)'!$AM$7:$AM$107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(All)'!$AM$7:$AM$107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5257568"/>
        <c:axId val="705258128"/>
      </c:scatterChart>
      <c:valAx>
        <c:axId val="7052575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258128"/>
        <c:crosses val="autoZero"/>
        <c:crossBetween val="midCat"/>
        <c:majorUnit val="5"/>
      </c:valAx>
      <c:valAx>
        <c:axId val="705258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2575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Constantinople, Bazaar (Local),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(All)'!$AN$7:$AN$107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(All)'!$AN$7:$AN$107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5260928"/>
        <c:axId val="705261488"/>
      </c:scatterChart>
      <c:valAx>
        <c:axId val="70526092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261488"/>
        <c:crosses val="autoZero"/>
        <c:crossBetween val="midCat"/>
        <c:majorUnit val="5"/>
      </c:valAx>
      <c:valAx>
        <c:axId val="705261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2609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Trebizond (Anatolia),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(All)'!$AO$7:$AO$107</c:f>
              <c:numCache>
                <c:formatCode>0.0000</c:formatCode>
                <c:ptCount val="92"/>
                <c:pt idx="43">
                  <c:v>40</c:v>
                </c:pt>
                <c:pt idx="44">
                  <c:v>40</c:v>
                </c:pt>
                <c:pt idx="45">
                  <c:v>41.428571428571431</c:v>
                </c:pt>
                <c:pt idx="46">
                  <c:v>40</c:v>
                </c:pt>
                <c:pt idx="47">
                  <c:v>39.677419354838712</c:v>
                </c:pt>
                <c:pt idx="48">
                  <c:v>40</c:v>
                </c:pt>
                <c:pt idx="49">
                  <c:v>36.721311475409834</c:v>
                </c:pt>
                <c:pt idx="50">
                  <c:v>40</c:v>
                </c:pt>
                <c:pt idx="51">
                  <c:v>40</c:v>
                </c:pt>
                <c:pt idx="52">
                  <c:v>40.128205128205124</c:v>
                </c:pt>
                <c:pt idx="53">
                  <c:v>40</c:v>
                </c:pt>
                <c:pt idx="54">
                  <c:v>40</c:v>
                </c:pt>
                <c:pt idx="55">
                  <c:v>40</c:v>
                </c:pt>
                <c:pt idx="56">
                  <c:v>40.149253731343286</c:v>
                </c:pt>
                <c:pt idx="57">
                  <c:v>40</c:v>
                </c:pt>
                <c:pt idx="58">
                  <c:v>40</c:v>
                </c:pt>
                <c:pt idx="59">
                  <c:v>40</c:v>
                </c:pt>
                <c:pt idx="60">
                  <c:v>48.695652173913047</c:v>
                </c:pt>
                <c:pt idx="61">
                  <c:v>51.981132075471699</c:v>
                </c:pt>
                <c:pt idx="62">
                  <c:v>48.078817733990149</c:v>
                </c:pt>
                <c:pt idx="63">
                  <c:v>51.980198019801982</c:v>
                </c:pt>
                <c:pt idx="64">
                  <c:v>60.111111111111114</c:v>
                </c:pt>
                <c:pt idx="65">
                  <c:v>60.08620689655173</c:v>
                </c:pt>
                <c:pt idx="66">
                  <c:v>72.173913043478265</c:v>
                </c:pt>
                <c:pt idx="67">
                  <c:v>79.941348973607035</c:v>
                </c:pt>
                <c:pt idx="68">
                  <c:v>45.453100158982515</c:v>
                </c:pt>
                <c:pt idx="69">
                  <c:v>26.97674418604651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(All)'!$AO$7:$AO$107</c:f>
              <c:numCache>
                <c:formatCode>0.0000</c:formatCode>
                <c:ptCount val="92"/>
                <c:pt idx="43">
                  <c:v>40</c:v>
                </c:pt>
                <c:pt idx="44">
                  <c:v>40</c:v>
                </c:pt>
                <c:pt idx="45">
                  <c:v>41.428571428571431</c:v>
                </c:pt>
                <c:pt idx="46">
                  <c:v>40</c:v>
                </c:pt>
                <c:pt idx="47">
                  <c:v>39.677419354838712</c:v>
                </c:pt>
                <c:pt idx="48">
                  <c:v>40</c:v>
                </c:pt>
                <c:pt idx="49">
                  <c:v>36.721311475409834</c:v>
                </c:pt>
                <c:pt idx="50">
                  <c:v>40</c:v>
                </c:pt>
                <c:pt idx="51">
                  <c:v>40</c:v>
                </c:pt>
                <c:pt idx="52">
                  <c:v>40.128205128205124</c:v>
                </c:pt>
                <c:pt idx="53">
                  <c:v>40</c:v>
                </c:pt>
                <c:pt idx="54">
                  <c:v>40</c:v>
                </c:pt>
                <c:pt idx="55">
                  <c:v>40</c:v>
                </c:pt>
                <c:pt idx="56">
                  <c:v>40.149253731343286</c:v>
                </c:pt>
                <c:pt idx="57">
                  <c:v>40</c:v>
                </c:pt>
                <c:pt idx="58">
                  <c:v>40</c:v>
                </c:pt>
                <c:pt idx="59">
                  <c:v>40</c:v>
                </c:pt>
                <c:pt idx="60">
                  <c:v>48.695652173913047</c:v>
                </c:pt>
                <c:pt idx="61">
                  <c:v>51.981132075471699</c:v>
                </c:pt>
                <c:pt idx="62">
                  <c:v>48.078817733990149</c:v>
                </c:pt>
                <c:pt idx="63">
                  <c:v>51.980198019801982</c:v>
                </c:pt>
                <c:pt idx="64">
                  <c:v>60.111111111111114</c:v>
                </c:pt>
                <c:pt idx="65">
                  <c:v>60.08620689655173</c:v>
                </c:pt>
                <c:pt idx="66">
                  <c:v>72.173913043478265</c:v>
                </c:pt>
                <c:pt idx="67">
                  <c:v>79.941348973607035</c:v>
                </c:pt>
                <c:pt idx="68">
                  <c:v>45.453100158982515</c:v>
                </c:pt>
                <c:pt idx="69">
                  <c:v>26.97674418604651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5264288"/>
        <c:axId val="705264848"/>
      </c:scatterChart>
      <c:valAx>
        <c:axId val="7052642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264848"/>
        <c:crosses val="autoZero"/>
        <c:crossBetween val="midCat"/>
        <c:majorUnit val="5"/>
      </c:valAx>
      <c:valAx>
        <c:axId val="70526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2642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Trebizond (Anatolia), Exports, in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(All)'!$AP$7:$AP$107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(All)'!$AQ$7:$AQ$107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5267648"/>
        <c:axId val="705268208"/>
      </c:scatterChart>
      <c:valAx>
        <c:axId val="7052676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268208"/>
        <c:crosses val="autoZero"/>
        <c:crossBetween val="midCat"/>
        <c:majorUnit val="5"/>
      </c:valAx>
      <c:valAx>
        <c:axId val="70526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2676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Trebizond (Anatolia), Bazaar (Local), in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(All)'!$AQ$7:$AQ$107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(All)'!$AQ$7:$AQ$107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5271008"/>
        <c:axId val="705271568"/>
      </c:scatterChart>
      <c:valAx>
        <c:axId val="7052710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271568"/>
        <c:crosses val="autoZero"/>
        <c:crossBetween val="midCat"/>
        <c:majorUnit val="5"/>
      </c:valAx>
      <c:valAx>
        <c:axId val="705271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2710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Trebizond (Persia), Imports, in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(All)'!$AR$7:$AR$107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(All)'!$AR$7:$AR$107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5274368"/>
        <c:axId val="705274928"/>
      </c:scatterChart>
      <c:valAx>
        <c:axId val="7052743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274928"/>
        <c:crosses val="autoZero"/>
        <c:crossBetween val="midCat"/>
        <c:majorUnit val="5"/>
      </c:valAx>
      <c:valAx>
        <c:axId val="705274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2743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Trebizond (Persia), Exports, in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(All)'!$AS$7:$AS$107</c:f>
              <c:numCache>
                <c:formatCode>0.0000</c:formatCode>
                <c:ptCount val="92"/>
                <c:pt idx="29">
                  <c:v>40</c:v>
                </c:pt>
                <c:pt idx="30">
                  <c:v>40</c:v>
                </c:pt>
                <c:pt idx="31">
                  <c:v>40</c:v>
                </c:pt>
                <c:pt idx="32">
                  <c:v>40</c:v>
                </c:pt>
                <c:pt idx="33">
                  <c:v>40</c:v>
                </c:pt>
                <c:pt idx="34">
                  <c:v>53.333333333333329</c:v>
                </c:pt>
                <c:pt idx="35">
                  <c:v>53.333333333333329</c:v>
                </c:pt>
                <c:pt idx="44">
                  <c:v>40</c:v>
                </c:pt>
                <c:pt idx="45">
                  <c:v>40</c:v>
                </c:pt>
                <c:pt idx="46">
                  <c:v>40</c:v>
                </c:pt>
                <c:pt idx="47">
                  <c:v>40</c:v>
                </c:pt>
                <c:pt idx="48">
                  <c:v>39.928057553956833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(All)'!$AS$7:$AS$107</c:f>
              <c:numCache>
                <c:formatCode>0.0000</c:formatCode>
                <c:ptCount val="92"/>
                <c:pt idx="29">
                  <c:v>40</c:v>
                </c:pt>
                <c:pt idx="30">
                  <c:v>40</c:v>
                </c:pt>
                <c:pt idx="31">
                  <c:v>40</c:v>
                </c:pt>
                <c:pt idx="32">
                  <c:v>40</c:v>
                </c:pt>
                <c:pt idx="33">
                  <c:v>40</c:v>
                </c:pt>
                <c:pt idx="34">
                  <c:v>53.333333333333329</c:v>
                </c:pt>
                <c:pt idx="35">
                  <c:v>53.333333333333329</c:v>
                </c:pt>
                <c:pt idx="44">
                  <c:v>40</c:v>
                </c:pt>
                <c:pt idx="45">
                  <c:v>40</c:v>
                </c:pt>
                <c:pt idx="46">
                  <c:v>40</c:v>
                </c:pt>
                <c:pt idx="47">
                  <c:v>40</c:v>
                </c:pt>
                <c:pt idx="48">
                  <c:v>39.928057553956833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5277728"/>
        <c:axId val="705278288"/>
      </c:scatterChart>
      <c:valAx>
        <c:axId val="70527772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278288"/>
        <c:crosses val="autoZero"/>
        <c:crossBetween val="midCat"/>
        <c:majorUnit val="5"/>
      </c:valAx>
      <c:valAx>
        <c:axId val="70527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2777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Adana, in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(All)'!$AT$7:$AT$107</c:f>
              <c:numCache>
                <c:formatCode>0.0000</c:formatCode>
                <c:ptCount val="92"/>
                <c:pt idx="36">
                  <c:v>39.478343779265451</c:v>
                </c:pt>
                <c:pt idx="37">
                  <c:v>46.221539145289043</c:v>
                </c:pt>
                <c:pt idx="38">
                  <c:v>44.355088421834061</c:v>
                </c:pt>
                <c:pt idx="39">
                  <c:v>43.757207747887684</c:v>
                </c:pt>
                <c:pt idx="40">
                  <c:v>59.926279625667441</c:v>
                </c:pt>
                <c:pt idx="41">
                  <c:v>48.040663595398485</c:v>
                </c:pt>
                <c:pt idx="42">
                  <c:v>52.524458864302346</c:v>
                </c:pt>
                <c:pt idx="45">
                  <c:v>43.699211033443966</c:v>
                </c:pt>
                <c:pt idx="46">
                  <c:v>44.411494739815019</c:v>
                </c:pt>
                <c:pt idx="47">
                  <c:v>44.857046164483954</c:v>
                </c:pt>
                <c:pt idx="48">
                  <c:v>41.989004129543581</c:v>
                </c:pt>
                <c:pt idx="49">
                  <c:v>47.663245460322351</c:v>
                </c:pt>
                <c:pt idx="50">
                  <c:v>43.781171169436369</c:v>
                </c:pt>
                <c:pt idx="51">
                  <c:v>39.392101347455736</c:v>
                </c:pt>
                <c:pt idx="52">
                  <c:v>35.104122236334526</c:v>
                </c:pt>
                <c:pt idx="53">
                  <c:v>37.694750811994204</c:v>
                </c:pt>
                <c:pt idx="54">
                  <c:v>32.488408764621433</c:v>
                </c:pt>
                <c:pt idx="55">
                  <c:v>27.519363415014876</c:v>
                </c:pt>
                <c:pt idx="56">
                  <c:v>31.510440370145325</c:v>
                </c:pt>
                <c:pt idx="57">
                  <c:v>30.003834008404805</c:v>
                </c:pt>
                <c:pt idx="58">
                  <c:v>30.700963259466892</c:v>
                </c:pt>
                <c:pt idx="59">
                  <c:v>29.08351680636807</c:v>
                </c:pt>
                <c:pt idx="60">
                  <c:v>41.329208093259894</c:v>
                </c:pt>
                <c:pt idx="61">
                  <c:v>33.663552278189762</c:v>
                </c:pt>
                <c:pt idx="62">
                  <c:v>35.910402726571</c:v>
                </c:pt>
                <c:pt idx="63">
                  <c:v>45.896435258491174</c:v>
                </c:pt>
                <c:pt idx="64">
                  <c:v>47.501334622798559</c:v>
                </c:pt>
                <c:pt idx="65">
                  <c:v>43.212655273317111</c:v>
                </c:pt>
                <c:pt idx="66">
                  <c:v>45.675143987034431</c:v>
                </c:pt>
                <c:pt idx="67">
                  <c:v>46.842760367131802</c:v>
                </c:pt>
                <c:pt idx="68">
                  <c:v>43.134158787622042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(All)'!$AT$7:$AT$107</c:f>
              <c:numCache>
                <c:formatCode>0.0000</c:formatCode>
                <c:ptCount val="92"/>
                <c:pt idx="36">
                  <c:v>39.478343779265451</c:v>
                </c:pt>
                <c:pt idx="37">
                  <c:v>46.221539145289043</c:v>
                </c:pt>
                <c:pt idx="38">
                  <c:v>44.355088421834061</c:v>
                </c:pt>
                <c:pt idx="39">
                  <c:v>43.757207747887684</c:v>
                </c:pt>
                <c:pt idx="40">
                  <c:v>59.926279625667441</c:v>
                </c:pt>
                <c:pt idx="41">
                  <c:v>48.040663595398485</c:v>
                </c:pt>
                <c:pt idx="42">
                  <c:v>52.524458864302346</c:v>
                </c:pt>
                <c:pt idx="45">
                  <c:v>43.699211033443966</c:v>
                </c:pt>
                <c:pt idx="46">
                  <c:v>44.411494739815019</c:v>
                </c:pt>
                <c:pt idx="47">
                  <c:v>44.857046164483954</c:v>
                </c:pt>
                <c:pt idx="48">
                  <c:v>41.989004129543581</c:v>
                </c:pt>
                <c:pt idx="49">
                  <c:v>47.663245460322351</c:v>
                </c:pt>
                <c:pt idx="50">
                  <c:v>43.781171169436369</c:v>
                </c:pt>
                <c:pt idx="51">
                  <c:v>39.392101347455736</c:v>
                </c:pt>
                <c:pt idx="52">
                  <c:v>35.104122236334526</c:v>
                </c:pt>
                <c:pt idx="53">
                  <c:v>37.694750811994204</c:v>
                </c:pt>
                <c:pt idx="54">
                  <c:v>32.488408764621433</c:v>
                </c:pt>
                <c:pt idx="55">
                  <c:v>27.519363415014876</c:v>
                </c:pt>
                <c:pt idx="56">
                  <c:v>31.510440370145325</c:v>
                </c:pt>
                <c:pt idx="57">
                  <c:v>30.003834008404805</c:v>
                </c:pt>
                <c:pt idx="58">
                  <c:v>30.700963259466892</c:v>
                </c:pt>
                <c:pt idx="59">
                  <c:v>29.08351680636807</c:v>
                </c:pt>
                <c:pt idx="60">
                  <c:v>41.329208093259894</c:v>
                </c:pt>
                <c:pt idx="61">
                  <c:v>33.663552278189762</c:v>
                </c:pt>
                <c:pt idx="62">
                  <c:v>35.910402726571</c:v>
                </c:pt>
                <c:pt idx="63">
                  <c:v>45.896435258491174</c:v>
                </c:pt>
                <c:pt idx="64">
                  <c:v>47.501334622798559</c:v>
                </c:pt>
                <c:pt idx="65">
                  <c:v>43.212655273317111</c:v>
                </c:pt>
                <c:pt idx="66">
                  <c:v>45.675143987034431</c:v>
                </c:pt>
                <c:pt idx="67">
                  <c:v>46.842760367131802</c:v>
                </c:pt>
                <c:pt idx="68">
                  <c:v>43.134158787622042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5281088"/>
        <c:axId val="705281648"/>
      </c:scatterChart>
      <c:valAx>
        <c:axId val="7052810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281648"/>
        <c:crosses val="autoZero"/>
        <c:crossBetween val="midCat"/>
        <c:majorUnit val="5"/>
      </c:valAx>
      <c:valAx>
        <c:axId val="705281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2810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Izmir,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(All)'!$AU$7:$AU$107</c:f>
              <c:numCache>
                <c:formatCode>0.0000</c:formatCode>
                <c:ptCount val="92"/>
                <c:pt idx="36">
                  <c:v>45.424616056577165</c:v>
                </c:pt>
                <c:pt idx="37">
                  <c:v>49.654438604355605</c:v>
                </c:pt>
                <c:pt idx="38">
                  <c:v>47.064695417058978</c:v>
                </c:pt>
                <c:pt idx="39">
                  <c:v>45.573102580798697</c:v>
                </c:pt>
                <c:pt idx="40">
                  <c:v>65.833501964064581</c:v>
                </c:pt>
                <c:pt idx="41">
                  <c:v>52.524458864302346</c:v>
                </c:pt>
                <c:pt idx="42">
                  <c:v>58.716366616598151</c:v>
                </c:pt>
                <c:pt idx="53">
                  <c:v>36.586081670464957</c:v>
                </c:pt>
                <c:pt idx="54">
                  <c:v>32.949704629433505</c:v>
                </c:pt>
                <c:pt idx="55">
                  <c:v>26.640366549179017</c:v>
                </c:pt>
                <c:pt idx="56">
                  <c:v>32.719644628141879</c:v>
                </c:pt>
                <c:pt idx="57">
                  <c:v>34.888179079540471</c:v>
                </c:pt>
                <c:pt idx="58">
                  <c:v>29.242320208677743</c:v>
                </c:pt>
                <c:pt idx="59">
                  <c:v>31.936206253882649</c:v>
                </c:pt>
                <c:pt idx="60">
                  <c:v>41.746674841676658</c:v>
                </c:pt>
                <c:pt idx="61">
                  <c:v>39.866567087214378</c:v>
                </c:pt>
                <c:pt idx="62">
                  <c:v>39.522280757096517</c:v>
                </c:pt>
                <c:pt idx="63">
                  <c:v>51.517859111856765</c:v>
                </c:pt>
                <c:pt idx="64">
                  <c:v>51.495440837328168</c:v>
                </c:pt>
                <c:pt idx="65">
                  <c:v>47.576148151078776</c:v>
                </c:pt>
                <c:pt idx="66">
                  <c:v>51.402213124727616</c:v>
                </c:pt>
                <c:pt idx="67">
                  <c:v>49.984652830780881</c:v>
                </c:pt>
                <c:pt idx="68">
                  <c:v>46.153549902755586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(All)'!$AU$7:$AU$107</c:f>
              <c:numCache>
                <c:formatCode>0.0000</c:formatCode>
                <c:ptCount val="92"/>
                <c:pt idx="36">
                  <c:v>45.424616056577165</c:v>
                </c:pt>
                <c:pt idx="37">
                  <c:v>49.654438604355605</c:v>
                </c:pt>
                <c:pt idx="38">
                  <c:v>47.064695417058978</c:v>
                </c:pt>
                <c:pt idx="39">
                  <c:v>45.573102580798697</c:v>
                </c:pt>
                <c:pt idx="40">
                  <c:v>65.833501964064581</c:v>
                </c:pt>
                <c:pt idx="41">
                  <c:v>52.524458864302346</c:v>
                </c:pt>
                <c:pt idx="42">
                  <c:v>58.716366616598151</c:v>
                </c:pt>
                <c:pt idx="53">
                  <c:v>36.586081670464957</c:v>
                </c:pt>
                <c:pt idx="54">
                  <c:v>32.949704629433505</c:v>
                </c:pt>
                <c:pt idx="55">
                  <c:v>26.640366549179017</c:v>
                </c:pt>
                <c:pt idx="56">
                  <c:v>32.719644628141879</c:v>
                </c:pt>
                <c:pt idx="57">
                  <c:v>34.888179079540471</c:v>
                </c:pt>
                <c:pt idx="58">
                  <c:v>29.242320208677743</c:v>
                </c:pt>
                <c:pt idx="59">
                  <c:v>31.936206253882649</c:v>
                </c:pt>
                <c:pt idx="60">
                  <c:v>41.746674841676658</c:v>
                </c:pt>
                <c:pt idx="61">
                  <c:v>39.866567087214378</c:v>
                </c:pt>
                <c:pt idx="62">
                  <c:v>39.522280757096517</c:v>
                </c:pt>
                <c:pt idx="63">
                  <c:v>51.517859111856765</c:v>
                </c:pt>
                <c:pt idx="64">
                  <c:v>51.495440837328168</c:v>
                </c:pt>
                <c:pt idx="65">
                  <c:v>47.576148151078776</c:v>
                </c:pt>
                <c:pt idx="66">
                  <c:v>51.402213124727616</c:v>
                </c:pt>
                <c:pt idx="67">
                  <c:v>49.984652830780881</c:v>
                </c:pt>
                <c:pt idx="68">
                  <c:v>46.153549902755586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5284448"/>
        <c:axId val="705285008"/>
      </c:scatterChart>
      <c:valAx>
        <c:axId val="7052844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285008"/>
        <c:crosses val="autoZero"/>
        <c:crossBetween val="midCat"/>
        <c:majorUnit val="5"/>
      </c:valAx>
      <c:valAx>
        <c:axId val="705285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2844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Baghdad, Bazaar (Local),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(All)'!$G$7:$G$107</c:f>
              <c:numCache>
                <c:formatCode>0.0000</c:formatCode>
                <c:ptCount val="92"/>
                <c:pt idx="26">
                  <c:v>73.818069102730632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(All)'!$G$7:$G$107</c:f>
              <c:numCache>
                <c:formatCode>0.0000</c:formatCode>
                <c:ptCount val="92"/>
                <c:pt idx="26">
                  <c:v>73.818069102730632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3066224"/>
        <c:axId val="543070144"/>
      </c:scatterChart>
      <c:valAx>
        <c:axId val="54306622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3070144"/>
        <c:crosses val="autoZero"/>
        <c:crossBetween val="midCat"/>
        <c:majorUnit val="5"/>
      </c:valAx>
      <c:valAx>
        <c:axId val="54307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306622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Alexandretta, Exports,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(All)'!$AY$7:$AY$107</c:f>
              <c:numCache>
                <c:formatCode>0.0000</c:formatCode>
                <c:ptCount val="92"/>
                <c:pt idx="38">
                  <c:v>51.99999999999995</c:v>
                </c:pt>
                <c:pt idx="39">
                  <c:v>56.119047619047571</c:v>
                </c:pt>
                <c:pt idx="40">
                  <c:v>49.99999999999995</c:v>
                </c:pt>
                <c:pt idx="41">
                  <c:v>49.99999999999995</c:v>
                </c:pt>
                <c:pt idx="42">
                  <c:v>49.019607843137209</c:v>
                </c:pt>
                <c:pt idx="43">
                  <c:v>50.026490066225115</c:v>
                </c:pt>
                <c:pt idx="47">
                  <c:v>41.999999999999964</c:v>
                </c:pt>
                <c:pt idx="48">
                  <c:v>42.210256410256378</c:v>
                </c:pt>
                <c:pt idx="49">
                  <c:v>41.485049833887004</c:v>
                </c:pt>
                <c:pt idx="50">
                  <c:v>40.01515151515148</c:v>
                </c:pt>
                <c:pt idx="51">
                  <c:v>31.999999999999972</c:v>
                </c:pt>
                <c:pt idx="52">
                  <c:v>28.666666666666639</c:v>
                </c:pt>
                <c:pt idx="53">
                  <c:v>30.571428571428548</c:v>
                </c:pt>
                <c:pt idx="54">
                  <c:v>32.307692307692278</c:v>
                </c:pt>
                <c:pt idx="55">
                  <c:v>32.137614678899055</c:v>
                </c:pt>
                <c:pt idx="56">
                  <c:v>32.222836095764237</c:v>
                </c:pt>
                <c:pt idx="57">
                  <c:v>31.983240223463657</c:v>
                </c:pt>
                <c:pt idx="58">
                  <c:v>31.555023923444946</c:v>
                </c:pt>
                <c:pt idx="59">
                  <c:v>21.999999999999979</c:v>
                </c:pt>
                <c:pt idx="60">
                  <c:v>29.979094076655027</c:v>
                </c:pt>
                <c:pt idx="61">
                  <c:v>29.999999999999972</c:v>
                </c:pt>
                <c:pt idx="62">
                  <c:v>29.999999999999972</c:v>
                </c:pt>
                <c:pt idx="63">
                  <c:v>36.218637992831511</c:v>
                </c:pt>
                <c:pt idx="64">
                  <c:v>35.92401215805468</c:v>
                </c:pt>
                <c:pt idx="65">
                  <c:v>36.01801801801799</c:v>
                </c:pt>
                <c:pt idx="66">
                  <c:v>37.182680901542078</c:v>
                </c:pt>
                <c:pt idx="67">
                  <c:v>35.999999999999964</c:v>
                </c:pt>
                <c:pt idx="68">
                  <c:v>35.999999999999972</c:v>
                </c:pt>
                <c:pt idx="69">
                  <c:v>55.824742268041177</c:v>
                </c:pt>
                <c:pt idx="70">
                  <c:v>57.879133409350004</c:v>
                </c:pt>
                <c:pt idx="71">
                  <c:v>56.379721669980121</c:v>
                </c:pt>
                <c:pt idx="72">
                  <c:v>52.494366197183098</c:v>
                </c:pt>
                <c:pt idx="73">
                  <c:v>44.13134328358209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(All)'!$AY$7:$AY$107</c:f>
              <c:numCache>
                <c:formatCode>0.0000</c:formatCode>
                <c:ptCount val="92"/>
                <c:pt idx="38">
                  <c:v>51.99999999999995</c:v>
                </c:pt>
                <c:pt idx="39">
                  <c:v>56.119047619047571</c:v>
                </c:pt>
                <c:pt idx="40">
                  <c:v>49.99999999999995</c:v>
                </c:pt>
                <c:pt idx="41">
                  <c:v>49.99999999999995</c:v>
                </c:pt>
                <c:pt idx="42">
                  <c:v>49.019607843137209</c:v>
                </c:pt>
                <c:pt idx="43">
                  <c:v>50.026490066225115</c:v>
                </c:pt>
                <c:pt idx="47">
                  <c:v>41.999999999999964</c:v>
                </c:pt>
                <c:pt idx="48">
                  <c:v>42.210256410256378</c:v>
                </c:pt>
                <c:pt idx="49">
                  <c:v>41.485049833887004</c:v>
                </c:pt>
                <c:pt idx="50">
                  <c:v>40.01515151515148</c:v>
                </c:pt>
                <c:pt idx="51">
                  <c:v>31.999999999999972</c:v>
                </c:pt>
                <c:pt idx="52">
                  <c:v>28.666666666666639</c:v>
                </c:pt>
                <c:pt idx="53">
                  <c:v>30.571428571428548</c:v>
                </c:pt>
                <c:pt idx="54">
                  <c:v>32.307692307692278</c:v>
                </c:pt>
                <c:pt idx="55">
                  <c:v>32.137614678899055</c:v>
                </c:pt>
                <c:pt idx="56">
                  <c:v>32.222836095764237</c:v>
                </c:pt>
                <c:pt idx="57">
                  <c:v>31.983240223463657</c:v>
                </c:pt>
                <c:pt idx="58">
                  <c:v>31.555023923444946</c:v>
                </c:pt>
                <c:pt idx="59">
                  <c:v>21.999999999999979</c:v>
                </c:pt>
                <c:pt idx="60">
                  <c:v>29.979094076655027</c:v>
                </c:pt>
                <c:pt idx="61">
                  <c:v>29.999999999999972</c:v>
                </c:pt>
                <c:pt idx="62">
                  <c:v>29.999999999999972</c:v>
                </c:pt>
                <c:pt idx="63">
                  <c:v>36.218637992831511</c:v>
                </c:pt>
                <c:pt idx="64">
                  <c:v>35.92401215805468</c:v>
                </c:pt>
                <c:pt idx="65">
                  <c:v>36.01801801801799</c:v>
                </c:pt>
                <c:pt idx="66">
                  <c:v>37.182680901542078</c:v>
                </c:pt>
                <c:pt idx="67">
                  <c:v>35.999999999999964</c:v>
                </c:pt>
                <c:pt idx="68">
                  <c:v>35.999999999999972</c:v>
                </c:pt>
                <c:pt idx="69">
                  <c:v>55.824742268041177</c:v>
                </c:pt>
                <c:pt idx="70">
                  <c:v>57.879133409350004</c:v>
                </c:pt>
                <c:pt idx="71">
                  <c:v>56.379721669980121</c:v>
                </c:pt>
                <c:pt idx="72">
                  <c:v>52.494366197183098</c:v>
                </c:pt>
                <c:pt idx="73">
                  <c:v>44.13134328358209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5287808"/>
        <c:axId val="705288368"/>
      </c:scatterChart>
      <c:valAx>
        <c:axId val="7052878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288368"/>
        <c:crosses val="autoZero"/>
        <c:crossBetween val="midCat"/>
        <c:majorUnit val="5"/>
      </c:valAx>
      <c:valAx>
        <c:axId val="705288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2878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Ispahan, Bazaar (Local),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(All)'!$BC$7:$BC$107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(All)'!$BC$7:$BC$107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5291168"/>
        <c:axId val="705291728"/>
      </c:scatterChart>
      <c:valAx>
        <c:axId val="7052911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291728"/>
        <c:crosses val="autoZero"/>
        <c:crossBetween val="midCat"/>
        <c:majorUnit val="5"/>
      </c:valAx>
      <c:valAx>
        <c:axId val="705291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2911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Izmir, Exports,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(All)'!$AV$7:$AV$107</c:f>
              <c:numCache>
                <c:formatCode>0.0000</c:formatCode>
                <c:ptCount val="92"/>
                <c:pt idx="25">
                  <c:v>128.65232424203094</c:v>
                </c:pt>
                <c:pt idx="26">
                  <c:v>77.587866366058606</c:v>
                </c:pt>
                <c:pt idx="28">
                  <c:v>35.288499462715478</c:v>
                </c:pt>
                <c:pt idx="29">
                  <c:v>70.669324130361346</c:v>
                </c:pt>
                <c:pt idx="31">
                  <c:v>20.735714285714284</c:v>
                </c:pt>
                <c:pt idx="32">
                  <c:v>72.443284936479131</c:v>
                </c:pt>
                <c:pt idx="34">
                  <c:v>57.023214285714282</c:v>
                </c:pt>
                <c:pt idx="35">
                  <c:v>43.930882109855723</c:v>
                </c:pt>
                <c:pt idx="36">
                  <c:v>48.363827544132548</c:v>
                </c:pt>
                <c:pt idx="42">
                  <c:v>51.933156853281858</c:v>
                </c:pt>
                <c:pt idx="43">
                  <c:v>46.674163953488367</c:v>
                </c:pt>
                <c:pt idx="44">
                  <c:v>47.296060568316044</c:v>
                </c:pt>
                <c:pt idx="45">
                  <c:v>46.01674651360544</c:v>
                </c:pt>
                <c:pt idx="46">
                  <c:v>42.645048018677436</c:v>
                </c:pt>
                <c:pt idx="48">
                  <c:v>41.471428571428568</c:v>
                </c:pt>
                <c:pt idx="49">
                  <c:v>48.72883308554588</c:v>
                </c:pt>
                <c:pt idx="50">
                  <c:v>50.802345846402197</c:v>
                </c:pt>
                <c:pt idx="51">
                  <c:v>81.986016351118764</c:v>
                </c:pt>
                <c:pt idx="52">
                  <c:v>47.692192383545567</c:v>
                </c:pt>
                <c:pt idx="54">
                  <c:v>28.511291473110983</c:v>
                </c:pt>
                <c:pt idx="58">
                  <c:v>15.253036437246964</c:v>
                </c:pt>
                <c:pt idx="59">
                  <c:v>40.39259708737864</c:v>
                </c:pt>
                <c:pt idx="60">
                  <c:v>39.099964551577457</c:v>
                </c:pt>
                <c:pt idx="61">
                  <c:v>41.180425205899255</c:v>
                </c:pt>
                <c:pt idx="62">
                  <c:v>53.525356967011327</c:v>
                </c:pt>
                <c:pt idx="63">
                  <c:v>39.013746273600532</c:v>
                </c:pt>
                <c:pt idx="64">
                  <c:v>39.041346721795627</c:v>
                </c:pt>
                <c:pt idx="65">
                  <c:v>39.075633773308191</c:v>
                </c:pt>
                <c:pt idx="66">
                  <c:v>43.011929460580916</c:v>
                </c:pt>
                <c:pt idx="67">
                  <c:v>44.257885681514054</c:v>
                </c:pt>
                <c:pt idx="68">
                  <c:v>38.704803493449781</c:v>
                </c:pt>
                <c:pt idx="70">
                  <c:v>42.214558058925476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(All)'!$AV$7:$AV$107</c:f>
              <c:numCache>
                <c:formatCode>0.0000</c:formatCode>
                <c:ptCount val="92"/>
                <c:pt idx="25">
                  <c:v>128.65232424203094</c:v>
                </c:pt>
                <c:pt idx="26">
                  <c:v>77.587866366058606</c:v>
                </c:pt>
                <c:pt idx="28">
                  <c:v>35.288499462715478</c:v>
                </c:pt>
                <c:pt idx="29">
                  <c:v>70.669324130361346</c:v>
                </c:pt>
                <c:pt idx="31">
                  <c:v>20.735714285714284</c:v>
                </c:pt>
                <c:pt idx="32">
                  <c:v>72.443284936479131</c:v>
                </c:pt>
                <c:pt idx="34">
                  <c:v>57.023214285714282</c:v>
                </c:pt>
                <c:pt idx="35">
                  <c:v>43.930882109855723</c:v>
                </c:pt>
                <c:pt idx="36">
                  <c:v>48.363827544132548</c:v>
                </c:pt>
                <c:pt idx="42">
                  <c:v>51.933156853281858</c:v>
                </c:pt>
                <c:pt idx="43">
                  <c:v>46.674163953488367</c:v>
                </c:pt>
                <c:pt idx="44">
                  <c:v>47.296060568316044</c:v>
                </c:pt>
                <c:pt idx="45">
                  <c:v>46.01674651360544</c:v>
                </c:pt>
                <c:pt idx="46">
                  <c:v>42.645048018677436</c:v>
                </c:pt>
                <c:pt idx="48">
                  <c:v>41.471428571428568</c:v>
                </c:pt>
                <c:pt idx="49">
                  <c:v>48.72883308554588</c:v>
                </c:pt>
                <c:pt idx="50">
                  <c:v>50.802345846402197</c:v>
                </c:pt>
                <c:pt idx="51">
                  <c:v>81.986016351118764</c:v>
                </c:pt>
                <c:pt idx="52">
                  <c:v>47.692192383545567</c:v>
                </c:pt>
                <c:pt idx="54">
                  <c:v>28.511291473110983</c:v>
                </c:pt>
                <c:pt idx="58">
                  <c:v>15.253036437246964</c:v>
                </c:pt>
                <c:pt idx="59">
                  <c:v>40.39259708737864</c:v>
                </c:pt>
                <c:pt idx="60">
                  <c:v>39.099964551577457</c:v>
                </c:pt>
                <c:pt idx="61">
                  <c:v>41.180425205899255</c:v>
                </c:pt>
                <c:pt idx="62">
                  <c:v>53.525356967011327</c:v>
                </c:pt>
                <c:pt idx="63">
                  <c:v>39.013746273600532</c:v>
                </c:pt>
                <c:pt idx="64">
                  <c:v>39.041346721795627</c:v>
                </c:pt>
                <c:pt idx="65">
                  <c:v>39.075633773308191</c:v>
                </c:pt>
                <c:pt idx="66">
                  <c:v>43.011929460580916</c:v>
                </c:pt>
                <c:pt idx="67">
                  <c:v>44.257885681514054</c:v>
                </c:pt>
                <c:pt idx="68">
                  <c:v>38.704803493449781</c:v>
                </c:pt>
                <c:pt idx="70">
                  <c:v>42.214558058925476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5294528"/>
        <c:axId val="705295088"/>
      </c:scatterChart>
      <c:valAx>
        <c:axId val="70529452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295088"/>
        <c:crosses val="autoZero"/>
        <c:crossBetween val="midCat"/>
        <c:majorUnit val="5"/>
      </c:valAx>
      <c:valAx>
        <c:axId val="70529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2945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Izmir,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(All)'!$AW$7:$AW$107</c:f>
              <c:numCache>
                <c:formatCode>0.0000</c:formatCode>
                <c:ptCount val="92"/>
                <c:pt idx="5">
                  <c:v>32.333362665674706</c:v>
                </c:pt>
                <c:pt idx="6">
                  <c:v>35.250031978300107</c:v>
                </c:pt>
                <c:pt idx="7">
                  <c:v>40.000036287432756</c:v>
                </c:pt>
                <c:pt idx="8">
                  <c:v>32.833363119267617</c:v>
                </c:pt>
                <c:pt idx="9">
                  <c:v>37.166700383739496</c:v>
                </c:pt>
                <c:pt idx="10">
                  <c:v>44.083381262984091</c:v>
                </c:pt>
                <c:pt idx="11">
                  <c:v>36.000007257486544</c:v>
                </c:pt>
                <c:pt idx="12">
                  <c:v>36.666738031951084</c:v>
                </c:pt>
                <c:pt idx="13">
                  <c:v>48.749988660177259</c:v>
                </c:pt>
                <c:pt idx="14">
                  <c:v>44.000065317378962</c:v>
                </c:pt>
                <c:pt idx="15">
                  <c:v>49.500035380246935</c:v>
                </c:pt>
                <c:pt idx="16">
                  <c:v>53.958352913427255</c:v>
                </c:pt>
                <c:pt idx="17">
                  <c:v>58.416670446607576</c:v>
                </c:pt>
                <c:pt idx="18">
                  <c:v>25.833328192613692</c:v>
                </c:pt>
                <c:pt idx="19">
                  <c:v>23.094773702497481</c:v>
                </c:pt>
                <c:pt idx="20">
                  <c:v>25.411363409567183</c:v>
                </c:pt>
                <c:pt idx="21">
                  <c:v>27.738113597808237</c:v>
                </c:pt>
                <c:pt idx="22">
                  <c:v>139.33372644718818</c:v>
                </c:pt>
                <c:pt idx="23">
                  <c:v>158.66709002004879</c:v>
                </c:pt>
                <c:pt idx="24">
                  <c:v>162.41732362039716</c:v>
                </c:pt>
                <c:pt idx="25">
                  <c:v>121.33341800400976</c:v>
                </c:pt>
                <c:pt idx="26">
                  <c:v>93.333468806415624</c:v>
                </c:pt>
                <c:pt idx="27">
                  <c:v>81.66669630140342</c:v>
                </c:pt>
                <c:pt idx="28">
                  <c:v>74.666734403207798</c:v>
                </c:pt>
                <c:pt idx="29">
                  <c:v>93.333468806415624</c:v>
                </c:pt>
                <c:pt idx="30">
                  <c:v>65.250102058404622</c:v>
                </c:pt>
                <c:pt idx="31">
                  <c:v>84.000050802405852</c:v>
                </c:pt>
                <c:pt idx="32">
                  <c:v>74.666734403207798</c:v>
                </c:pt>
                <c:pt idx="33">
                  <c:v>64.333423447124673</c:v>
                </c:pt>
                <c:pt idx="34">
                  <c:v>56.000101604811711</c:v>
                </c:pt>
                <c:pt idx="35">
                  <c:v>46.666683600801953</c:v>
                </c:pt>
                <c:pt idx="36">
                  <c:v>53.472377099001186</c:v>
                </c:pt>
                <c:pt idx="37">
                  <c:v>58.451622501837043</c:v>
                </c:pt>
                <c:pt idx="38">
                  <c:v>57.657885712730533</c:v>
                </c:pt>
                <c:pt idx="39">
                  <c:v>56.142449946022438</c:v>
                </c:pt>
                <c:pt idx="40">
                  <c:v>66.750297103355678</c:v>
                </c:pt>
                <c:pt idx="41">
                  <c:v>53.25595885005125</c:v>
                </c:pt>
                <c:pt idx="42">
                  <c:v>59.534120165833563</c:v>
                </c:pt>
                <c:pt idx="43">
                  <c:v>57.007614917763604</c:v>
                </c:pt>
                <c:pt idx="44">
                  <c:v>54.482735346681054</c:v>
                </c:pt>
                <c:pt idx="45">
                  <c:v>51.957042937104809</c:v>
                </c:pt>
                <c:pt idx="46">
                  <c:v>46.905658117952299</c:v>
                </c:pt>
                <c:pt idx="47">
                  <c:v>51.235343959503219</c:v>
                </c:pt>
                <c:pt idx="48">
                  <c:v>49.070551841133614</c:v>
                </c:pt>
                <c:pt idx="49">
                  <c:v>46.905658117952299</c:v>
                </c:pt>
                <c:pt idx="50">
                  <c:v>46.616998847874008</c:v>
                </c:pt>
                <c:pt idx="51">
                  <c:v>48.709651549926967</c:v>
                </c:pt>
                <c:pt idx="52">
                  <c:v>41.204815342326569</c:v>
                </c:pt>
                <c:pt idx="53">
                  <c:v>38.101804392593735</c:v>
                </c:pt>
                <c:pt idx="54">
                  <c:v>36.081291106857421</c:v>
                </c:pt>
                <c:pt idx="55">
                  <c:v>28.432074461812011</c:v>
                </c:pt>
                <c:pt idx="56">
                  <c:v>33.194800010886226</c:v>
                </c:pt>
                <c:pt idx="57">
                  <c:v>36.081291106857421</c:v>
                </c:pt>
                <c:pt idx="58">
                  <c:v>30.380448331231687</c:v>
                </c:pt>
                <c:pt idx="59">
                  <c:v>33.12255898975787</c:v>
                </c:pt>
                <c:pt idx="60">
                  <c:v>43.297468044379528</c:v>
                </c:pt>
                <c:pt idx="61">
                  <c:v>41.276954758643214</c:v>
                </c:pt>
                <c:pt idx="62">
                  <c:v>41.060434904881568</c:v>
                </c:pt>
                <c:pt idx="63">
                  <c:v>52.245702207183093</c:v>
                </c:pt>
                <c:pt idx="64">
                  <c:v>52.101321769738092</c:v>
                </c:pt>
                <c:pt idx="65">
                  <c:v>48.78189257105533</c:v>
                </c:pt>
                <c:pt idx="66">
                  <c:v>52.462120456133022</c:v>
                </c:pt>
                <c:pt idx="67">
                  <c:v>50.513746586713353</c:v>
                </c:pt>
                <c:pt idx="68">
                  <c:v>40.755214050493962</c:v>
                </c:pt>
                <c:pt idx="69">
                  <c:v>43.228275167602575</c:v>
                </c:pt>
                <c:pt idx="70">
                  <c:v>45.814524044960123</c:v>
                </c:pt>
                <c:pt idx="71">
                  <c:v>55.236033420725562</c:v>
                </c:pt>
                <c:pt idx="72">
                  <c:v>50.525329535248702</c:v>
                </c:pt>
                <c:pt idx="73">
                  <c:v>47.107648483638897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(All)'!$AW$7:$AW$107</c:f>
              <c:numCache>
                <c:formatCode>0.0000</c:formatCode>
                <c:ptCount val="92"/>
                <c:pt idx="5">
                  <c:v>32.333362665674706</c:v>
                </c:pt>
                <c:pt idx="6">
                  <c:v>35.250031978300107</c:v>
                </c:pt>
                <c:pt idx="7">
                  <c:v>40.000036287432756</c:v>
                </c:pt>
                <c:pt idx="8">
                  <c:v>32.833363119267617</c:v>
                </c:pt>
                <c:pt idx="9">
                  <c:v>37.166700383739496</c:v>
                </c:pt>
                <c:pt idx="10">
                  <c:v>44.083381262984091</c:v>
                </c:pt>
                <c:pt idx="11">
                  <c:v>36.000007257486544</c:v>
                </c:pt>
                <c:pt idx="12">
                  <c:v>36.666738031951084</c:v>
                </c:pt>
                <c:pt idx="13">
                  <c:v>48.749988660177259</c:v>
                </c:pt>
                <c:pt idx="14">
                  <c:v>44.000065317378962</c:v>
                </c:pt>
                <c:pt idx="15">
                  <c:v>49.500035380246935</c:v>
                </c:pt>
                <c:pt idx="16">
                  <c:v>53.958352913427255</c:v>
                </c:pt>
                <c:pt idx="17">
                  <c:v>58.416670446607576</c:v>
                </c:pt>
                <c:pt idx="18">
                  <c:v>25.833328192613692</c:v>
                </c:pt>
                <c:pt idx="19">
                  <c:v>23.094773702497481</c:v>
                </c:pt>
                <c:pt idx="20">
                  <c:v>25.411363409567183</c:v>
                </c:pt>
                <c:pt idx="21">
                  <c:v>27.738113597808237</c:v>
                </c:pt>
                <c:pt idx="22">
                  <c:v>139.33372644718818</c:v>
                </c:pt>
                <c:pt idx="23">
                  <c:v>158.66709002004879</c:v>
                </c:pt>
                <c:pt idx="24">
                  <c:v>162.41732362039716</c:v>
                </c:pt>
                <c:pt idx="25">
                  <c:v>121.33341800400976</c:v>
                </c:pt>
                <c:pt idx="26">
                  <c:v>93.333468806415624</c:v>
                </c:pt>
                <c:pt idx="27">
                  <c:v>81.66669630140342</c:v>
                </c:pt>
                <c:pt idx="28">
                  <c:v>74.666734403207798</c:v>
                </c:pt>
                <c:pt idx="29">
                  <c:v>93.333468806415624</c:v>
                </c:pt>
                <c:pt idx="30">
                  <c:v>65.250102058404622</c:v>
                </c:pt>
                <c:pt idx="31">
                  <c:v>84.000050802405852</c:v>
                </c:pt>
                <c:pt idx="32">
                  <c:v>74.666734403207798</c:v>
                </c:pt>
                <c:pt idx="33">
                  <c:v>64.333423447124673</c:v>
                </c:pt>
                <c:pt idx="34">
                  <c:v>56.000101604811711</c:v>
                </c:pt>
                <c:pt idx="35">
                  <c:v>46.666683600801953</c:v>
                </c:pt>
                <c:pt idx="36">
                  <c:v>53.472377099001186</c:v>
                </c:pt>
                <c:pt idx="37">
                  <c:v>58.451622501837043</c:v>
                </c:pt>
                <c:pt idx="38">
                  <c:v>57.657885712730533</c:v>
                </c:pt>
                <c:pt idx="39">
                  <c:v>56.142449946022438</c:v>
                </c:pt>
                <c:pt idx="40">
                  <c:v>66.750297103355678</c:v>
                </c:pt>
                <c:pt idx="41">
                  <c:v>53.25595885005125</c:v>
                </c:pt>
                <c:pt idx="42">
                  <c:v>59.534120165833563</c:v>
                </c:pt>
                <c:pt idx="43">
                  <c:v>57.007614917763604</c:v>
                </c:pt>
                <c:pt idx="44">
                  <c:v>54.482735346681054</c:v>
                </c:pt>
                <c:pt idx="45">
                  <c:v>51.957042937104809</c:v>
                </c:pt>
                <c:pt idx="46">
                  <c:v>46.905658117952299</c:v>
                </c:pt>
                <c:pt idx="47">
                  <c:v>51.235343959503219</c:v>
                </c:pt>
                <c:pt idx="48">
                  <c:v>49.070551841133614</c:v>
                </c:pt>
                <c:pt idx="49">
                  <c:v>46.905658117952299</c:v>
                </c:pt>
                <c:pt idx="50">
                  <c:v>46.616998847874008</c:v>
                </c:pt>
                <c:pt idx="51">
                  <c:v>48.709651549926967</c:v>
                </c:pt>
                <c:pt idx="52">
                  <c:v>41.204815342326569</c:v>
                </c:pt>
                <c:pt idx="53">
                  <c:v>38.101804392593735</c:v>
                </c:pt>
                <c:pt idx="54">
                  <c:v>36.081291106857421</c:v>
                </c:pt>
                <c:pt idx="55">
                  <c:v>28.432074461812011</c:v>
                </c:pt>
                <c:pt idx="56">
                  <c:v>33.194800010886226</c:v>
                </c:pt>
                <c:pt idx="57">
                  <c:v>36.081291106857421</c:v>
                </c:pt>
                <c:pt idx="58">
                  <c:v>30.380448331231687</c:v>
                </c:pt>
                <c:pt idx="59">
                  <c:v>33.12255898975787</c:v>
                </c:pt>
                <c:pt idx="60">
                  <c:v>43.297468044379528</c:v>
                </c:pt>
                <c:pt idx="61">
                  <c:v>41.276954758643214</c:v>
                </c:pt>
                <c:pt idx="62">
                  <c:v>41.060434904881568</c:v>
                </c:pt>
                <c:pt idx="63">
                  <c:v>52.245702207183093</c:v>
                </c:pt>
                <c:pt idx="64">
                  <c:v>52.101321769738092</c:v>
                </c:pt>
                <c:pt idx="65">
                  <c:v>48.78189257105533</c:v>
                </c:pt>
                <c:pt idx="66">
                  <c:v>52.462120456133022</c:v>
                </c:pt>
                <c:pt idx="67">
                  <c:v>50.513746586713353</c:v>
                </c:pt>
                <c:pt idx="68">
                  <c:v>40.755214050493962</c:v>
                </c:pt>
                <c:pt idx="69">
                  <c:v>43.228275167602575</c:v>
                </c:pt>
                <c:pt idx="70">
                  <c:v>45.814524044960123</c:v>
                </c:pt>
                <c:pt idx="71">
                  <c:v>55.236033420725562</c:v>
                </c:pt>
                <c:pt idx="72">
                  <c:v>50.525329535248702</c:v>
                </c:pt>
                <c:pt idx="73">
                  <c:v>47.107648483638897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5297888"/>
        <c:axId val="705298448"/>
      </c:scatterChart>
      <c:valAx>
        <c:axId val="7052978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298448"/>
        <c:crosses val="autoZero"/>
        <c:crossBetween val="midCat"/>
        <c:majorUnit val="5"/>
      </c:valAx>
      <c:valAx>
        <c:axId val="70529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2978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Alexandretta,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(All)'!$AX$7:$AX$107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(All)'!$AX$7:$AX$107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5301248"/>
        <c:axId val="705301808"/>
      </c:scatterChart>
      <c:valAx>
        <c:axId val="7053012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301808"/>
        <c:crosses val="autoZero"/>
        <c:crossBetween val="midCat"/>
        <c:majorUnit val="5"/>
      </c:valAx>
      <c:valAx>
        <c:axId val="705301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3012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Alexandretta, Bazaar (Local),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(All)'!$AZ$7:$AZ$107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(All)'!$AZ$7:$AZ$107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5304608"/>
        <c:axId val="705305168"/>
      </c:scatterChart>
      <c:valAx>
        <c:axId val="7053046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305168"/>
        <c:crosses val="autoZero"/>
        <c:crossBetween val="midCat"/>
        <c:majorUnit val="5"/>
      </c:valAx>
      <c:valAx>
        <c:axId val="70530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3046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Ispahan, Exports,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(All)'!$BB$7:$BB$107</c:f>
              <c:numCache>
                <c:formatCode>0.0000</c:formatCode>
                <c:ptCount val="92"/>
                <c:pt idx="61">
                  <c:v>40.205128205128204</c:v>
                </c:pt>
                <c:pt idx="62">
                  <c:v>26.923076923077002</c:v>
                </c:pt>
                <c:pt idx="65">
                  <c:v>28.208780234712201</c:v>
                </c:pt>
                <c:pt idx="70">
                  <c:v>51.3886073383336</c:v>
                </c:pt>
                <c:pt idx="71">
                  <c:v>36.186099942561796</c:v>
                </c:pt>
                <c:pt idx="72">
                  <c:v>41.559324778366999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(All)'!$BB$7:$BB$107</c:f>
              <c:numCache>
                <c:formatCode>0.0000</c:formatCode>
                <c:ptCount val="92"/>
                <c:pt idx="61">
                  <c:v>40.205128205128204</c:v>
                </c:pt>
                <c:pt idx="62">
                  <c:v>26.923076923077002</c:v>
                </c:pt>
                <c:pt idx="65">
                  <c:v>28.208780234712201</c:v>
                </c:pt>
                <c:pt idx="70">
                  <c:v>51.3886073383336</c:v>
                </c:pt>
                <c:pt idx="71">
                  <c:v>36.186099942561796</c:v>
                </c:pt>
                <c:pt idx="72">
                  <c:v>41.559324778366999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5307968"/>
        <c:axId val="705308528"/>
      </c:scatterChart>
      <c:valAx>
        <c:axId val="7053079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308528"/>
        <c:crosses val="autoZero"/>
        <c:crossBetween val="midCat"/>
        <c:majorUnit val="5"/>
      </c:valAx>
      <c:valAx>
        <c:axId val="705308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3079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Ispahan,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(All)'!$BA$7:$BA$107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(All)'!$BA$7:$BA$107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5311328"/>
        <c:axId val="705311888"/>
      </c:scatterChart>
      <c:valAx>
        <c:axId val="70531132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311888"/>
        <c:crosses val="autoZero"/>
        <c:crossBetween val="midCat"/>
        <c:majorUnit val="5"/>
      </c:valAx>
      <c:valAx>
        <c:axId val="70531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3113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Yezd,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(All)'!$BD$7:$BD$107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(All)'!$BD$7:$BD$107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5314688"/>
        <c:axId val="705315248"/>
      </c:scatterChart>
      <c:valAx>
        <c:axId val="7053146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315248"/>
        <c:crosses val="autoZero"/>
        <c:crossBetween val="midCat"/>
        <c:majorUnit val="5"/>
      </c:valAx>
      <c:valAx>
        <c:axId val="705315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3146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Yezd, Exports, in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(All)'!$BE$7:$BE$107</c:f>
              <c:numCache>
                <c:formatCode>0.0000</c:formatCode>
                <c:ptCount val="92"/>
                <c:pt idx="52">
                  <c:v>17.230769230769226</c:v>
                </c:pt>
                <c:pt idx="53">
                  <c:v>16.497545008183298</c:v>
                </c:pt>
                <c:pt idx="71">
                  <c:v>33.29999999999994</c:v>
                </c:pt>
                <c:pt idx="72">
                  <c:v>34.188034188034194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(All)'!$BE$7:$BE$107</c:f>
              <c:numCache>
                <c:formatCode>0.0000</c:formatCode>
                <c:ptCount val="92"/>
                <c:pt idx="52">
                  <c:v>17.230769230769226</c:v>
                </c:pt>
                <c:pt idx="53">
                  <c:v>16.497545008183298</c:v>
                </c:pt>
                <c:pt idx="71">
                  <c:v>33.29999999999994</c:v>
                </c:pt>
                <c:pt idx="72">
                  <c:v>34.188034188034194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5318048"/>
        <c:axId val="705318608"/>
      </c:scatterChart>
      <c:valAx>
        <c:axId val="7053180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318608"/>
        <c:crosses val="autoZero"/>
        <c:crossBetween val="midCat"/>
        <c:majorUnit val="5"/>
      </c:valAx>
      <c:valAx>
        <c:axId val="705318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3180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Basrah, Exports,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(All)'!$I$7:$I$107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(All)'!$I$7:$I$107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4074896"/>
        <c:axId val="564078816"/>
      </c:scatterChart>
      <c:valAx>
        <c:axId val="56407489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64078816"/>
        <c:crosses val="autoZero"/>
        <c:crossBetween val="midCat"/>
        <c:majorUnit val="5"/>
      </c:valAx>
      <c:valAx>
        <c:axId val="56407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6407489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Yezd, Bazaar (Local), in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(All)'!$BF$7:$BF$107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(All)'!$BF$7:$BF$107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5321408"/>
        <c:axId val="705321968"/>
      </c:scatterChart>
      <c:valAx>
        <c:axId val="7053214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321968"/>
        <c:crosses val="autoZero"/>
        <c:crossBetween val="midCat"/>
        <c:majorUnit val="5"/>
      </c:valAx>
      <c:valAx>
        <c:axId val="70532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3214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Khorasan,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(All)'!$BG$7:$BG$107</c:f>
              <c:numCache>
                <c:formatCode>0.0000</c:formatCode>
                <c:ptCount val="92"/>
                <c:pt idx="62">
                  <c:v>33.407765372438014</c:v>
                </c:pt>
                <c:pt idx="63">
                  <c:v>41.659563800451295</c:v>
                </c:pt>
                <c:pt idx="64">
                  <c:v>15.882770030725608</c:v>
                </c:pt>
                <c:pt idx="65">
                  <c:v>24.643891140706433</c:v>
                </c:pt>
                <c:pt idx="66">
                  <c:v>34.821763602251359</c:v>
                </c:pt>
                <c:pt idx="67">
                  <c:v>26.926187619428607</c:v>
                </c:pt>
                <c:pt idx="68">
                  <c:v>21.758991861380949</c:v>
                </c:pt>
                <c:pt idx="69">
                  <c:v>13.429225539393665</c:v>
                </c:pt>
                <c:pt idx="70">
                  <c:v>17.742729033271107</c:v>
                </c:pt>
                <c:pt idx="71">
                  <c:v>17.057110862262039</c:v>
                </c:pt>
                <c:pt idx="72">
                  <c:v>20.700755230902566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(All)'!$BG$7:$BG$107</c:f>
              <c:numCache>
                <c:formatCode>0.0000</c:formatCode>
                <c:ptCount val="92"/>
                <c:pt idx="62">
                  <c:v>33.407765372438014</c:v>
                </c:pt>
                <c:pt idx="63">
                  <c:v>41.659563800451295</c:v>
                </c:pt>
                <c:pt idx="64">
                  <c:v>15.882770030725608</c:v>
                </c:pt>
                <c:pt idx="65">
                  <c:v>24.643891140706433</c:v>
                </c:pt>
                <c:pt idx="66">
                  <c:v>34.821763602251359</c:v>
                </c:pt>
                <c:pt idx="67">
                  <c:v>26.926187619428607</c:v>
                </c:pt>
                <c:pt idx="68">
                  <c:v>21.758991861380949</c:v>
                </c:pt>
                <c:pt idx="69">
                  <c:v>13.429225539393665</c:v>
                </c:pt>
                <c:pt idx="70">
                  <c:v>17.742729033271107</c:v>
                </c:pt>
                <c:pt idx="71">
                  <c:v>17.057110862262039</c:v>
                </c:pt>
                <c:pt idx="72">
                  <c:v>20.700755230902566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5324768"/>
        <c:axId val="705325328"/>
      </c:scatterChart>
      <c:valAx>
        <c:axId val="7053247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325328"/>
        <c:crosses val="autoZero"/>
        <c:crossBetween val="midCat"/>
        <c:majorUnit val="5"/>
      </c:valAx>
      <c:valAx>
        <c:axId val="70532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3247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Khorasan, Exports,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(All)'!$BH$7:$BH$107</c:f>
              <c:numCache>
                <c:formatCode>0.0000</c:formatCode>
                <c:ptCount val="92"/>
                <c:pt idx="62">
                  <c:v>40.301074303957598</c:v>
                </c:pt>
                <c:pt idx="63">
                  <c:v>40.520119351388765</c:v>
                </c:pt>
                <c:pt idx="64">
                  <c:v>43.455886175046466</c:v>
                </c:pt>
                <c:pt idx="65">
                  <c:v>39.14044860768179</c:v>
                </c:pt>
                <c:pt idx="66">
                  <c:v>46.489670728566239</c:v>
                </c:pt>
                <c:pt idx="67">
                  <c:v>43.689719199285378</c:v>
                </c:pt>
                <c:pt idx="68">
                  <c:v>42.941139224824958</c:v>
                </c:pt>
                <c:pt idx="69">
                  <c:v>41.820393422288092</c:v>
                </c:pt>
                <c:pt idx="70">
                  <c:v>51.818613533682239</c:v>
                </c:pt>
                <c:pt idx="71">
                  <c:v>63.777312555710431</c:v>
                </c:pt>
                <c:pt idx="72">
                  <c:v>68.243247173208132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(All)'!$BH$7:$BH$107</c:f>
              <c:numCache>
                <c:formatCode>0.0000</c:formatCode>
                <c:ptCount val="92"/>
                <c:pt idx="62">
                  <c:v>40.301074303957598</c:v>
                </c:pt>
                <c:pt idx="63">
                  <c:v>40.520119351388765</c:v>
                </c:pt>
                <c:pt idx="64">
                  <c:v>43.455886175046466</c:v>
                </c:pt>
                <c:pt idx="65">
                  <c:v>39.14044860768179</c:v>
                </c:pt>
                <c:pt idx="66">
                  <c:v>46.489670728566239</c:v>
                </c:pt>
                <c:pt idx="67">
                  <c:v>43.689719199285378</c:v>
                </c:pt>
                <c:pt idx="68">
                  <c:v>42.941139224824958</c:v>
                </c:pt>
                <c:pt idx="69">
                  <c:v>41.820393422288092</c:v>
                </c:pt>
                <c:pt idx="70">
                  <c:v>51.818613533682239</c:v>
                </c:pt>
                <c:pt idx="71">
                  <c:v>63.777312555710431</c:v>
                </c:pt>
                <c:pt idx="72">
                  <c:v>68.243247173208132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5328128"/>
        <c:axId val="705328688"/>
      </c:scatterChart>
      <c:valAx>
        <c:axId val="70532812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328688"/>
        <c:crosses val="autoZero"/>
        <c:crossBetween val="midCat"/>
        <c:majorUnit val="5"/>
      </c:valAx>
      <c:valAx>
        <c:axId val="705328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3281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Khorasan, Bazaar (Local),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(All)'!$BI$7:$BI$107</c:f>
              <c:numCache>
                <c:formatCode>0.0000</c:formatCode>
                <c:ptCount val="92"/>
                <c:pt idx="49">
                  <c:v>98.000116546697356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(All)'!$BI$7:$BI$107</c:f>
              <c:numCache>
                <c:formatCode>0.0000</c:formatCode>
                <c:ptCount val="92"/>
                <c:pt idx="49">
                  <c:v>98.000116546697356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5331488"/>
        <c:axId val="705332048"/>
      </c:scatterChart>
      <c:valAx>
        <c:axId val="7053314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332048"/>
        <c:crosses val="autoZero"/>
        <c:crossBetween val="midCat"/>
        <c:majorUnit val="5"/>
      </c:valAx>
      <c:valAx>
        <c:axId val="705332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3314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Kermanshah,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(All)'!$BJ$7:$BJ$107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(All)'!$BJ$7:$BJ$107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5334848"/>
        <c:axId val="705335408"/>
      </c:scatterChart>
      <c:valAx>
        <c:axId val="7053348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335408"/>
        <c:crosses val="autoZero"/>
        <c:crossBetween val="midCat"/>
        <c:majorUnit val="5"/>
      </c:valAx>
      <c:valAx>
        <c:axId val="705335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3348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Kermanshah, Exports, in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(All)'!$BK$7:$BK$107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(All)'!$BK$7:$BK$107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5338208"/>
        <c:axId val="705338768"/>
      </c:scatterChart>
      <c:valAx>
        <c:axId val="7053382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338768"/>
        <c:crosses val="autoZero"/>
        <c:crossBetween val="midCat"/>
        <c:majorUnit val="5"/>
      </c:valAx>
      <c:valAx>
        <c:axId val="70533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3382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Kermanshah, Bazaar (Local), in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(All)'!$BL$7:$BL$107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(All)'!$BL$7:$BL$107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5341568"/>
        <c:axId val="705342128"/>
      </c:scatterChart>
      <c:valAx>
        <c:axId val="7053415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342128"/>
        <c:crosses val="autoZero"/>
        <c:crossBetween val="midCat"/>
        <c:majorUnit val="5"/>
      </c:valAx>
      <c:valAx>
        <c:axId val="705342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3415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Kerman, Imports,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(All)'!$BM$7:$BM$107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(All)'!$BM$7:$BM$107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5344928"/>
        <c:axId val="705345488"/>
      </c:scatterChart>
      <c:valAx>
        <c:axId val="70534492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345488"/>
        <c:crosses val="autoZero"/>
        <c:crossBetween val="midCat"/>
        <c:majorUnit val="5"/>
      </c:valAx>
      <c:valAx>
        <c:axId val="705345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3449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Kerman,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(All)'!$BN$7:$BN$107</c:f>
              <c:numCache>
                <c:formatCode>0.0000</c:formatCode>
                <c:ptCount val="92"/>
                <c:pt idx="54">
                  <c:v>20.676923076923075</c:v>
                </c:pt>
                <c:pt idx="67">
                  <c:v>32.000000000000028</c:v>
                </c:pt>
                <c:pt idx="68">
                  <c:v>32.000000000000028</c:v>
                </c:pt>
                <c:pt idx="69">
                  <c:v>9.329600000000001</c:v>
                </c:pt>
                <c:pt idx="70">
                  <c:v>9.3279999999999905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(All)'!$BN$7:$BN$107</c:f>
              <c:numCache>
                <c:formatCode>0.0000</c:formatCode>
                <c:ptCount val="92"/>
                <c:pt idx="54">
                  <c:v>20.676923076923075</c:v>
                </c:pt>
                <c:pt idx="67">
                  <c:v>32.000000000000028</c:v>
                </c:pt>
                <c:pt idx="68">
                  <c:v>32.000000000000028</c:v>
                </c:pt>
                <c:pt idx="69">
                  <c:v>9.329600000000001</c:v>
                </c:pt>
                <c:pt idx="70">
                  <c:v>9.3279999999999905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5348288"/>
        <c:axId val="705348848"/>
      </c:scatterChart>
      <c:valAx>
        <c:axId val="7053482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348848"/>
        <c:crosses val="autoZero"/>
        <c:crossBetween val="midCat"/>
        <c:majorUnit val="5"/>
      </c:valAx>
      <c:valAx>
        <c:axId val="705348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3482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Kerman, Bazaar (Local), in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(All)'!$BO$7:$BO$107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(All)'!$BO$7:$BO$107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5351648"/>
        <c:axId val="705352208"/>
      </c:scatterChart>
      <c:valAx>
        <c:axId val="7053516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352208"/>
        <c:crosses val="autoZero"/>
        <c:crossBetween val="midCat"/>
        <c:majorUnit val="5"/>
      </c:valAx>
      <c:valAx>
        <c:axId val="70535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3516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Basrah, Bazaar (Local), in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(All)'!$J$7:$J$107</c:f>
              <c:numCache>
                <c:formatCode>0.0000</c:formatCode>
                <c:ptCount val="92"/>
                <c:pt idx="24">
                  <c:v>130.6666666666666</c:v>
                </c:pt>
                <c:pt idx="25">
                  <c:v>130.6666666666666</c:v>
                </c:pt>
                <c:pt idx="26">
                  <c:v>71.555555555555458</c:v>
                </c:pt>
                <c:pt idx="28">
                  <c:v>74.666666666666586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(All)'!$J$7:$J$107</c:f>
              <c:numCache>
                <c:formatCode>0.0000</c:formatCode>
                <c:ptCount val="92"/>
                <c:pt idx="24">
                  <c:v>130.6666666666666</c:v>
                </c:pt>
                <c:pt idx="25">
                  <c:v>130.6666666666666</c:v>
                </c:pt>
                <c:pt idx="26">
                  <c:v>71.555555555555458</c:v>
                </c:pt>
                <c:pt idx="28">
                  <c:v>74.666666666666586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7252096"/>
        <c:axId val="707252656"/>
      </c:scatterChart>
      <c:valAx>
        <c:axId val="70725209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7252656"/>
        <c:crosses val="autoZero"/>
        <c:crossBetween val="midCat"/>
        <c:majorUnit val="5"/>
      </c:valAx>
      <c:valAx>
        <c:axId val="70725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725209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Bam,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(All)'!$BP$7:$BP$107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(All)'!$BP$7:$BP$107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5355008"/>
        <c:axId val="705355568"/>
      </c:scatterChart>
      <c:valAx>
        <c:axId val="7053550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355568"/>
        <c:crosses val="autoZero"/>
        <c:crossBetween val="midCat"/>
        <c:majorUnit val="5"/>
      </c:valAx>
      <c:valAx>
        <c:axId val="705355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3550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Bam, Exports, 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(All)'!$BQ$7:$BQ$107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(All)'!$BQ$7:$BQ$107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5358368"/>
        <c:axId val="705358928"/>
      </c:scatterChart>
      <c:valAx>
        <c:axId val="7053583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358928"/>
        <c:crosses val="autoZero"/>
        <c:crossBetween val="midCat"/>
        <c:majorUnit val="5"/>
      </c:valAx>
      <c:valAx>
        <c:axId val="705358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3583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Bam,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(All)'!$BR$7:$BR$107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(All)'!$BR$7:$BR$107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5361728"/>
        <c:axId val="705362288"/>
      </c:scatterChart>
      <c:valAx>
        <c:axId val="70536172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362288"/>
        <c:crosses val="autoZero"/>
        <c:crossBetween val="midCat"/>
        <c:majorUnit val="5"/>
      </c:valAx>
      <c:valAx>
        <c:axId val="705362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3617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Resht,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(All)'!$BS$7:$BS$107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(All)'!$BS$7:$BS$107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5365088"/>
        <c:axId val="705365648"/>
      </c:scatterChart>
      <c:valAx>
        <c:axId val="7053650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365648"/>
        <c:crosses val="autoZero"/>
        <c:crossBetween val="midCat"/>
        <c:majorUnit val="5"/>
      </c:valAx>
      <c:valAx>
        <c:axId val="705365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3650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Resht, Exports,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(All)'!$BT$7:$BT$107</c:f>
              <c:numCache>
                <c:formatCode>0.0000</c:formatCode>
                <c:ptCount val="92"/>
                <c:pt idx="33">
                  <c:v>49.158918918918815</c:v>
                </c:pt>
                <c:pt idx="34">
                  <c:v>38.828967642526884</c:v>
                </c:pt>
                <c:pt idx="35">
                  <c:v>40.545882352941277</c:v>
                </c:pt>
                <c:pt idx="54">
                  <c:v>19.101877891681021</c:v>
                </c:pt>
                <c:pt idx="55">
                  <c:v>18.646025141534537</c:v>
                </c:pt>
                <c:pt idx="62">
                  <c:v>32.777638405266273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(All)'!$BT$7:$BT$107</c:f>
              <c:numCache>
                <c:formatCode>0.0000</c:formatCode>
                <c:ptCount val="92"/>
                <c:pt idx="33">
                  <c:v>49.158918918918815</c:v>
                </c:pt>
                <c:pt idx="34">
                  <c:v>38.828967642526884</c:v>
                </c:pt>
                <c:pt idx="35">
                  <c:v>40.545882352941277</c:v>
                </c:pt>
                <c:pt idx="54">
                  <c:v>19.101877891681021</c:v>
                </c:pt>
                <c:pt idx="55">
                  <c:v>18.646025141534537</c:v>
                </c:pt>
                <c:pt idx="62">
                  <c:v>32.777638405266273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5332848"/>
        <c:axId val="625333408"/>
      </c:scatterChart>
      <c:valAx>
        <c:axId val="6253328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333408"/>
        <c:crosses val="autoZero"/>
        <c:crossBetween val="midCat"/>
        <c:majorUnit val="5"/>
      </c:valAx>
      <c:valAx>
        <c:axId val="62533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3328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Resht, Bazaar (Local),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(All)'!$BU$7:$BU$107</c:f>
              <c:numCache>
                <c:formatCode>0.0000</c:formatCode>
                <c:ptCount val="92"/>
                <c:pt idx="34">
                  <c:v>38.650980392156832</c:v>
                </c:pt>
                <c:pt idx="51">
                  <c:v>35.137254901960738</c:v>
                </c:pt>
                <c:pt idx="52">
                  <c:v>45.751633986928127</c:v>
                </c:pt>
                <c:pt idx="53">
                  <c:v>51.241830065359579</c:v>
                </c:pt>
                <c:pt idx="57">
                  <c:v>42.590612002376702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(All)'!$BU$7:$BU$107</c:f>
              <c:numCache>
                <c:formatCode>0.0000</c:formatCode>
                <c:ptCount val="92"/>
                <c:pt idx="34">
                  <c:v>38.650980392156832</c:v>
                </c:pt>
                <c:pt idx="51">
                  <c:v>35.137254901960738</c:v>
                </c:pt>
                <c:pt idx="52">
                  <c:v>45.751633986928127</c:v>
                </c:pt>
                <c:pt idx="53">
                  <c:v>51.241830065359579</c:v>
                </c:pt>
                <c:pt idx="57">
                  <c:v>42.590612002376702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5336208"/>
        <c:axId val="625336768"/>
      </c:scatterChart>
      <c:valAx>
        <c:axId val="6253362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336768"/>
        <c:crosses val="autoZero"/>
        <c:crossBetween val="midCat"/>
        <c:majorUnit val="5"/>
      </c:valAx>
      <c:valAx>
        <c:axId val="62533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3362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Mazandaran,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(All)'!$BV$7:$BV$107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(All)'!$BV$7:$BV$107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5339568"/>
        <c:axId val="625340128"/>
      </c:scatterChart>
      <c:valAx>
        <c:axId val="6253395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340128"/>
        <c:crosses val="autoZero"/>
        <c:crossBetween val="midCat"/>
        <c:majorUnit val="5"/>
      </c:valAx>
      <c:valAx>
        <c:axId val="62534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3395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Mazandaran,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(All)'!$BW$7:$BW$107</c:f>
              <c:numCache>
                <c:formatCode>0.0000</c:formatCode>
                <c:ptCount val="92"/>
                <c:pt idx="66">
                  <c:v>46.141273049734913</c:v>
                </c:pt>
                <c:pt idx="67">
                  <c:v>53.527130468842465</c:v>
                </c:pt>
                <c:pt idx="68">
                  <c:v>52.672628402253885</c:v>
                </c:pt>
                <c:pt idx="69">
                  <c:v>60.111774265358818</c:v>
                </c:pt>
                <c:pt idx="70">
                  <c:v>75.053765036170361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(All)'!$BW$7:$BW$107</c:f>
              <c:numCache>
                <c:formatCode>0.0000</c:formatCode>
                <c:ptCount val="92"/>
                <c:pt idx="66">
                  <c:v>46.141273049734913</c:v>
                </c:pt>
                <c:pt idx="67">
                  <c:v>53.527130468842465</c:v>
                </c:pt>
                <c:pt idx="68">
                  <c:v>52.672628402253885</c:v>
                </c:pt>
                <c:pt idx="69">
                  <c:v>60.111774265358818</c:v>
                </c:pt>
                <c:pt idx="70">
                  <c:v>75.053765036170361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5342928"/>
        <c:axId val="625343488"/>
      </c:scatterChart>
      <c:valAx>
        <c:axId val="62534292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343488"/>
        <c:crosses val="autoZero"/>
        <c:crossBetween val="midCat"/>
        <c:majorUnit val="5"/>
      </c:valAx>
      <c:valAx>
        <c:axId val="625343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3429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Mazandaran,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(All)'!$BX$7:$BX$107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(All)'!$BX$7:$BX$107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5346288"/>
        <c:axId val="625346848"/>
      </c:scatterChart>
      <c:valAx>
        <c:axId val="6253462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346848"/>
        <c:crosses val="autoZero"/>
        <c:crossBetween val="midCat"/>
        <c:majorUnit val="5"/>
      </c:valAx>
      <c:valAx>
        <c:axId val="625346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3462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Ghilan &amp; Tunekabun,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(All)'!$BY$7:$BY$107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(All)'!$BY$7:$BY$107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5349648"/>
        <c:axId val="625350208"/>
      </c:scatterChart>
      <c:valAx>
        <c:axId val="6253496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350208"/>
        <c:crosses val="autoZero"/>
        <c:crossBetween val="midCat"/>
        <c:majorUnit val="5"/>
      </c:valAx>
      <c:valAx>
        <c:axId val="62535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3496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Palestine,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(All)'!$Q$7:$Q$107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(All)'!$Q$7:$Q$107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7255456"/>
        <c:axId val="707256016"/>
      </c:scatterChart>
      <c:valAx>
        <c:axId val="70725545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7256016"/>
        <c:crosses val="autoZero"/>
        <c:crossBetween val="midCat"/>
        <c:majorUnit val="5"/>
      </c:valAx>
      <c:valAx>
        <c:axId val="70725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725545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Ghilan &amp; Tunekabun,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(All)'!$BZ$7:$BZ$107</c:f>
              <c:numCache>
                <c:formatCode>0.0000</c:formatCode>
                <c:ptCount val="92"/>
                <c:pt idx="66">
                  <c:v>48.549819774093791</c:v>
                </c:pt>
                <c:pt idx="67">
                  <c:v>44.598048718545733</c:v>
                </c:pt>
                <c:pt idx="68">
                  <c:v>45.414721421043296</c:v>
                </c:pt>
                <c:pt idx="69">
                  <c:v>49.526252755926912</c:v>
                </c:pt>
                <c:pt idx="70">
                  <c:v>44.799973716998302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(All)'!$BZ$7:$BZ$107</c:f>
              <c:numCache>
                <c:formatCode>0.0000</c:formatCode>
                <c:ptCount val="92"/>
                <c:pt idx="66">
                  <c:v>48.549819774093791</c:v>
                </c:pt>
                <c:pt idx="67">
                  <c:v>44.598048718545733</c:v>
                </c:pt>
                <c:pt idx="68">
                  <c:v>45.414721421043296</c:v>
                </c:pt>
                <c:pt idx="69">
                  <c:v>49.526252755926912</c:v>
                </c:pt>
                <c:pt idx="70">
                  <c:v>44.799973716998302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5353008"/>
        <c:axId val="625353568"/>
      </c:scatterChart>
      <c:valAx>
        <c:axId val="6253530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353568"/>
        <c:crosses val="autoZero"/>
        <c:crossBetween val="midCat"/>
        <c:majorUnit val="5"/>
      </c:valAx>
      <c:valAx>
        <c:axId val="625353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3530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Ghilan &amp; Tunekabun,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(All)'!$CA$7:$CA$107</c:f>
              <c:numCache>
                <c:formatCode>0.0000</c:formatCode>
                <c:ptCount val="92"/>
                <c:pt idx="35">
                  <c:v>46.000000000000028</c:v>
                </c:pt>
                <c:pt idx="36">
                  <c:v>33.000000000000099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(All)'!$CA$7:$CA$107</c:f>
              <c:numCache>
                <c:formatCode>0.0000</c:formatCode>
                <c:ptCount val="92"/>
                <c:pt idx="35">
                  <c:v>46.000000000000028</c:v>
                </c:pt>
                <c:pt idx="36">
                  <c:v>33.000000000000099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5356368"/>
        <c:axId val="625356928"/>
      </c:scatterChart>
      <c:valAx>
        <c:axId val="6253563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356928"/>
        <c:crosses val="autoZero"/>
        <c:crossBetween val="midCat"/>
        <c:majorUnit val="5"/>
      </c:valAx>
      <c:valAx>
        <c:axId val="62535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3563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Bender Gez &amp; Astarabad,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(All)'!$CB$7:$CB$107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(All)'!$CB$7:$CB$107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5359728"/>
        <c:axId val="625360288"/>
      </c:scatterChart>
      <c:valAx>
        <c:axId val="62535972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360288"/>
        <c:crosses val="autoZero"/>
        <c:crossBetween val="midCat"/>
        <c:majorUnit val="5"/>
      </c:valAx>
      <c:valAx>
        <c:axId val="62536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3597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Bender Gez &amp; Astarabad,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(All)'!$CC$7:$CC$107</c:f>
              <c:numCache>
                <c:formatCode>0.0000</c:formatCode>
                <c:ptCount val="92"/>
                <c:pt idx="51">
                  <c:v>21.473103448275854</c:v>
                </c:pt>
                <c:pt idx="52">
                  <c:v>20.303448275862081</c:v>
                </c:pt>
                <c:pt idx="66">
                  <c:v>51.81263712036003</c:v>
                </c:pt>
                <c:pt idx="67">
                  <c:v>52.974791466252093</c:v>
                </c:pt>
                <c:pt idx="68">
                  <c:v>55.649644643566404</c:v>
                </c:pt>
                <c:pt idx="69">
                  <c:v>59.254542399267486</c:v>
                </c:pt>
                <c:pt idx="70">
                  <c:v>69.021967086933273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(All)'!$CC$7:$CC$107</c:f>
              <c:numCache>
                <c:formatCode>0.0000</c:formatCode>
                <c:ptCount val="92"/>
                <c:pt idx="51">
                  <c:v>21.473103448275854</c:v>
                </c:pt>
                <c:pt idx="52">
                  <c:v>20.303448275862081</c:v>
                </c:pt>
                <c:pt idx="66">
                  <c:v>51.81263712036003</c:v>
                </c:pt>
                <c:pt idx="67">
                  <c:v>52.974791466252093</c:v>
                </c:pt>
                <c:pt idx="68">
                  <c:v>55.649644643566404</c:v>
                </c:pt>
                <c:pt idx="69">
                  <c:v>59.254542399267486</c:v>
                </c:pt>
                <c:pt idx="70">
                  <c:v>69.021967086933273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5363088"/>
        <c:axId val="625363648"/>
      </c:scatterChart>
      <c:valAx>
        <c:axId val="6253630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363648"/>
        <c:crosses val="autoZero"/>
        <c:crossBetween val="midCat"/>
        <c:majorUnit val="5"/>
      </c:valAx>
      <c:valAx>
        <c:axId val="62536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3630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Bender Gez &amp; Astarabad,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(All)'!$CD$7:$CD$107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(All)'!$CD$7:$CD$107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5366448"/>
        <c:axId val="625367008"/>
      </c:scatterChart>
      <c:valAx>
        <c:axId val="6253664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367008"/>
        <c:crosses val="autoZero"/>
        <c:crossBetween val="midCat"/>
        <c:majorUnit val="5"/>
      </c:valAx>
      <c:valAx>
        <c:axId val="625367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3664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Astara (Imports),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(All)'!$CE$7:$CE$107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(All)'!$CE$7:$CE$107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5369808"/>
        <c:axId val="625370368"/>
      </c:scatterChart>
      <c:valAx>
        <c:axId val="6253698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370368"/>
        <c:crosses val="autoZero"/>
        <c:crossBetween val="midCat"/>
        <c:majorUnit val="5"/>
      </c:valAx>
      <c:valAx>
        <c:axId val="625370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3698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Astara (Exports),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(All)'!$CF$7:$CF$107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(All)'!$CF$7:$CF$107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5373168"/>
        <c:axId val="625373728"/>
      </c:scatterChart>
      <c:valAx>
        <c:axId val="6253731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373728"/>
        <c:crosses val="autoZero"/>
        <c:crossBetween val="midCat"/>
        <c:majorUnit val="5"/>
      </c:valAx>
      <c:valAx>
        <c:axId val="625373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3731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Astara,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(All)'!$CG$7:$CG$107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(All)'!$CG$7:$CG$107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5376528"/>
        <c:axId val="625377088"/>
      </c:scatterChart>
      <c:valAx>
        <c:axId val="62537652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377088"/>
        <c:crosses val="autoZero"/>
        <c:crossBetween val="midCat"/>
        <c:majorUnit val="5"/>
      </c:valAx>
      <c:valAx>
        <c:axId val="62537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3765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Sultanabad,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(All)'!$CH$7:$CH$107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(All)'!$CH$7:$CH$107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5379888"/>
        <c:axId val="625380448"/>
      </c:scatterChart>
      <c:valAx>
        <c:axId val="6253798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380448"/>
        <c:crosses val="autoZero"/>
        <c:crossBetween val="midCat"/>
        <c:majorUnit val="5"/>
      </c:valAx>
      <c:valAx>
        <c:axId val="6253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3798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Sultanabad,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(All)'!$CI$7:$CI$107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(All)'!$CI$7:$CI$107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5383248"/>
        <c:axId val="625383808"/>
      </c:scatterChart>
      <c:valAx>
        <c:axId val="6253832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383808"/>
        <c:crosses val="autoZero"/>
        <c:crossBetween val="midCat"/>
        <c:majorUnit val="5"/>
      </c:valAx>
      <c:valAx>
        <c:axId val="625383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3832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Palestine, Exports,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(All)'!$R$7:$R$107</c:f>
              <c:numCache>
                <c:formatCode>0.0000</c:formatCode>
                <c:ptCount val="92"/>
                <c:pt idx="20">
                  <c:v>44.267154930963777</c:v>
                </c:pt>
                <c:pt idx="21">
                  <c:v>51.149003128498691</c:v>
                </c:pt>
                <c:pt idx="22">
                  <c:v>91.209725800190597</c:v>
                </c:pt>
                <c:pt idx="23">
                  <c:v>122.19506332476844</c:v>
                </c:pt>
                <c:pt idx="33">
                  <c:v>47.052734352025027</c:v>
                </c:pt>
                <c:pt idx="34">
                  <c:v>49.405371069626206</c:v>
                </c:pt>
                <c:pt idx="35">
                  <c:v>40.141863994071393</c:v>
                </c:pt>
                <c:pt idx="63">
                  <c:v>46.666666666666593</c:v>
                </c:pt>
                <c:pt idx="66">
                  <c:v>65.3333333333334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(All)'!$R$7:$R$107</c:f>
              <c:numCache>
                <c:formatCode>0.0000</c:formatCode>
                <c:ptCount val="92"/>
                <c:pt idx="20">
                  <c:v>44.267154930963777</c:v>
                </c:pt>
                <c:pt idx="21">
                  <c:v>51.149003128498691</c:v>
                </c:pt>
                <c:pt idx="22">
                  <c:v>91.209725800190597</c:v>
                </c:pt>
                <c:pt idx="23">
                  <c:v>122.19506332476844</c:v>
                </c:pt>
                <c:pt idx="33">
                  <c:v>47.052734352025027</c:v>
                </c:pt>
                <c:pt idx="34">
                  <c:v>49.405371069626206</c:v>
                </c:pt>
                <c:pt idx="35">
                  <c:v>40.141863994071393</c:v>
                </c:pt>
                <c:pt idx="63">
                  <c:v>46.666666666666593</c:v>
                </c:pt>
                <c:pt idx="66">
                  <c:v>65.3333333333334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7258816"/>
        <c:axId val="707259376"/>
      </c:scatterChart>
      <c:valAx>
        <c:axId val="70725881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7259376"/>
        <c:crosses val="autoZero"/>
        <c:crossBetween val="midCat"/>
        <c:majorUnit val="5"/>
      </c:valAx>
      <c:valAx>
        <c:axId val="70725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725881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Sultanabad,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(All)'!$CJ$7:$CJ$107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(All)'!$CJ$7:$CJ$107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5386608"/>
        <c:axId val="625387168"/>
      </c:scatterChart>
      <c:valAx>
        <c:axId val="6253866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387168"/>
        <c:crosses val="autoZero"/>
        <c:crossBetween val="midCat"/>
        <c:majorUnit val="5"/>
      </c:valAx>
      <c:valAx>
        <c:axId val="6253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3866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Bahrain,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(All)'!$CK$7:$CK$107</c:f>
              <c:numCache>
                <c:formatCode>0.0000</c:formatCode>
                <c:ptCount val="92"/>
                <c:pt idx="48">
                  <c:v>33.079166666666666</c:v>
                </c:pt>
                <c:pt idx="49">
                  <c:v>35.940067665538905</c:v>
                </c:pt>
                <c:pt idx="51">
                  <c:v>34.152923538230887</c:v>
                </c:pt>
                <c:pt idx="52">
                  <c:v>29.277108433734938</c:v>
                </c:pt>
                <c:pt idx="53">
                  <c:v>28.858299595141702</c:v>
                </c:pt>
                <c:pt idx="54">
                  <c:v>25.28</c:v>
                </c:pt>
                <c:pt idx="55">
                  <c:v>31.043137254901964</c:v>
                </c:pt>
                <c:pt idx="56">
                  <c:v>25.342756183745582</c:v>
                </c:pt>
                <c:pt idx="57">
                  <c:v>28.858638743455497</c:v>
                </c:pt>
                <c:pt idx="58">
                  <c:v>24.903225806451612</c:v>
                </c:pt>
                <c:pt idx="59">
                  <c:v>30.196078431372548</c:v>
                </c:pt>
                <c:pt idx="60">
                  <c:v>28.197325956662059</c:v>
                </c:pt>
                <c:pt idx="61">
                  <c:v>30.02290950744559</c:v>
                </c:pt>
                <c:pt idx="62">
                  <c:v>33.297872340425535</c:v>
                </c:pt>
                <c:pt idx="63">
                  <c:v>37.599999999999994</c:v>
                </c:pt>
                <c:pt idx="64">
                  <c:v>25.699958211450063</c:v>
                </c:pt>
                <c:pt idx="65">
                  <c:v>29.467330016583748</c:v>
                </c:pt>
                <c:pt idx="66">
                  <c:v>23.108851518706818</c:v>
                </c:pt>
                <c:pt idx="67">
                  <c:v>27.986798679867988</c:v>
                </c:pt>
                <c:pt idx="68">
                  <c:v>33.704052780395855</c:v>
                </c:pt>
                <c:pt idx="69">
                  <c:v>13.564888384411653</c:v>
                </c:pt>
                <c:pt idx="70">
                  <c:v>53.926701570680621</c:v>
                </c:pt>
                <c:pt idx="71">
                  <c:v>27.318489835430782</c:v>
                </c:pt>
                <c:pt idx="72">
                  <c:v>26.064516129032256</c:v>
                </c:pt>
                <c:pt idx="73">
                  <c:v>37.481481481481481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(All)'!$CK$7:$CK$107</c:f>
              <c:numCache>
                <c:formatCode>0.0000</c:formatCode>
                <c:ptCount val="92"/>
                <c:pt idx="48">
                  <c:v>33.079166666666666</c:v>
                </c:pt>
                <c:pt idx="49">
                  <c:v>35.940067665538905</c:v>
                </c:pt>
                <c:pt idx="51">
                  <c:v>34.152923538230887</c:v>
                </c:pt>
                <c:pt idx="52">
                  <c:v>29.277108433734938</c:v>
                </c:pt>
                <c:pt idx="53">
                  <c:v>28.858299595141702</c:v>
                </c:pt>
                <c:pt idx="54">
                  <c:v>25.28</c:v>
                </c:pt>
                <c:pt idx="55">
                  <c:v>31.043137254901964</c:v>
                </c:pt>
                <c:pt idx="56">
                  <c:v>25.342756183745582</c:v>
                </c:pt>
                <c:pt idx="57">
                  <c:v>28.858638743455497</c:v>
                </c:pt>
                <c:pt idx="58">
                  <c:v>24.903225806451612</c:v>
                </c:pt>
                <c:pt idx="59">
                  <c:v>30.196078431372548</c:v>
                </c:pt>
                <c:pt idx="60">
                  <c:v>28.197325956662059</c:v>
                </c:pt>
                <c:pt idx="61">
                  <c:v>30.02290950744559</c:v>
                </c:pt>
                <c:pt idx="62">
                  <c:v>33.297872340425535</c:v>
                </c:pt>
                <c:pt idx="63">
                  <c:v>37.599999999999994</c:v>
                </c:pt>
                <c:pt idx="64">
                  <c:v>25.699958211450063</c:v>
                </c:pt>
                <c:pt idx="65">
                  <c:v>29.467330016583748</c:v>
                </c:pt>
                <c:pt idx="66">
                  <c:v>23.108851518706818</c:v>
                </c:pt>
                <c:pt idx="67">
                  <c:v>27.986798679867988</c:v>
                </c:pt>
                <c:pt idx="68">
                  <c:v>33.704052780395855</c:v>
                </c:pt>
                <c:pt idx="69">
                  <c:v>13.564888384411653</c:v>
                </c:pt>
                <c:pt idx="70">
                  <c:v>53.926701570680621</c:v>
                </c:pt>
                <c:pt idx="71">
                  <c:v>27.318489835430782</c:v>
                </c:pt>
                <c:pt idx="72">
                  <c:v>26.064516129032256</c:v>
                </c:pt>
                <c:pt idx="73">
                  <c:v>37.481481481481481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5389968"/>
        <c:axId val="625390528"/>
      </c:scatterChart>
      <c:valAx>
        <c:axId val="6253899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390528"/>
        <c:crosses val="autoZero"/>
        <c:crossBetween val="midCat"/>
        <c:majorUnit val="5"/>
      </c:valAx>
      <c:valAx>
        <c:axId val="625390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3899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Bahrain,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(All)'!$CL$7:$CL$107</c:f>
              <c:numCache>
                <c:formatCode>0.0000</c:formatCode>
                <c:ptCount val="92"/>
                <c:pt idx="57">
                  <c:v>17.333333333333336</c:v>
                </c:pt>
                <c:pt idx="58">
                  <c:v>23.846153846153847</c:v>
                </c:pt>
                <c:pt idx="59">
                  <c:v>27.878787878787882</c:v>
                </c:pt>
                <c:pt idx="60">
                  <c:v>33</c:v>
                </c:pt>
                <c:pt idx="61">
                  <c:v>34.883720930232556</c:v>
                </c:pt>
                <c:pt idx="62">
                  <c:v>30.434782608695656</c:v>
                </c:pt>
                <c:pt idx="63">
                  <c:v>40</c:v>
                </c:pt>
                <c:pt idx="64">
                  <c:v>37.209302325581397</c:v>
                </c:pt>
                <c:pt idx="65">
                  <c:v>36.028368794326241</c:v>
                </c:pt>
                <c:pt idx="66">
                  <c:v>28.000000000000004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(All)'!$CL$7:$CL$107</c:f>
              <c:numCache>
                <c:formatCode>0.0000</c:formatCode>
                <c:ptCount val="92"/>
                <c:pt idx="57">
                  <c:v>17.333333333333336</c:v>
                </c:pt>
                <c:pt idx="58">
                  <c:v>23.846153846153847</c:v>
                </c:pt>
                <c:pt idx="59">
                  <c:v>27.878787878787882</c:v>
                </c:pt>
                <c:pt idx="60">
                  <c:v>33</c:v>
                </c:pt>
                <c:pt idx="61">
                  <c:v>34.883720930232556</c:v>
                </c:pt>
                <c:pt idx="62">
                  <c:v>30.434782608695656</c:v>
                </c:pt>
                <c:pt idx="63">
                  <c:v>40</c:v>
                </c:pt>
                <c:pt idx="64">
                  <c:v>37.209302325581397</c:v>
                </c:pt>
                <c:pt idx="65">
                  <c:v>36.028368794326241</c:v>
                </c:pt>
                <c:pt idx="66">
                  <c:v>28.000000000000004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5393328"/>
        <c:axId val="625393888"/>
      </c:scatterChart>
      <c:valAx>
        <c:axId val="62539332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393888"/>
        <c:crosses val="autoZero"/>
        <c:crossBetween val="midCat"/>
        <c:majorUnit val="5"/>
      </c:valAx>
      <c:valAx>
        <c:axId val="62539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3933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Bahrain,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(All)'!$CM$7:$CM$107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(All)'!$CM$7:$CM$107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5396688"/>
        <c:axId val="625397248"/>
      </c:scatterChart>
      <c:valAx>
        <c:axId val="6253966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397248"/>
        <c:crosses val="autoZero"/>
        <c:crossBetween val="midCat"/>
        <c:majorUnit val="5"/>
      </c:valAx>
      <c:valAx>
        <c:axId val="625397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3966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Muscat,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(All)'!$CN$7:$CN$107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(All)'!$CN$7:$CN$107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5400048"/>
        <c:axId val="625400608"/>
      </c:scatterChart>
      <c:valAx>
        <c:axId val="6254000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400608"/>
        <c:crosses val="autoZero"/>
        <c:crossBetween val="midCat"/>
        <c:majorUnit val="5"/>
      </c:valAx>
      <c:valAx>
        <c:axId val="62540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4000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Muscat,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(All)'!$CO$7:$CO$107</c:f>
              <c:numCache>
                <c:formatCode>0.0000</c:formatCode>
                <c:ptCount val="92"/>
                <c:pt idx="34">
                  <c:v>32.923704954954999</c:v>
                </c:pt>
                <c:pt idx="35">
                  <c:v>26.974147982387603</c:v>
                </c:pt>
                <c:pt idx="36">
                  <c:v>25.017781205643001</c:v>
                </c:pt>
                <c:pt idx="37">
                  <c:v>24.758061518109802</c:v>
                </c:pt>
                <c:pt idx="38">
                  <c:v>23.741767088631999</c:v>
                </c:pt>
                <c:pt idx="39">
                  <c:v>33.852890118396203</c:v>
                </c:pt>
                <c:pt idx="40">
                  <c:v>29.500768855672401</c:v>
                </c:pt>
                <c:pt idx="41">
                  <c:v>35.0198122157528</c:v>
                </c:pt>
                <c:pt idx="42">
                  <c:v>8.0717230648902607</c:v>
                </c:pt>
                <c:pt idx="43">
                  <c:v>9.3494676511821204</c:v>
                </c:pt>
                <c:pt idx="44">
                  <c:v>32.013274528547797</c:v>
                </c:pt>
                <c:pt idx="45">
                  <c:v>5.9407349723115397</c:v>
                </c:pt>
                <c:pt idx="46">
                  <c:v>14.63947928176224</c:v>
                </c:pt>
                <c:pt idx="47">
                  <c:v>16.14778926836804</c:v>
                </c:pt>
                <c:pt idx="48">
                  <c:v>20.334357709799804</c:v>
                </c:pt>
                <c:pt idx="49">
                  <c:v>20.157789384678399</c:v>
                </c:pt>
                <c:pt idx="50">
                  <c:v>22.646427536861601</c:v>
                </c:pt>
                <c:pt idx="51">
                  <c:v>20.354118990372999</c:v>
                </c:pt>
                <c:pt idx="52">
                  <c:v>19.74998841285014</c:v>
                </c:pt>
                <c:pt idx="53">
                  <c:v>20.637962838606001</c:v>
                </c:pt>
                <c:pt idx="54">
                  <c:v>14.3777431370277</c:v>
                </c:pt>
                <c:pt idx="70">
                  <c:v>55.490196078431396</c:v>
                </c:pt>
                <c:pt idx="71">
                  <c:v>63.8888888888888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(All)'!$CO$7:$CO$107</c:f>
              <c:numCache>
                <c:formatCode>0.0000</c:formatCode>
                <c:ptCount val="92"/>
                <c:pt idx="34">
                  <c:v>32.923704954954999</c:v>
                </c:pt>
                <c:pt idx="35">
                  <c:v>26.974147982387603</c:v>
                </c:pt>
                <c:pt idx="36">
                  <c:v>25.017781205643001</c:v>
                </c:pt>
                <c:pt idx="37">
                  <c:v>24.758061518109802</c:v>
                </c:pt>
                <c:pt idx="38">
                  <c:v>23.741767088631999</c:v>
                </c:pt>
                <c:pt idx="39">
                  <c:v>33.852890118396203</c:v>
                </c:pt>
                <c:pt idx="40">
                  <c:v>29.500768855672401</c:v>
                </c:pt>
                <c:pt idx="41">
                  <c:v>35.0198122157528</c:v>
                </c:pt>
                <c:pt idx="42">
                  <c:v>8.0717230648902607</c:v>
                </c:pt>
                <c:pt idx="43">
                  <c:v>9.3494676511821204</c:v>
                </c:pt>
                <c:pt idx="44">
                  <c:v>32.013274528547797</c:v>
                </c:pt>
                <c:pt idx="45">
                  <c:v>5.9407349723115397</c:v>
                </c:pt>
                <c:pt idx="46">
                  <c:v>14.63947928176224</c:v>
                </c:pt>
                <c:pt idx="47">
                  <c:v>16.14778926836804</c:v>
                </c:pt>
                <c:pt idx="48">
                  <c:v>20.334357709799804</c:v>
                </c:pt>
                <c:pt idx="49">
                  <c:v>20.157789384678399</c:v>
                </c:pt>
                <c:pt idx="50">
                  <c:v>22.646427536861601</c:v>
                </c:pt>
                <c:pt idx="51">
                  <c:v>20.354118990372999</c:v>
                </c:pt>
                <c:pt idx="52">
                  <c:v>19.74998841285014</c:v>
                </c:pt>
                <c:pt idx="53">
                  <c:v>20.637962838606001</c:v>
                </c:pt>
                <c:pt idx="54">
                  <c:v>14.3777431370277</c:v>
                </c:pt>
                <c:pt idx="70">
                  <c:v>55.490196078431396</c:v>
                </c:pt>
                <c:pt idx="71">
                  <c:v>63.8888888888888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5403408"/>
        <c:axId val="625403968"/>
      </c:scatterChart>
      <c:valAx>
        <c:axId val="6254034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403968"/>
        <c:crosses val="autoZero"/>
        <c:crossBetween val="midCat"/>
        <c:majorUnit val="5"/>
      </c:valAx>
      <c:valAx>
        <c:axId val="625403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4034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Muscat,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(All)'!$CP$7:$CP$107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(All)'!$CP$7:$CP$107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5406768"/>
        <c:axId val="625407328"/>
      </c:scatterChart>
      <c:valAx>
        <c:axId val="6254067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407328"/>
        <c:crosses val="autoZero"/>
        <c:crossBetween val="midCat"/>
        <c:majorUnit val="5"/>
      </c:valAx>
      <c:valAx>
        <c:axId val="62540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4067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Mohammerah,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(All)'!$CQ$7:$CQ$107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(All)'!$CQ$7:$CQ$107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5410128"/>
        <c:axId val="625410688"/>
      </c:scatterChart>
      <c:valAx>
        <c:axId val="62541012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410688"/>
        <c:crosses val="autoZero"/>
        <c:crossBetween val="midCat"/>
        <c:majorUnit val="5"/>
      </c:valAx>
      <c:valAx>
        <c:axId val="625410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4101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Mohammerah,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(All)'!$CR$7:$CR$107</c:f>
              <c:numCache>
                <c:formatCode>0.0000</c:formatCode>
                <c:ptCount val="92"/>
                <c:pt idx="50">
                  <c:v>30.6666666666666</c:v>
                </c:pt>
                <c:pt idx="60">
                  <c:v>25.886654478976201</c:v>
                </c:pt>
                <c:pt idx="61">
                  <c:v>22.788844621513999</c:v>
                </c:pt>
                <c:pt idx="62">
                  <c:v>22.956669498725599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(All)'!$CR$7:$CR$107</c:f>
              <c:numCache>
                <c:formatCode>0.0000</c:formatCode>
                <c:ptCount val="92"/>
                <c:pt idx="50">
                  <c:v>30.6666666666666</c:v>
                </c:pt>
                <c:pt idx="60">
                  <c:v>25.886654478976201</c:v>
                </c:pt>
                <c:pt idx="61">
                  <c:v>22.788844621513999</c:v>
                </c:pt>
                <c:pt idx="62">
                  <c:v>22.956669498725599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5413488"/>
        <c:axId val="625414048"/>
      </c:scatterChart>
      <c:valAx>
        <c:axId val="6254134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414048"/>
        <c:crosses val="autoZero"/>
        <c:crossBetween val="midCat"/>
        <c:majorUnit val="5"/>
      </c:valAx>
      <c:valAx>
        <c:axId val="625414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4134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Mohammerah,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(All)'!$CS$7:$CS$107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(All)'!$CS$7:$CS$107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5416848"/>
        <c:axId val="625417408"/>
      </c:scatterChart>
      <c:valAx>
        <c:axId val="6254168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417408"/>
        <c:crosses val="autoZero"/>
        <c:crossBetween val="midCat"/>
        <c:majorUnit val="5"/>
      </c:valAx>
      <c:valAx>
        <c:axId val="625417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4168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Palestine, Bazaar (Local),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(All)'!$S$7:$S$107</c:f>
              <c:numCache>
                <c:formatCode>0.0000</c:formatCode>
                <c:ptCount val="92"/>
                <c:pt idx="22">
                  <c:v>92.223359329969057</c:v>
                </c:pt>
                <c:pt idx="23">
                  <c:v>122.19506332476844</c:v>
                </c:pt>
                <c:pt idx="25">
                  <c:v>111.98550775781958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(All)'!$S$7:$S$107</c:f>
              <c:numCache>
                <c:formatCode>0.0000</c:formatCode>
                <c:ptCount val="92"/>
                <c:pt idx="22">
                  <c:v>92.223359329969057</c:v>
                </c:pt>
                <c:pt idx="23">
                  <c:v>122.19506332476844</c:v>
                </c:pt>
                <c:pt idx="25">
                  <c:v>111.98550775781958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7262176"/>
        <c:axId val="707262736"/>
      </c:scatterChart>
      <c:valAx>
        <c:axId val="70726217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7262736"/>
        <c:crosses val="autoZero"/>
        <c:crossBetween val="midCat"/>
        <c:majorUnit val="5"/>
      </c:valAx>
      <c:valAx>
        <c:axId val="707262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726217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Lingah,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(All)'!$CT$7:$CT$107</c:f>
              <c:numCache>
                <c:formatCode>0.0000</c:formatCode>
                <c:ptCount val="92"/>
                <c:pt idx="47">
                  <c:v>41.592039800994996</c:v>
                </c:pt>
                <c:pt idx="48">
                  <c:v>29.846153846153797</c:v>
                </c:pt>
                <c:pt idx="49">
                  <c:v>27.3555555555556</c:v>
                </c:pt>
                <c:pt idx="50">
                  <c:v>27.9850746268656</c:v>
                </c:pt>
                <c:pt idx="51">
                  <c:v>21.446111869031398</c:v>
                </c:pt>
                <c:pt idx="52">
                  <c:v>22.135593220339</c:v>
                </c:pt>
                <c:pt idx="53">
                  <c:v>38.685714285714198</c:v>
                </c:pt>
                <c:pt idx="54">
                  <c:v>20.453333333333397</c:v>
                </c:pt>
                <c:pt idx="55">
                  <c:v>22.025000000000002</c:v>
                </c:pt>
                <c:pt idx="56">
                  <c:v>17.649999999999999</c:v>
                </c:pt>
                <c:pt idx="57">
                  <c:v>19.650000000000002</c:v>
                </c:pt>
                <c:pt idx="58">
                  <c:v>15.625</c:v>
                </c:pt>
                <c:pt idx="59">
                  <c:v>20.714285714285801</c:v>
                </c:pt>
                <c:pt idx="60">
                  <c:v>23.173913043478201</c:v>
                </c:pt>
                <c:pt idx="61">
                  <c:v>20.9142857142858</c:v>
                </c:pt>
                <c:pt idx="67">
                  <c:v>34.375</c:v>
                </c:pt>
                <c:pt idx="70">
                  <c:v>21.818181818181799</c:v>
                </c:pt>
                <c:pt idx="71">
                  <c:v>42.531645569620196</c:v>
                </c:pt>
                <c:pt idx="72">
                  <c:v>46.956521739130402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(All)'!$CT$7:$CT$107</c:f>
              <c:numCache>
                <c:formatCode>0.0000</c:formatCode>
                <c:ptCount val="92"/>
                <c:pt idx="47">
                  <c:v>41.592039800994996</c:v>
                </c:pt>
                <c:pt idx="48">
                  <c:v>29.846153846153797</c:v>
                </c:pt>
                <c:pt idx="49">
                  <c:v>27.3555555555556</c:v>
                </c:pt>
                <c:pt idx="50">
                  <c:v>27.9850746268656</c:v>
                </c:pt>
                <c:pt idx="51">
                  <c:v>21.446111869031398</c:v>
                </c:pt>
                <c:pt idx="52">
                  <c:v>22.135593220339</c:v>
                </c:pt>
                <c:pt idx="53">
                  <c:v>38.685714285714198</c:v>
                </c:pt>
                <c:pt idx="54">
                  <c:v>20.453333333333397</c:v>
                </c:pt>
                <c:pt idx="55">
                  <c:v>22.025000000000002</c:v>
                </c:pt>
                <c:pt idx="56">
                  <c:v>17.649999999999999</c:v>
                </c:pt>
                <c:pt idx="57">
                  <c:v>19.650000000000002</c:v>
                </c:pt>
                <c:pt idx="58">
                  <c:v>15.625</c:v>
                </c:pt>
                <c:pt idx="59">
                  <c:v>20.714285714285801</c:v>
                </c:pt>
                <c:pt idx="60">
                  <c:v>23.173913043478201</c:v>
                </c:pt>
                <c:pt idx="61">
                  <c:v>20.9142857142858</c:v>
                </c:pt>
                <c:pt idx="67">
                  <c:v>34.375</c:v>
                </c:pt>
                <c:pt idx="70">
                  <c:v>21.818181818181799</c:v>
                </c:pt>
                <c:pt idx="71">
                  <c:v>42.531645569620196</c:v>
                </c:pt>
                <c:pt idx="72">
                  <c:v>46.956521739130402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5420208"/>
        <c:axId val="625420768"/>
      </c:scatterChart>
      <c:valAx>
        <c:axId val="6254202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420768"/>
        <c:crosses val="autoZero"/>
        <c:crossBetween val="midCat"/>
        <c:majorUnit val="5"/>
      </c:valAx>
      <c:valAx>
        <c:axId val="625420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4202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Lingah,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(All)'!$CU$7:$CU$107</c:f>
              <c:numCache>
                <c:formatCode>0.0000</c:formatCode>
                <c:ptCount val="92"/>
                <c:pt idx="57">
                  <c:v>22.5</c:v>
                </c:pt>
                <c:pt idx="58">
                  <c:v>18.785714285714278</c:v>
                </c:pt>
                <c:pt idx="59">
                  <c:v>20</c:v>
                </c:pt>
                <c:pt idx="60">
                  <c:v>20</c:v>
                </c:pt>
                <c:pt idx="61">
                  <c:v>19.2</c:v>
                </c:pt>
                <c:pt idx="66">
                  <c:v>36.754385964912203</c:v>
                </c:pt>
                <c:pt idx="67">
                  <c:v>39.122807017543799</c:v>
                </c:pt>
                <c:pt idx="68">
                  <c:v>33.157894736842202</c:v>
                </c:pt>
                <c:pt idx="69">
                  <c:v>33.714285714285801</c:v>
                </c:pt>
                <c:pt idx="70">
                  <c:v>43.267973856209203</c:v>
                </c:pt>
                <c:pt idx="71">
                  <c:v>50.940170940171001</c:v>
                </c:pt>
                <c:pt idx="72">
                  <c:v>56.25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(All)'!$CU$7:$CU$107</c:f>
              <c:numCache>
                <c:formatCode>0.0000</c:formatCode>
                <c:ptCount val="92"/>
                <c:pt idx="57">
                  <c:v>22.5</c:v>
                </c:pt>
                <c:pt idx="58">
                  <c:v>18.785714285714278</c:v>
                </c:pt>
                <c:pt idx="59">
                  <c:v>20</c:v>
                </c:pt>
                <c:pt idx="60">
                  <c:v>20</c:v>
                </c:pt>
                <c:pt idx="61">
                  <c:v>19.2</c:v>
                </c:pt>
                <c:pt idx="66">
                  <c:v>36.754385964912203</c:v>
                </c:pt>
                <c:pt idx="67">
                  <c:v>39.122807017543799</c:v>
                </c:pt>
                <c:pt idx="68">
                  <c:v>33.157894736842202</c:v>
                </c:pt>
                <c:pt idx="69">
                  <c:v>33.714285714285801</c:v>
                </c:pt>
                <c:pt idx="70">
                  <c:v>43.267973856209203</c:v>
                </c:pt>
                <c:pt idx="71">
                  <c:v>50.940170940171001</c:v>
                </c:pt>
                <c:pt idx="72">
                  <c:v>56.25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5423568"/>
        <c:axId val="625424128"/>
      </c:scatterChart>
      <c:valAx>
        <c:axId val="6254235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424128"/>
        <c:crosses val="autoZero"/>
        <c:crossBetween val="midCat"/>
        <c:majorUnit val="5"/>
      </c:valAx>
      <c:valAx>
        <c:axId val="625424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4235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Lingah,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(All)'!$CV$7:$CV$107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(All)'!$CV$7:$CV$107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5426928"/>
        <c:axId val="625427488"/>
      </c:scatterChart>
      <c:valAx>
        <c:axId val="62542692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427488"/>
        <c:crosses val="autoZero"/>
        <c:crossBetween val="midCat"/>
        <c:majorUnit val="5"/>
      </c:valAx>
      <c:valAx>
        <c:axId val="625427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4269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Shiraz,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(All)'!$CW$7:$CW$107</c:f>
              <c:numCache>
                <c:formatCode>General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(All)'!$CW$7:$CW$107</c:f>
              <c:numCache>
                <c:formatCode>General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5430288"/>
        <c:axId val="625430848"/>
      </c:scatterChart>
      <c:valAx>
        <c:axId val="6254302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430848"/>
        <c:crosses val="autoZero"/>
        <c:crossBetween val="midCat"/>
        <c:majorUnit val="5"/>
      </c:valAx>
      <c:valAx>
        <c:axId val="625430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4302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Shiraz,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(All)'!$CX$7:$CX$107</c:f>
              <c:numCache>
                <c:formatCode>General</c:formatCode>
                <c:ptCount val="92"/>
                <c:pt idx="47" formatCode="0.0000">
                  <c:v>25.5647508010126</c:v>
                </c:pt>
                <c:pt idx="48" formatCode="0.0000">
                  <c:v>22.711864503954203</c:v>
                </c:pt>
                <c:pt idx="49" formatCode="0.0000">
                  <c:v>24.088995135765799</c:v>
                </c:pt>
                <c:pt idx="50" formatCode="0.0000">
                  <c:v>20.667916249074199</c:v>
                </c:pt>
                <c:pt idx="51" formatCode="0.0000">
                  <c:v>26.044226044226001</c:v>
                </c:pt>
                <c:pt idx="52" formatCode="0.0000">
                  <c:v>9.5237854251012202</c:v>
                </c:pt>
                <c:pt idx="54" formatCode="0.0000">
                  <c:v>10.371111111111119</c:v>
                </c:pt>
                <c:pt idx="55" formatCode="0.0000">
                  <c:v>12.34545454545454</c:v>
                </c:pt>
                <c:pt idx="56" formatCode="0.0000">
                  <c:v>10.457333333333342</c:v>
                </c:pt>
                <c:pt idx="58" formatCode="0.0000">
                  <c:v>10.649251135980579</c:v>
                </c:pt>
                <c:pt idx="59" formatCode="0.0000">
                  <c:v>11.660773996879481</c:v>
                </c:pt>
                <c:pt idx="60" formatCode="0.0000">
                  <c:v>9.7364404621986793</c:v>
                </c:pt>
                <c:pt idx="61" formatCode="0.0000">
                  <c:v>8.8886486486486405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(All)'!$CX$7:$CX$107</c:f>
              <c:numCache>
                <c:formatCode>General</c:formatCode>
                <c:ptCount val="92"/>
                <c:pt idx="47" formatCode="0.0000">
                  <c:v>25.5647508010126</c:v>
                </c:pt>
                <c:pt idx="48" formatCode="0.0000">
                  <c:v>22.711864503954203</c:v>
                </c:pt>
                <c:pt idx="49" formatCode="0.0000">
                  <c:v>24.088995135765799</c:v>
                </c:pt>
                <c:pt idx="50" formatCode="0.0000">
                  <c:v>20.667916249074199</c:v>
                </c:pt>
                <c:pt idx="51" formatCode="0.0000">
                  <c:v>26.044226044226001</c:v>
                </c:pt>
                <c:pt idx="52" formatCode="0.0000">
                  <c:v>9.5237854251012202</c:v>
                </c:pt>
                <c:pt idx="54" formatCode="0.0000">
                  <c:v>10.371111111111119</c:v>
                </c:pt>
                <c:pt idx="55" formatCode="0.0000">
                  <c:v>12.34545454545454</c:v>
                </c:pt>
                <c:pt idx="56" formatCode="0.0000">
                  <c:v>10.457333333333342</c:v>
                </c:pt>
                <c:pt idx="58" formatCode="0.0000">
                  <c:v>10.649251135980579</c:v>
                </c:pt>
                <c:pt idx="59" formatCode="0.0000">
                  <c:v>11.660773996879481</c:v>
                </c:pt>
                <c:pt idx="60" formatCode="0.0000">
                  <c:v>9.7364404621986793</c:v>
                </c:pt>
                <c:pt idx="61" formatCode="0.0000">
                  <c:v>8.8886486486486405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5433648"/>
        <c:axId val="625434208"/>
      </c:scatterChart>
      <c:valAx>
        <c:axId val="6254336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434208"/>
        <c:crosses val="autoZero"/>
        <c:crossBetween val="midCat"/>
        <c:majorUnit val="5"/>
      </c:valAx>
      <c:valAx>
        <c:axId val="62543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4336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Shiraz,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(All)'!$CY$7:$CY$107</c:f>
              <c:numCache>
                <c:formatCode>General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(All)'!$CY$7:$CY$107</c:f>
              <c:numCache>
                <c:formatCode>General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5437008"/>
        <c:axId val="625437568"/>
      </c:scatterChart>
      <c:valAx>
        <c:axId val="6254370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437568"/>
        <c:crosses val="autoZero"/>
        <c:crossBetween val="midCat"/>
        <c:majorUnit val="5"/>
      </c:valAx>
      <c:valAx>
        <c:axId val="625437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4370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Egypt,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(All)'!$N$7:$N$107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(All)'!$N$7:$N$107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5440368"/>
        <c:axId val="625440928"/>
      </c:scatterChart>
      <c:valAx>
        <c:axId val="6254403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440928"/>
        <c:crosses val="autoZero"/>
        <c:crossBetween val="midCat"/>
        <c:majorUnit val="5"/>
      </c:valAx>
      <c:valAx>
        <c:axId val="625440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4403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Egypt, Bazaar (Local),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465260807916258E-2"/>
          <c:y val="1.8024038777882567E-2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(All)'!$P$7:$P$107</c:f>
              <c:numCache>
                <c:formatCode>0.0000</c:formatCode>
                <c:ptCount val="92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(All)'!$P$7:$P$107</c:f>
              <c:numCache>
                <c:formatCode>0.0000</c:formatCode>
                <c:ptCount val="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5443728"/>
        <c:axId val="625444288"/>
      </c:scatterChart>
      <c:valAx>
        <c:axId val="62544372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444288"/>
        <c:crosses val="autoZero"/>
        <c:crossBetween val="midCat"/>
        <c:majorUnit val="5"/>
      </c:valAx>
      <c:valAx>
        <c:axId val="62544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4437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Egypt, Exports,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(All)'!$O$7:$O$107</c:f>
              <c:numCache>
                <c:formatCode>0.0000</c:formatCode>
                <c:ptCount val="92"/>
                <c:pt idx="45">
                  <c:v>20.298024459078082</c:v>
                </c:pt>
                <c:pt idx="46">
                  <c:v>19.669976981256166</c:v>
                </c:pt>
                <c:pt idx="47">
                  <c:v>20.659015324421258</c:v>
                </c:pt>
                <c:pt idx="48">
                  <c:v>21.290193164933136</c:v>
                </c:pt>
                <c:pt idx="49">
                  <c:v>22.396506550218341</c:v>
                </c:pt>
                <c:pt idx="50">
                  <c:v>20.878846153846155</c:v>
                </c:pt>
                <c:pt idx="51">
                  <c:v>17.71231527093596</c:v>
                </c:pt>
                <c:pt idx="52">
                  <c:v>14.599646017699115</c:v>
                </c:pt>
                <c:pt idx="53">
                  <c:v>15.98625</c:v>
                </c:pt>
                <c:pt idx="54">
                  <c:v>12.718933925596891</c:v>
                </c:pt>
                <c:pt idx="55">
                  <c:v>15.100531914893617</c:v>
                </c:pt>
                <c:pt idx="56">
                  <c:v>16.217050067658999</c:v>
                </c:pt>
                <c:pt idx="57">
                  <c:v>13.093426573426575</c:v>
                </c:pt>
                <c:pt idx="58">
                  <c:v>11.848347245409014</c:v>
                </c:pt>
                <c:pt idx="59">
                  <c:v>14.586494984279085</c:v>
                </c:pt>
                <c:pt idx="60">
                  <c:v>20.181978993919291</c:v>
                </c:pt>
                <c:pt idx="61">
                  <c:v>16.233414992650662</c:v>
                </c:pt>
                <c:pt idx="62">
                  <c:v>17.534936861094408</c:v>
                </c:pt>
                <c:pt idx="63">
                  <c:v>23.561782071926999</c:v>
                </c:pt>
                <c:pt idx="64">
                  <c:v>23.728259766615931</c:v>
                </c:pt>
                <c:pt idx="65">
                  <c:v>20.34171901332925</c:v>
                </c:pt>
                <c:pt idx="66">
                  <c:v>25.748126026579065</c:v>
                </c:pt>
                <c:pt idx="67">
                  <c:v>28.899722991689753</c:v>
                </c:pt>
                <c:pt idx="68">
                  <c:v>22.617013232514179</c:v>
                </c:pt>
                <c:pt idx="69">
                  <c:v>25.951553509781359</c:v>
                </c:pt>
                <c:pt idx="70">
                  <c:v>33.887968047928112</c:v>
                </c:pt>
                <c:pt idx="71">
                  <c:v>29.089966857487198</c:v>
                </c:pt>
                <c:pt idx="72">
                  <c:v>27.8371975442398</c:v>
                </c:pt>
                <c:pt idx="73">
                  <c:v>30.734145991682205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(All)'!$O$7:$O$107</c:f>
              <c:numCache>
                <c:formatCode>0.0000</c:formatCode>
                <c:ptCount val="92"/>
                <c:pt idx="45">
                  <c:v>20.298024459078082</c:v>
                </c:pt>
                <c:pt idx="46">
                  <c:v>19.669976981256166</c:v>
                </c:pt>
                <c:pt idx="47">
                  <c:v>20.659015324421258</c:v>
                </c:pt>
                <c:pt idx="48">
                  <c:v>21.290193164933136</c:v>
                </c:pt>
                <c:pt idx="49">
                  <c:v>22.396506550218341</c:v>
                </c:pt>
                <c:pt idx="50">
                  <c:v>20.878846153846155</c:v>
                </c:pt>
                <c:pt idx="51">
                  <c:v>17.71231527093596</c:v>
                </c:pt>
                <c:pt idx="52">
                  <c:v>14.599646017699115</c:v>
                </c:pt>
                <c:pt idx="53">
                  <c:v>15.98625</c:v>
                </c:pt>
                <c:pt idx="54">
                  <c:v>12.718933925596891</c:v>
                </c:pt>
                <c:pt idx="55">
                  <c:v>15.100531914893617</c:v>
                </c:pt>
                <c:pt idx="56">
                  <c:v>16.217050067658999</c:v>
                </c:pt>
                <c:pt idx="57">
                  <c:v>13.093426573426575</c:v>
                </c:pt>
                <c:pt idx="58">
                  <c:v>11.848347245409014</c:v>
                </c:pt>
                <c:pt idx="59">
                  <c:v>14.586494984279085</c:v>
                </c:pt>
                <c:pt idx="60">
                  <c:v>20.181978993919291</c:v>
                </c:pt>
                <c:pt idx="61">
                  <c:v>16.233414992650662</c:v>
                </c:pt>
                <c:pt idx="62">
                  <c:v>17.534936861094408</c:v>
                </c:pt>
                <c:pt idx="63">
                  <c:v>23.561782071926999</c:v>
                </c:pt>
                <c:pt idx="64">
                  <c:v>23.728259766615931</c:v>
                </c:pt>
                <c:pt idx="65">
                  <c:v>20.34171901332925</c:v>
                </c:pt>
                <c:pt idx="66">
                  <c:v>25.748126026579065</c:v>
                </c:pt>
                <c:pt idx="67">
                  <c:v>28.899722991689753</c:v>
                </c:pt>
                <c:pt idx="68">
                  <c:v>22.617013232514179</c:v>
                </c:pt>
                <c:pt idx="69">
                  <c:v>25.951553509781359</c:v>
                </c:pt>
                <c:pt idx="70">
                  <c:v>33.887968047928112</c:v>
                </c:pt>
                <c:pt idx="71">
                  <c:v>29.089966857487198</c:v>
                </c:pt>
                <c:pt idx="72">
                  <c:v>27.8371975442398</c:v>
                </c:pt>
                <c:pt idx="73">
                  <c:v>30.734145991682205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5447088"/>
        <c:axId val="625447648"/>
      </c:scatterChart>
      <c:valAx>
        <c:axId val="6254470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447648"/>
        <c:crosses val="autoZero"/>
        <c:crossBetween val="midCat"/>
        <c:majorUnit val="5"/>
      </c:valAx>
      <c:valAx>
        <c:axId val="625447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4470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India,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(All)'!$CZ$7:$CZ$107</c:f>
              <c:numCache>
                <c:formatCode>General</c:formatCode>
                <c:ptCount val="92"/>
                <c:pt idx="55" formatCode="0.0000">
                  <c:v>26.441727695381072</c:v>
                </c:pt>
                <c:pt idx="56" formatCode="0.0000">
                  <c:v>22.227095956327233</c:v>
                </c:pt>
                <c:pt idx="57" formatCode="0.0000">
                  <c:v>27.554470625297881</c:v>
                </c:pt>
                <c:pt idx="58" formatCode="0.0000">
                  <c:v>27.267846051859745</c:v>
                </c:pt>
                <c:pt idx="59" formatCode="0.0000">
                  <c:v>30.717412191736951</c:v>
                </c:pt>
                <c:pt idx="60" formatCode="0.0000">
                  <c:v>32.649805344421196</c:v>
                </c:pt>
                <c:pt idx="61" formatCode="0.0000">
                  <c:v>41.493868054383832</c:v>
                </c:pt>
                <c:pt idx="62" formatCode="0.0000">
                  <c:v>34.557332789975042</c:v>
                </c:pt>
                <c:pt idx="63" formatCode="0.0000">
                  <c:v>33.476361805771482</c:v>
                </c:pt>
                <c:pt idx="64" formatCode="0.0000">
                  <c:v>36.686908474205367</c:v>
                </c:pt>
                <c:pt idx="65" formatCode="0.0000">
                  <c:v>44.215440863342231</c:v>
                </c:pt>
                <c:pt idx="66" formatCode="0.0000">
                  <c:v>44.615794297604594</c:v>
                </c:pt>
                <c:pt idx="67" formatCode="0.0000">
                  <c:v>52.656844351882128</c:v>
                </c:pt>
                <c:pt idx="68" formatCode="0.0000">
                  <c:v>60.056878416037677</c:v>
                </c:pt>
                <c:pt idx="69" formatCode="0.0000">
                  <c:v>56.345916310056019</c:v>
                </c:pt>
                <c:pt idx="70" formatCode="0.0000">
                  <c:v>47.637083218077755</c:v>
                </c:pt>
                <c:pt idx="71" formatCode="0.0000">
                  <c:v>56.748139807025673</c:v>
                </c:pt>
                <c:pt idx="72" formatCode="0.0000">
                  <c:v>57.621267825888836</c:v>
                </c:pt>
                <c:pt idx="73" formatCode="0.0000">
                  <c:v>54.101457657858198</c:v>
                </c:pt>
                <c:pt idx="74" formatCode="0.0000">
                  <c:v>64.846193626620533</c:v>
                </c:pt>
                <c:pt idx="75" formatCode="0.0000">
                  <c:v>45.244909831297264</c:v>
                </c:pt>
                <c:pt idx="76" formatCode="0.0000">
                  <c:v>51.444856311530948</c:v>
                </c:pt>
                <c:pt idx="77" formatCode="0.0000">
                  <c:v>87.170590170799557</c:v>
                </c:pt>
                <c:pt idx="78" formatCode="0.0000">
                  <c:v>106.46591725396547</c:v>
                </c:pt>
                <c:pt idx="79" formatCode="0.0000">
                  <c:v>172.01157370197717</c:v>
                </c:pt>
                <c:pt idx="80" formatCode="0.0000">
                  <c:v>205.260146232913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'Cotton (All)'!$A$7:$A$107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xVal>
          <c:yVal>
            <c:numRef>
              <c:f>'Cotton (All)'!$CZ$7:$CZ$107</c:f>
              <c:numCache>
                <c:formatCode>General</c:formatCode>
                <c:ptCount val="92"/>
                <c:pt idx="55" formatCode="0.0000">
                  <c:v>26.441727695381072</c:v>
                </c:pt>
                <c:pt idx="56" formatCode="0.0000">
                  <c:v>22.227095956327233</c:v>
                </c:pt>
                <c:pt idx="57" formatCode="0.0000">
                  <c:v>27.554470625297881</c:v>
                </c:pt>
                <c:pt idx="58" formatCode="0.0000">
                  <c:v>27.267846051859745</c:v>
                </c:pt>
                <c:pt idx="59" formatCode="0.0000">
                  <c:v>30.717412191736951</c:v>
                </c:pt>
                <c:pt idx="60" formatCode="0.0000">
                  <c:v>32.649805344421196</c:v>
                </c:pt>
                <c:pt idx="61" formatCode="0.0000">
                  <c:v>41.493868054383832</c:v>
                </c:pt>
                <c:pt idx="62" formatCode="0.0000">
                  <c:v>34.557332789975042</c:v>
                </c:pt>
                <c:pt idx="63" formatCode="0.0000">
                  <c:v>33.476361805771482</c:v>
                </c:pt>
                <c:pt idx="64" formatCode="0.0000">
                  <c:v>36.686908474205367</c:v>
                </c:pt>
                <c:pt idx="65" formatCode="0.0000">
                  <c:v>44.215440863342231</c:v>
                </c:pt>
                <c:pt idx="66" formatCode="0.0000">
                  <c:v>44.615794297604594</c:v>
                </c:pt>
                <c:pt idx="67" formatCode="0.0000">
                  <c:v>52.656844351882128</c:v>
                </c:pt>
                <c:pt idx="68" formatCode="0.0000">
                  <c:v>60.056878416037677</c:v>
                </c:pt>
                <c:pt idx="69" formatCode="0.0000">
                  <c:v>56.345916310056019</c:v>
                </c:pt>
                <c:pt idx="70" formatCode="0.0000">
                  <c:v>47.637083218077755</c:v>
                </c:pt>
                <c:pt idx="71" formatCode="0.0000">
                  <c:v>56.748139807025673</c:v>
                </c:pt>
                <c:pt idx="72" formatCode="0.0000">
                  <c:v>57.621267825888836</c:v>
                </c:pt>
                <c:pt idx="73" formatCode="0.0000">
                  <c:v>54.101457657858198</c:v>
                </c:pt>
                <c:pt idx="74" formatCode="0.0000">
                  <c:v>64.846193626620533</c:v>
                </c:pt>
                <c:pt idx="75" formatCode="0.0000">
                  <c:v>45.244909831297264</c:v>
                </c:pt>
                <c:pt idx="76" formatCode="0.0000">
                  <c:v>51.444856311530948</c:v>
                </c:pt>
                <c:pt idx="77" formatCode="0.0000">
                  <c:v>87.170590170799557</c:v>
                </c:pt>
                <c:pt idx="78" formatCode="0.0000">
                  <c:v>106.46591725396547</c:v>
                </c:pt>
                <c:pt idx="79" formatCode="0.0000">
                  <c:v>172.01157370197717</c:v>
                </c:pt>
                <c:pt idx="80" formatCode="0.0000">
                  <c:v>205.260146232913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5450448"/>
        <c:axId val="625451008"/>
      </c:scatterChart>
      <c:valAx>
        <c:axId val="6254504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451008"/>
        <c:crosses val="autoZero"/>
        <c:crossBetween val="midCat"/>
        <c:majorUnit val="5"/>
      </c:valAx>
      <c:valAx>
        <c:axId val="62545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54504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6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84" Type="http://schemas.openxmlformats.org/officeDocument/2006/relationships/chart" Target="../charts/chart84.xml"/><Relationship Id="rId89" Type="http://schemas.openxmlformats.org/officeDocument/2006/relationships/chart" Target="../charts/chart89.xml"/><Relationship Id="rId16" Type="http://schemas.openxmlformats.org/officeDocument/2006/relationships/chart" Target="../charts/chart16.xml"/><Relationship Id="rId11" Type="http://schemas.openxmlformats.org/officeDocument/2006/relationships/chart" Target="../charts/chart11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74" Type="http://schemas.openxmlformats.org/officeDocument/2006/relationships/chart" Target="../charts/chart74.xml"/><Relationship Id="rId79" Type="http://schemas.openxmlformats.org/officeDocument/2006/relationships/chart" Target="../charts/chart79.xml"/><Relationship Id="rId102" Type="http://schemas.openxmlformats.org/officeDocument/2006/relationships/chart" Target="../charts/chart102.xml"/><Relationship Id="rId5" Type="http://schemas.openxmlformats.org/officeDocument/2006/relationships/chart" Target="../charts/chart5.xml"/><Relationship Id="rId90" Type="http://schemas.openxmlformats.org/officeDocument/2006/relationships/chart" Target="../charts/chart90.xml"/><Relationship Id="rId95" Type="http://schemas.openxmlformats.org/officeDocument/2006/relationships/chart" Target="../charts/chart95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80" Type="http://schemas.openxmlformats.org/officeDocument/2006/relationships/chart" Target="../charts/chart80.xml"/><Relationship Id="rId85" Type="http://schemas.openxmlformats.org/officeDocument/2006/relationships/chart" Target="../charts/chart85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103" Type="http://schemas.openxmlformats.org/officeDocument/2006/relationships/chart" Target="../charts/chart103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75" Type="http://schemas.openxmlformats.org/officeDocument/2006/relationships/chart" Target="../charts/chart75.xml"/><Relationship Id="rId83" Type="http://schemas.openxmlformats.org/officeDocument/2006/relationships/chart" Target="../charts/chart83.xml"/><Relationship Id="rId88" Type="http://schemas.openxmlformats.org/officeDocument/2006/relationships/chart" Target="../charts/chart88.xml"/><Relationship Id="rId91" Type="http://schemas.openxmlformats.org/officeDocument/2006/relationships/chart" Target="../charts/chart91.xml"/><Relationship Id="rId96" Type="http://schemas.openxmlformats.org/officeDocument/2006/relationships/chart" Target="../charts/chart9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81" Type="http://schemas.openxmlformats.org/officeDocument/2006/relationships/chart" Target="../charts/chart81.xml"/><Relationship Id="rId86" Type="http://schemas.openxmlformats.org/officeDocument/2006/relationships/chart" Target="../charts/chart86.xml"/><Relationship Id="rId94" Type="http://schemas.openxmlformats.org/officeDocument/2006/relationships/chart" Target="../charts/chart94.xml"/><Relationship Id="rId99" Type="http://schemas.openxmlformats.org/officeDocument/2006/relationships/chart" Target="../charts/chart99.xml"/><Relationship Id="rId101" Type="http://schemas.openxmlformats.org/officeDocument/2006/relationships/chart" Target="../charts/chart10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34" Type="http://schemas.openxmlformats.org/officeDocument/2006/relationships/chart" Target="../charts/chart34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97" Type="http://schemas.openxmlformats.org/officeDocument/2006/relationships/chart" Target="../charts/chart97.xml"/><Relationship Id="rId104" Type="http://schemas.openxmlformats.org/officeDocument/2006/relationships/chart" Target="../charts/chart104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4" Type="http://schemas.openxmlformats.org/officeDocument/2006/relationships/chart" Target="../charts/chart24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87" Type="http://schemas.openxmlformats.org/officeDocument/2006/relationships/chart" Target="../charts/chart87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56" Type="http://schemas.openxmlformats.org/officeDocument/2006/relationships/chart" Target="../charts/chart56.xml"/><Relationship Id="rId77" Type="http://schemas.openxmlformats.org/officeDocument/2006/relationships/chart" Target="../charts/chart77.xml"/><Relationship Id="rId100" Type="http://schemas.openxmlformats.org/officeDocument/2006/relationships/chart" Target="../charts/chart100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93" Type="http://schemas.openxmlformats.org/officeDocument/2006/relationships/chart" Target="../charts/chart93.xml"/><Relationship Id="rId98" Type="http://schemas.openxmlformats.org/officeDocument/2006/relationships/chart" Target="../charts/chart98.xml"/><Relationship Id="rId3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1</xdr:row>
      <xdr:rowOff>38100</xdr:rowOff>
    </xdr:from>
    <xdr:to>
      <xdr:col>22</xdr:col>
      <xdr:colOff>571500</xdr:colOff>
      <xdr:row>27</xdr:row>
      <xdr:rowOff>139700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1</xdr:row>
      <xdr:rowOff>38100</xdr:rowOff>
    </xdr:from>
    <xdr:to>
      <xdr:col>11</xdr:col>
      <xdr:colOff>152400</xdr:colOff>
      <xdr:row>27</xdr:row>
      <xdr:rowOff>139700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25400</xdr:colOff>
      <xdr:row>30</xdr:row>
      <xdr:rowOff>50800</xdr:rowOff>
    </xdr:from>
    <xdr:to>
      <xdr:col>22</xdr:col>
      <xdr:colOff>558800</xdr:colOff>
      <xdr:row>56</xdr:row>
      <xdr:rowOff>165100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533400</xdr:colOff>
      <xdr:row>30</xdr:row>
      <xdr:rowOff>76200</xdr:rowOff>
    </xdr:from>
    <xdr:to>
      <xdr:col>34</xdr:col>
      <xdr:colOff>457200</xdr:colOff>
      <xdr:row>57</xdr:row>
      <xdr:rowOff>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25400</xdr:colOff>
      <xdr:row>59</xdr:row>
      <xdr:rowOff>50800</xdr:rowOff>
    </xdr:from>
    <xdr:to>
      <xdr:col>22</xdr:col>
      <xdr:colOff>558800</xdr:colOff>
      <xdr:row>85</xdr:row>
      <xdr:rowOff>152400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558800</xdr:colOff>
      <xdr:row>59</xdr:row>
      <xdr:rowOff>101600</xdr:rowOff>
    </xdr:from>
    <xdr:to>
      <xdr:col>34</xdr:col>
      <xdr:colOff>482600</xdr:colOff>
      <xdr:row>86</xdr:row>
      <xdr:rowOff>25400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171450</xdr:colOff>
      <xdr:row>149</xdr:row>
      <xdr:rowOff>50800</xdr:rowOff>
    </xdr:from>
    <xdr:to>
      <xdr:col>11</xdr:col>
      <xdr:colOff>95250</xdr:colOff>
      <xdr:row>175</xdr:row>
      <xdr:rowOff>127000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552450</xdr:colOff>
      <xdr:row>149</xdr:row>
      <xdr:rowOff>50800</xdr:rowOff>
    </xdr:from>
    <xdr:to>
      <xdr:col>22</xdr:col>
      <xdr:colOff>476250</xdr:colOff>
      <xdr:row>175</xdr:row>
      <xdr:rowOff>127000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23</xdr:col>
      <xdr:colOff>552450</xdr:colOff>
      <xdr:row>149</xdr:row>
      <xdr:rowOff>76200</xdr:rowOff>
    </xdr:from>
    <xdr:to>
      <xdr:col>34</xdr:col>
      <xdr:colOff>476250</xdr:colOff>
      <xdr:row>176</xdr:row>
      <xdr:rowOff>25400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203200</xdr:colOff>
      <xdr:row>30</xdr:row>
      <xdr:rowOff>50800</xdr:rowOff>
    </xdr:from>
    <xdr:to>
      <xdr:col>11</xdr:col>
      <xdr:colOff>127000</xdr:colOff>
      <xdr:row>56</xdr:row>
      <xdr:rowOff>152400</xdr:rowOff>
    </xdr:to>
    <xdr:graphicFrame macro="">
      <xdr:nvGraphicFramePr>
        <xdr:cNvPr id="37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59</xdr:row>
      <xdr:rowOff>50800</xdr:rowOff>
    </xdr:from>
    <xdr:to>
      <xdr:col>11</xdr:col>
      <xdr:colOff>152400</xdr:colOff>
      <xdr:row>85</xdr:row>
      <xdr:rowOff>152400</xdr:rowOff>
    </xdr:to>
    <xdr:graphicFrame macro="">
      <xdr:nvGraphicFramePr>
        <xdr:cNvPr id="38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88</xdr:row>
      <xdr:rowOff>76200</xdr:rowOff>
    </xdr:from>
    <xdr:to>
      <xdr:col>11</xdr:col>
      <xdr:colOff>152400</xdr:colOff>
      <xdr:row>115</xdr:row>
      <xdr:rowOff>0</xdr:rowOff>
    </xdr:to>
    <xdr:graphicFrame macro="">
      <xdr:nvGraphicFramePr>
        <xdr:cNvPr id="39" name="Chart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50800</xdr:colOff>
      <xdr:row>88</xdr:row>
      <xdr:rowOff>50800</xdr:rowOff>
    </xdr:from>
    <xdr:to>
      <xdr:col>22</xdr:col>
      <xdr:colOff>584200</xdr:colOff>
      <xdr:row>114</xdr:row>
      <xdr:rowOff>152400</xdr:rowOff>
    </xdr:to>
    <xdr:graphicFrame macro="">
      <xdr:nvGraphicFramePr>
        <xdr:cNvPr id="40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24</xdr:col>
      <xdr:colOff>25400</xdr:colOff>
      <xdr:row>88</xdr:row>
      <xdr:rowOff>76200</xdr:rowOff>
    </xdr:from>
    <xdr:to>
      <xdr:col>34</xdr:col>
      <xdr:colOff>558800</xdr:colOff>
      <xdr:row>115</xdr:row>
      <xdr:rowOff>0</xdr:rowOff>
    </xdr:to>
    <xdr:graphicFrame macro="">
      <xdr:nvGraphicFramePr>
        <xdr:cNvPr id="41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196850</xdr:colOff>
      <xdr:row>178</xdr:row>
      <xdr:rowOff>76200</xdr:rowOff>
    </xdr:from>
    <xdr:to>
      <xdr:col>11</xdr:col>
      <xdr:colOff>120650</xdr:colOff>
      <xdr:row>205</xdr:row>
      <xdr:rowOff>25400</xdr:rowOff>
    </xdr:to>
    <xdr:graphicFrame macro="">
      <xdr:nvGraphicFramePr>
        <xdr:cNvPr id="45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577850</xdr:colOff>
      <xdr:row>178</xdr:row>
      <xdr:rowOff>101600</xdr:rowOff>
    </xdr:from>
    <xdr:to>
      <xdr:col>22</xdr:col>
      <xdr:colOff>501650</xdr:colOff>
      <xdr:row>205</xdr:row>
      <xdr:rowOff>50800</xdr:rowOff>
    </xdr:to>
    <xdr:graphicFrame macro="">
      <xdr:nvGraphicFramePr>
        <xdr:cNvPr id="47" name="Chart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23</xdr:col>
      <xdr:colOff>577850</xdr:colOff>
      <xdr:row>178</xdr:row>
      <xdr:rowOff>101600</xdr:rowOff>
    </xdr:from>
    <xdr:to>
      <xdr:col>34</xdr:col>
      <xdr:colOff>501650</xdr:colOff>
      <xdr:row>205</xdr:row>
      <xdr:rowOff>50800</xdr:rowOff>
    </xdr:to>
    <xdr:graphicFrame macro="">
      <xdr:nvGraphicFramePr>
        <xdr:cNvPr id="48" name="Chart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222250</xdr:colOff>
      <xdr:row>207</xdr:row>
      <xdr:rowOff>127000</xdr:rowOff>
    </xdr:from>
    <xdr:to>
      <xdr:col>11</xdr:col>
      <xdr:colOff>146050</xdr:colOff>
      <xdr:row>234</xdr:row>
      <xdr:rowOff>76200</xdr:rowOff>
    </xdr:to>
    <xdr:graphicFrame macro="">
      <xdr:nvGraphicFramePr>
        <xdr:cNvPr id="49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23</xdr:col>
      <xdr:colOff>603250</xdr:colOff>
      <xdr:row>208</xdr:row>
      <xdr:rowOff>0</xdr:rowOff>
    </xdr:from>
    <xdr:to>
      <xdr:col>34</xdr:col>
      <xdr:colOff>527050</xdr:colOff>
      <xdr:row>234</xdr:row>
      <xdr:rowOff>76200</xdr:rowOff>
    </xdr:to>
    <xdr:graphicFrame macro="">
      <xdr:nvGraphicFramePr>
        <xdr:cNvPr id="51" name="Chart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603250</xdr:colOff>
      <xdr:row>207</xdr:row>
      <xdr:rowOff>127000</xdr:rowOff>
    </xdr:from>
    <xdr:to>
      <xdr:col>22</xdr:col>
      <xdr:colOff>527050</xdr:colOff>
      <xdr:row>234</xdr:row>
      <xdr:rowOff>76200</xdr:rowOff>
    </xdr:to>
    <xdr:graphicFrame macro="">
      <xdr:nvGraphicFramePr>
        <xdr:cNvPr id="52" name="Chart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222250</xdr:colOff>
      <xdr:row>236</xdr:row>
      <xdr:rowOff>101600</xdr:rowOff>
    </xdr:from>
    <xdr:to>
      <xdr:col>11</xdr:col>
      <xdr:colOff>146050</xdr:colOff>
      <xdr:row>263</xdr:row>
      <xdr:rowOff>50800</xdr:rowOff>
    </xdr:to>
    <xdr:graphicFrame macro="">
      <xdr:nvGraphicFramePr>
        <xdr:cNvPr id="53" name="Chart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222250</xdr:colOff>
      <xdr:row>265</xdr:row>
      <xdr:rowOff>101600</xdr:rowOff>
    </xdr:from>
    <xdr:to>
      <xdr:col>11</xdr:col>
      <xdr:colOff>146050</xdr:colOff>
      <xdr:row>292</xdr:row>
      <xdr:rowOff>50800</xdr:rowOff>
    </xdr:to>
    <xdr:graphicFrame macro="">
      <xdr:nvGraphicFramePr>
        <xdr:cNvPr id="54" name="Chart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11</xdr:col>
      <xdr:colOff>501650</xdr:colOff>
      <xdr:row>236</xdr:row>
      <xdr:rowOff>76200</xdr:rowOff>
    </xdr:from>
    <xdr:to>
      <xdr:col>22</xdr:col>
      <xdr:colOff>425450</xdr:colOff>
      <xdr:row>263</xdr:row>
      <xdr:rowOff>25400</xdr:rowOff>
    </xdr:to>
    <xdr:graphicFrame macro="">
      <xdr:nvGraphicFramePr>
        <xdr:cNvPr id="55" name="Chart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23</xdr:col>
      <xdr:colOff>501650</xdr:colOff>
      <xdr:row>236</xdr:row>
      <xdr:rowOff>76200</xdr:rowOff>
    </xdr:from>
    <xdr:to>
      <xdr:col>34</xdr:col>
      <xdr:colOff>425450</xdr:colOff>
      <xdr:row>263</xdr:row>
      <xdr:rowOff>25400</xdr:rowOff>
    </xdr:to>
    <xdr:graphicFrame macro="">
      <xdr:nvGraphicFramePr>
        <xdr:cNvPr id="56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11</xdr:col>
      <xdr:colOff>501650</xdr:colOff>
      <xdr:row>265</xdr:row>
      <xdr:rowOff>76200</xdr:rowOff>
    </xdr:from>
    <xdr:to>
      <xdr:col>22</xdr:col>
      <xdr:colOff>425450</xdr:colOff>
      <xdr:row>292</xdr:row>
      <xdr:rowOff>25400</xdr:rowOff>
    </xdr:to>
    <xdr:graphicFrame macro="">
      <xdr:nvGraphicFramePr>
        <xdr:cNvPr id="57" name="Chart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23</xdr:col>
      <xdr:colOff>501650</xdr:colOff>
      <xdr:row>265</xdr:row>
      <xdr:rowOff>76200</xdr:rowOff>
    </xdr:from>
    <xdr:to>
      <xdr:col>34</xdr:col>
      <xdr:colOff>425450</xdr:colOff>
      <xdr:row>292</xdr:row>
      <xdr:rowOff>25400</xdr:rowOff>
    </xdr:to>
    <xdr:graphicFrame macro="">
      <xdr:nvGraphicFramePr>
        <xdr:cNvPr id="58" name="Chart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11</xdr:col>
      <xdr:colOff>558800</xdr:colOff>
      <xdr:row>294</xdr:row>
      <xdr:rowOff>76200</xdr:rowOff>
    </xdr:from>
    <xdr:to>
      <xdr:col>22</xdr:col>
      <xdr:colOff>482600</xdr:colOff>
      <xdr:row>321</xdr:row>
      <xdr:rowOff>25400</xdr:rowOff>
    </xdr:to>
    <xdr:graphicFrame macro="">
      <xdr:nvGraphicFramePr>
        <xdr:cNvPr id="60" name="Chart 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234950</xdr:colOff>
      <xdr:row>294</xdr:row>
      <xdr:rowOff>76200</xdr:rowOff>
    </xdr:from>
    <xdr:to>
      <xdr:col>11</xdr:col>
      <xdr:colOff>158750</xdr:colOff>
      <xdr:row>321</xdr:row>
      <xdr:rowOff>25400</xdr:rowOff>
    </xdr:to>
    <xdr:graphicFrame macro="">
      <xdr:nvGraphicFramePr>
        <xdr:cNvPr id="67" name="Chart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23</xdr:col>
      <xdr:colOff>501650</xdr:colOff>
      <xdr:row>294</xdr:row>
      <xdr:rowOff>76200</xdr:rowOff>
    </xdr:from>
    <xdr:to>
      <xdr:col>34</xdr:col>
      <xdr:colOff>425450</xdr:colOff>
      <xdr:row>321</xdr:row>
      <xdr:rowOff>25400</xdr:rowOff>
    </xdr:to>
    <xdr:graphicFrame macro="">
      <xdr:nvGraphicFramePr>
        <xdr:cNvPr id="68" name="Chart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254000</xdr:colOff>
      <xdr:row>323</xdr:row>
      <xdr:rowOff>57150</xdr:rowOff>
    </xdr:from>
    <xdr:to>
      <xdr:col>11</xdr:col>
      <xdr:colOff>177800</xdr:colOff>
      <xdr:row>349</xdr:row>
      <xdr:rowOff>139700</xdr:rowOff>
    </xdr:to>
    <xdr:graphicFrame macro="">
      <xdr:nvGraphicFramePr>
        <xdr:cNvPr id="69" name="Chart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11</xdr:col>
      <xdr:colOff>558800</xdr:colOff>
      <xdr:row>323</xdr:row>
      <xdr:rowOff>76200</xdr:rowOff>
    </xdr:from>
    <xdr:to>
      <xdr:col>22</xdr:col>
      <xdr:colOff>482600</xdr:colOff>
      <xdr:row>350</xdr:row>
      <xdr:rowOff>6350</xdr:rowOff>
    </xdr:to>
    <xdr:graphicFrame macro="">
      <xdr:nvGraphicFramePr>
        <xdr:cNvPr id="70" name="Chart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23</xdr:col>
      <xdr:colOff>501650</xdr:colOff>
      <xdr:row>324</xdr:row>
      <xdr:rowOff>0</xdr:rowOff>
    </xdr:from>
    <xdr:to>
      <xdr:col>34</xdr:col>
      <xdr:colOff>425450</xdr:colOff>
      <xdr:row>350</xdr:row>
      <xdr:rowOff>82550</xdr:rowOff>
    </xdr:to>
    <xdr:graphicFrame macro="">
      <xdr:nvGraphicFramePr>
        <xdr:cNvPr id="71" name="Chart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292100</xdr:colOff>
      <xdr:row>352</xdr:row>
      <xdr:rowOff>38100</xdr:rowOff>
    </xdr:from>
    <xdr:to>
      <xdr:col>11</xdr:col>
      <xdr:colOff>215900</xdr:colOff>
      <xdr:row>378</xdr:row>
      <xdr:rowOff>120650</xdr:rowOff>
    </xdr:to>
    <xdr:graphicFrame macro="">
      <xdr:nvGraphicFramePr>
        <xdr:cNvPr id="72" name="Chart 7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11</xdr:col>
      <xdr:colOff>558800</xdr:colOff>
      <xdr:row>352</xdr:row>
      <xdr:rowOff>19050</xdr:rowOff>
    </xdr:from>
    <xdr:to>
      <xdr:col>22</xdr:col>
      <xdr:colOff>482600</xdr:colOff>
      <xdr:row>378</xdr:row>
      <xdr:rowOff>101600</xdr:rowOff>
    </xdr:to>
    <xdr:graphicFrame macro="">
      <xdr:nvGraphicFramePr>
        <xdr:cNvPr id="76" name="Chart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23</xdr:col>
      <xdr:colOff>539750</xdr:colOff>
      <xdr:row>352</xdr:row>
      <xdr:rowOff>38100</xdr:rowOff>
    </xdr:from>
    <xdr:to>
      <xdr:col>34</xdr:col>
      <xdr:colOff>463550</xdr:colOff>
      <xdr:row>378</xdr:row>
      <xdr:rowOff>120650</xdr:rowOff>
    </xdr:to>
    <xdr:graphicFrame macro="">
      <xdr:nvGraphicFramePr>
        <xdr:cNvPr id="77" name="Chart 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311150</xdr:colOff>
      <xdr:row>380</xdr:row>
      <xdr:rowOff>114300</xdr:rowOff>
    </xdr:from>
    <xdr:to>
      <xdr:col>11</xdr:col>
      <xdr:colOff>234950</xdr:colOff>
      <xdr:row>407</xdr:row>
      <xdr:rowOff>63500</xdr:rowOff>
    </xdr:to>
    <xdr:graphicFrame macro="">
      <xdr:nvGraphicFramePr>
        <xdr:cNvPr id="78" name="Chart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11</xdr:col>
      <xdr:colOff>520700</xdr:colOff>
      <xdr:row>380</xdr:row>
      <xdr:rowOff>114300</xdr:rowOff>
    </xdr:from>
    <xdr:to>
      <xdr:col>22</xdr:col>
      <xdr:colOff>444500</xdr:colOff>
      <xdr:row>407</xdr:row>
      <xdr:rowOff>63500</xdr:rowOff>
    </xdr:to>
    <xdr:graphicFrame macro="">
      <xdr:nvGraphicFramePr>
        <xdr:cNvPr id="79" name="Chart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23</xdr:col>
      <xdr:colOff>520700</xdr:colOff>
      <xdr:row>380</xdr:row>
      <xdr:rowOff>133350</xdr:rowOff>
    </xdr:from>
    <xdr:to>
      <xdr:col>34</xdr:col>
      <xdr:colOff>444500</xdr:colOff>
      <xdr:row>407</xdr:row>
      <xdr:rowOff>82550</xdr:rowOff>
    </xdr:to>
    <xdr:graphicFrame macro="">
      <xdr:nvGraphicFramePr>
        <xdr:cNvPr id="80" name="Chart 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0</xdr:col>
      <xdr:colOff>311150</xdr:colOff>
      <xdr:row>409</xdr:row>
      <xdr:rowOff>76200</xdr:rowOff>
    </xdr:from>
    <xdr:to>
      <xdr:col>11</xdr:col>
      <xdr:colOff>234950</xdr:colOff>
      <xdr:row>436</xdr:row>
      <xdr:rowOff>6350</xdr:rowOff>
    </xdr:to>
    <xdr:graphicFrame macro="">
      <xdr:nvGraphicFramePr>
        <xdr:cNvPr id="81" name="Chart 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11</xdr:col>
      <xdr:colOff>577850</xdr:colOff>
      <xdr:row>438</xdr:row>
      <xdr:rowOff>57150</xdr:rowOff>
    </xdr:from>
    <xdr:to>
      <xdr:col>22</xdr:col>
      <xdr:colOff>501650</xdr:colOff>
      <xdr:row>464</xdr:row>
      <xdr:rowOff>139700</xdr:rowOff>
    </xdr:to>
    <xdr:graphicFrame macro="">
      <xdr:nvGraphicFramePr>
        <xdr:cNvPr id="82" name="Chart 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23</xdr:col>
      <xdr:colOff>520700</xdr:colOff>
      <xdr:row>467</xdr:row>
      <xdr:rowOff>0</xdr:rowOff>
    </xdr:from>
    <xdr:to>
      <xdr:col>34</xdr:col>
      <xdr:colOff>444500</xdr:colOff>
      <xdr:row>493</xdr:row>
      <xdr:rowOff>82550</xdr:rowOff>
    </xdr:to>
    <xdr:graphicFrame macro="">
      <xdr:nvGraphicFramePr>
        <xdr:cNvPr id="83" name="Chart 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11</xdr:col>
      <xdr:colOff>539750</xdr:colOff>
      <xdr:row>409</xdr:row>
      <xdr:rowOff>76200</xdr:rowOff>
    </xdr:from>
    <xdr:to>
      <xdr:col>22</xdr:col>
      <xdr:colOff>463550</xdr:colOff>
      <xdr:row>436</xdr:row>
      <xdr:rowOff>6350</xdr:rowOff>
    </xdr:to>
    <xdr:graphicFrame macro="">
      <xdr:nvGraphicFramePr>
        <xdr:cNvPr id="84" name="Chart 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23</xdr:col>
      <xdr:colOff>501650</xdr:colOff>
      <xdr:row>409</xdr:row>
      <xdr:rowOff>76200</xdr:rowOff>
    </xdr:from>
    <xdr:to>
      <xdr:col>34</xdr:col>
      <xdr:colOff>425450</xdr:colOff>
      <xdr:row>436</xdr:row>
      <xdr:rowOff>25400</xdr:rowOff>
    </xdr:to>
    <xdr:graphicFrame macro="">
      <xdr:nvGraphicFramePr>
        <xdr:cNvPr id="85" name="Chart 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0</xdr:col>
      <xdr:colOff>311150</xdr:colOff>
      <xdr:row>438</xdr:row>
      <xdr:rowOff>76200</xdr:rowOff>
    </xdr:from>
    <xdr:to>
      <xdr:col>11</xdr:col>
      <xdr:colOff>234950</xdr:colOff>
      <xdr:row>465</xdr:row>
      <xdr:rowOff>6350</xdr:rowOff>
    </xdr:to>
    <xdr:graphicFrame macro="">
      <xdr:nvGraphicFramePr>
        <xdr:cNvPr id="86" name="Chart 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23</xdr:col>
      <xdr:colOff>501650</xdr:colOff>
      <xdr:row>438</xdr:row>
      <xdr:rowOff>76200</xdr:rowOff>
    </xdr:from>
    <xdr:to>
      <xdr:col>34</xdr:col>
      <xdr:colOff>425450</xdr:colOff>
      <xdr:row>465</xdr:row>
      <xdr:rowOff>6350</xdr:rowOff>
    </xdr:to>
    <xdr:graphicFrame macro="">
      <xdr:nvGraphicFramePr>
        <xdr:cNvPr id="87" name="Chart 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11</xdr:col>
      <xdr:colOff>558800</xdr:colOff>
      <xdr:row>466</xdr:row>
      <xdr:rowOff>133350</xdr:rowOff>
    </xdr:from>
    <xdr:to>
      <xdr:col>22</xdr:col>
      <xdr:colOff>482600</xdr:colOff>
      <xdr:row>493</xdr:row>
      <xdr:rowOff>82550</xdr:rowOff>
    </xdr:to>
    <xdr:graphicFrame macro="">
      <xdr:nvGraphicFramePr>
        <xdr:cNvPr id="88" name="Chart 8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0</xdr:col>
      <xdr:colOff>330200</xdr:colOff>
      <xdr:row>466</xdr:row>
      <xdr:rowOff>133350</xdr:rowOff>
    </xdr:from>
    <xdr:to>
      <xdr:col>11</xdr:col>
      <xdr:colOff>254000</xdr:colOff>
      <xdr:row>493</xdr:row>
      <xdr:rowOff>82550</xdr:rowOff>
    </xdr:to>
    <xdr:graphicFrame macro="">
      <xdr:nvGraphicFramePr>
        <xdr:cNvPr id="89" name="Chart 8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0</xdr:col>
      <xdr:colOff>311150</xdr:colOff>
      <xdr:row>495</xdr:row>
      <xdr:rowOff>76200</xdr:rowOff>
    </xdr:from>
    <xdr:to>
      <xdr:col>11</xdr:col>
      <xdr:colOff>234950</xdr:colOff>
      <xdr:row>522</xdr:row>
      <xdr:rowOff>25400</xdr:rowOff>
    </xdr:to>
    <xdr:graphicFrame macro="">
      <xdr:nvGraphicFramePr>
        <xdr:cNvPr id="97" name="Chart 9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11</xdr:col>
      <xdr:colOff>577850</xdr:colOff>
      <xdr:row>495</xdr:row>
      <xdr:rowOff>76200</xdr:rowOff>
    </xdr:from>
    <xdr:to>
      <xdr:col>22</xdr:col>
      <xdr:colOff>501650</xdr:colOff>
      <xdr:row>522</xdr:row>
      <xdr:rowOff>25400</xdr:rowOff>
    </xdr:to>
    <xdr:graphicFrame macro="">
      <xdr:nvGraphicFramePr>
        <xdr:cNvPr id="98" name="Chart 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23</xdr:col>
      <xdr:colOff>514350</xdr:colOff>
      <xdr:row>495</xdr:row>
      <xdr:rowOff>76200</xdr:rowOff>
    </xdr:from>
    <xdr:to>
      <xdr:col>34</xdr:col>
      <xdr:colOff>438150</xdr:colOff>
      <xdr:row>522</xdr:row>
      <xdr:rowOff>25400</xdr:rowOff>
    </xdr:to>
    <xdr:graphicFrame macro="">
      <xdr:nvGraphicFramePr>
        <xdr:cNvPr id="99" name="Chart 9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0</xdr:col>
      <xdr:colOff>330200</xdr:colOff>
      <xdr:row>524</xdr:row>
      <xdr:rowOff>0</xdr:rowOff>
    </xdr:from>
    <xdr:to>
      <xdr:col>11</xdr:col>
      <xdr:colOff>254000</xdr:colOff>
      <xdr:row>550</xdr:row>
      <xdr:rowOff>82550</xdr:rowOff>
    </xdr:to>
    <xdr:graphicFrame macro="">
      <xdr:nvGraphicFramePr>
        <xdr:cNvPr id="100" name="Chart 9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11</xdr:col>
      <xdr:colOff>577850</xdr:colOff>
      <xdr:row>524</xdr:row>
      <xdr:rowOff>19050</xdr:rowOff>
    </xdr:from>
    <xdr:to>
      <xdr:col>22</xdr:col>
      <xdr:colOff>501650</xdr:colOff>
      <xdr:row>550</xdr:row>
      <xdr:rowOff>101600</xdr:rowOff>
    </xdr:to>
    <xdr:graphicFrame macro="">
      <xdr:nvGraphicFramePr>
        <xdr:cNvPr id="101" name="Chart 1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23</xdr:col>
      <xdr:colOff>539750</xdr:colOff>
      <xdr:row>524</xdr:row>
      <xdr:rowOff>19050</xdr:rowOff>
    </xdr:from>
    <xdr:to>
      <xdr:col>34</xdr:col>
      <xdr:colOff>463550</xdr:colOff>
      <xdr:row>550</xdr:row>
      <xdr:rowOff>101600</xdr:rowOff>
    </xdr:to>
    <xdr:graphicFrame macro="">
      <xdr:nvGraphicFramePr>
        <xdr:cNvPr id="102" name="Chart 1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0</xdr:col>
      <xdr:colOff>298450</xdr:colOff>
      <xdr:row>553</xdr:row>
      <xdr:rowOff>0</xdr:rowOff>
    </xdr:from>
    <xdr:to>
      <xdr:col>11</xdr:col>
      <xdr:colOff>222250</xdr:colOff>
      <xdr:row>579</xdr:row>
      <xdr:rowOff>76200</xdr:rowOff>
    </xdr:to>
    <xdr:graphicFrame macro="">
      <xdr:nvGraphicFramePr>
        <xdr:cNvPr id="125" name="Chart 1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11</xdr:col>
      <xdr:colOff>577850</xdr:colOff>
      <xdr:row>553</xdr:row>
      <xdr:rowOff>50800</xdr:rowOff>
    </xdr:from>
    <xdr:to>
      <xdr:col>22</xdr:col>
      <xdr:colOff>501650</xdr:colOff>
      <xdr:row>579</xdr:row>
      <xdr:rowOff>127000</xdr:rowOff>
    </xdr:to>
    <xdr:graphicFrame macro="">
      <xdr:nvGraphicFramePr>
        <xdr:cNvPr id="126" name="Chart 1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23</xdr:col>
      <xdr:colOff>501650</xdr:colOff>
      <xdr:row>553</xdr:row>
      <xdr:rowOff>50800</xdr:rowOff>
    </xdr:from>
    <xdr:to>
      <xdr:col>34</xdr:col>
      <xdr:colOff>425450</xdr:colOff>
      <xdr:row>579</xdr:row>
      <xdr:rowOff>127000</xdr:rowOff>
    </xdr:to>
    <xdr:graphicFrame macro="">
      <xdr:nvGraphicFramePr>
        <xdr:cNvPr id="127" name="Chart 1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0</xdr:col>
      <xdr:colOff>247650</xdr:colOff>
      <xdr:row>582</xdr:row>
      <xdr:rowOff>0</xdr:rowOff>
    </xdr:from>
    <xdr:to>
      <xdr:col>11</xdr:col>
      <xdr:colOff>171450</xdr:colOff>
      <xdr:row>608</xdr:row>
      <xdr:rowOff>76200</xdr:rowOff>
    </xdr:to>
    <xdr:graphicFrame macro="">
      <xdr:nvGraphicFramePr>
        <xdr:cNvPr id="128" name="Chart 1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11</xdr:col>
      <xdr:colOff>527050</xdr:colOff>
      <xdr:row>582</xdr:row>
      <xdr:rowOff>50800</xdr:rowOff>
    </xdr:from>
    <xdr:to>
      <xdr:col>22</xdr:col>
      <xdr:colOff>450850</xdr:colOff>
      <xdr:row>608</xdr:row>
      <xdr:rowOff>127000</xdr:rowOff>
    </xdr:to>
    <xdr:graphicFrame macro="">
      <xdr:nvGraphicFramePr>
        <xdr:cNvPr id="129" name="Chart 1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23</xdr:col>
      <xdr:colOff>450850</xdr:colOff>
      <xdr:row>582</xdr:row>
      <xdr:rowOff>50800</xdr:rowOff>
    </xdr:from>
    <xdr:to>
      <xdr:col>34</xdr:col>
      <xdr:colOff>374650</xdr:colOff>
      <xdr:row>608</xdr:row>
      <xdr:rowOff>127000</xdr:rowOff>
    </xdr:to>
    <xdr:graphicFrame macro="">
      <xdr:nvGraphicFramePr>
        <xdr:cNvPr id="130" name="Chart 1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0</xdr:col>
      <xdr:colOff>247650</xdr:colOff>
      <xdr:row>610</xdr:row>
      <xdr:rowOff>127000</xdr:rowOff>
    </xdr:from>
    <xdr:to>
      <xdr:col>11</xdr:col>
      <xdr:colOff>171450</xdr:colOff>
      <xdr:row>637</xdr:row>
      <xdr:rowOff>76200</xdr:rowOff>
    </xdr:to>
    <xdr:graphicFrame macro="">
      <xdr:nvGraphicFramePr>
        <xdr:cNvPr id="131" name="Chart 1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11</xdr:col>
      <xdr:colOff>527050</xdr:colOff>
      <xdr:row>611</xdr:row>
      <xdr:rowOff>25400</xdr:rowOff>
    </xdr:from>
    <xdr:to>
      <xdr:col>22</xdr:col>
      <xdr:colOff>450850</xdr:colOff>
      <xdr:row>637</xdr:row>
      <xdr:rowOff>101600</xdr:rowOff>
    </xdr:to>
    <xdr:graphicFrame macro="">
      <xdr:nvGraphicFramePr>
        <xdr:cNvPr id="132" name="Chart 1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23</xdr:col>
      <xdr:colOff>450850</xdr:colOff>
      <xdr:row>611</xdr:row>
      <xdr:rowOff>25400</xdr:rowOff>
    </xdr:from>
    <xdr:to>
      <xdr:col>34</xdr:col>
      <xdr:colOff>374650</xdr:colOff>
      <xdr:row>637</xdr:row>
      <xdr:rowOff>101600</xdr:rowOff>
    </xdr:to>
    <xdr:graphicFrame macro="">
      <xdr:nvGraphicFramePr>
        <xdr:cNvPr id="133" name="Chart 1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0</xdr:col>
      <xdr:colOff>196850</xdr:colOff>
      <xdr:row>639</xdr:row>
      <xdr:rowOff>127000</xdr:rowOff>
    </xdr:from>
    <xdr:to>
      <xdr:col>11</xdr:col>
      <xdr:colOff>120650</xdr:colOff>
      <xdr:row>666</xdr:row>
      <xdr:rowOff>76200</xdr:rowOff>
    </xdr:to>
    <xdr:graphicFrame macro="">
      <xdr:nvGraphicFramePr>
        <xdr:cNvPr id="134" name="Chart 1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11</xdr:col>
      <xdr:colOff>533400</xdr:colOff>
      <xdr:row>640</xdr:row>
      <xdr:rowOff>6350</xdr:rowOff>
    </xdr:from>
    <xdr:to>
      <xdr:col>22</xdr:col>
      <xdr:colOff>457200</xdr:colOff>
      <xdr:row>666</xdr:row>
      <xdr:rowOff>82550</xdr:rowOff>
    </xdr:to>
    <xdr:graphicFrame macro="">
      <xdr:nvGraphicFramePr>
        <xdr:cNvPr id="135" name="Chart 1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23</xdr:col>
      <xdr:colOff>400050</xdr:colOff>
      <xdr:row>640</xdr:row>
      <xdr:rowOff>25400</xdr:rowOff>
    </xdr:from>
    <xdr:to>
      <xdr:col>34</xdr:col>
      <xdr:colOff>323850</xdr:colOff>
      <xdr:row>666</xdr:row>
      <xdr:rowOff>101600</xdr:rowOff>
    </xdr:to>
    <xdr:graphicFrame macro="">
      <xdr:nvGraphicFramePr>
        <xdr:cNvPr id="136" name="Chart 1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0</xdr:col>
      <xdr:colOff>196850</xdr:colOff>
      <xdr:row>669</xdr:row>
      <xdr:rowOff>50800</xdr:rowOff>
    </xdr:from>
    <xdr:to>
      <xdr:col>11</xdr:col>
      <xdr:colOff>120650</xdr:colOff>
      <xdr:row>695</xdr:row>
      <xdr:rowOff>127000</xdr:rowOff>
    </xdr:to>
    <xdr:graphicFrame macro="">
      <xdr:nvGraphicFramePr>
        <xdr:cNvPr id="137" name="Chart 1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11</xdr:col>
      <xdr:colOff>552450</xdr:colOff>
      <xdr:row>669</xdr:row>
      <xdr:rowOff>76200</xdr:rowOff>
    </xdr:from>
    <xdr:to>
      <xdr:col>22</xdr:col>
      <xdr:colOff>476250</xdr:colOff>
      <xdr:row>696</xdr:row>
      <xdr:rowOff>25400</xdr:rowOff>
    </xdr:to>
    <xdr:graphicFrame macro="">
      <xdr:nvGraphicFramePr>
        <xdr:cNvPr id="138" name="Chart 1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23</xdr:col>
      <xdr:colOff>400050</xdr:colOff>
      <xdr:row>669</xdr:row>
      <xdr:rowOff>76200</xdr:rowOff>
    </xdr:from>
    <xdr:to>
      <xdr:col>34</xdr:col>
      <xdr:colOff>323850</xdr:colOff>
      <xdr:row>696</xdr:row>
      <xdr:rowOff>25400</xdr:rowOff>
    </xdr:to>
    <xdr:graphicFrame macro="">
      <xdr:nvGraphicFramePr>
        <xdr:cNvPr id="139" name="Chart 1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0</xdr:col>
      <xdr:colOff>146050</xdr:colOff>
      <xdr:row>698</xdr:row>
      <xdr:rowOff>50800</xdr:rowOff>
    </xdr:from>
    <xdr:to>
      <xdr:col>11</xdr:col>
      <xdr:colOff>69850</xdr:colOff>
      <xdr:row>724</xdr:row>
      <xdr:rowOff>127000</xdr:rowOff>
    </xdr:to>
    <xdr:graphicFrame macro="">
      <xdr:nvGraphicFramePr>
        <xdr:cNvPr id="140" name="Chart 1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11</xdr:col>
      <xdr:colOff>558800</xdr:colOff>
      <xdr:row>698</xdr:row>
      <xdr:rowOff>76200</xdr:rowOff>
    </xdr:from>
    <xdr:to>
      <xdr:col>22</xdr:col>
      <xdr:colOff>482600</xdr:colOff>
      <xdr:row>725</xdr:row>
      <xdr:rowOff>6350</xdr:rowOff>
    </xdr:to>
    <xdr:graphicFrame macro="">
      <xdr:nvGraphicFramePr>
        <xdr:cNvPr id="141" name="Chart 1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23</xdr:col>
      <xdr:colOff>349250</xdr:colOff>
      <xdr:row>698</xdr:row>
      <xdr:rowOff>76200</xdr:rowOff>
    </xdr:from>
    <xdr:to>
      <xdr:col>34</xdr:col>
      <xdr:colOff>273050</xdr:colOff>
      <xdr:row>725</xdr:row>
      <xdr:rowOff>25400</xdr:rowOff>
    </xdr:to>
    <xdr:graphicFrame macro="">
      <xdr:nvGraphicFramePr>
        <xdr:cNvPr id="142" name="Chart 1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0</xdr:col>
      <xdr:colOff>152400</xdr:colOff>
      <xdr:row>727</xdr:row>
      <xdr:rowOff>0</xdr:rowOff>
    </xdr:from>
    <xdr:to>
      <xdr:col>11</xdr:col>
      <xdr:colOff>76200</xdr:colOff>
      <xdr:row>753</xdr:row>
      <xdr:rowOff>76200</xdr:rowOff>
    </xdr:to>
    <xdr:graphicFrame macro="">
      <xdr:nvGraphicFramePr>
        <xdr:cNvPr id="143" name="Chart 1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11</xdr:col>
      <xdr:colOff>546100</xdr:colOff>
      <xdr:row>727</xdr:row>
      <xdr:rowOff>44450</xdr:rowOff>
    </xdr:from>
    <xdr:to>
      <xdr:col>22</xdr:col>
      <xdr:colOff>469900</xdr:colOff>
      <xdr:row>753</xdr:row>
      <xdr:rowOff>127000</xdr:rowOff>
    </xdr:to>
    <xdr:graphicFrame macro="">
      <xdr:nvGraphicFramePr>
        <xdr:cNvPr id="144" name="Chart 1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23</xdr:col>
      <xdr:colOff>355600</xdr:colOff>
      <xdr:row>727</xdr:row>
      <xdr:rowOff>44450</xdr:rowOff>
    </xdr:from>
    <xdr:to>
      <xdr:col>34</xdr:col>
      <xdr:colOff>279400</xdr:colOff>
      <xdr:row>753</xdr:row>
      <xdr:rowOff>127000</xdr:rowOff>
    </xdr:to>
    <xdr:graphicFrame macro="">
      <xdr:nvGraphicFramePr>
        <xdr:cNvPr id="145" name="Chart 1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0</xdr:col>
      <xdr:colOff>101600</xdr:colOff>
      <xdr:row>756</xdr:row>
      <xdr:rowOff>0</xdr:rowOff>
    </xdr:from>
    <xdr:to>
      <xdr:col>11</xdr:col>
      <xdr:colOff>25400</xdr:colOff>
      <xdr:row>782</xdr:row>
      <xdr:rowOff>76200</xdr:rowOff>
    </xdr:to>
    <xdr:graphicFrame macro="">
      <xdr:nvGraphicFramePr>
        <xdr:cNvPr id="146" name="Chart 1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11</xdr:col>
      <xdr:colOff>533400</xdr:colOff>
      <xdr:row>756</xdr:row>
      <xdr:rowOff>63500</xdr:rowOff>
    </xdr:from>
    <xdr:to>
      <xdr:col>22</xdr:col>
      <xdr:colOff>457200</xdr:colOff>
      <xdr:row>782</xdr:row>
      <xdr:rowOff>146050</xdr:rowOff>
    </xdr:to>
    <xdr:graphicFrame macro="">
      <xdr:nvGraphicFramePr>
        <xdr:cNvPr id="147" name="Chart 1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23</xdr:col>
      <xdr:colOff>304800</xdr:colOff>
      <xdr:row>756</xdr:row>
      <xdr:rowOff>44450</xdr:rowOff>
    </xdr:from>
    <xdr:to>
      <xdr:col>34</xdr:col>
      <xdr:colOff>228600</xdr:colOff>
      <xdr:row>782</xdr:row>
      <xdr:rowOff>127000</xdr:rowOff>
    </xdr:to>
    <xdr:graphicFrame macro="">
      <xdr:nvGraphicFramePr>
        <xdr:cNvPr id="148" name="Chart 1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0</xdr:col>
      <xdr:colOff>95250</xdr:colOff>
      <xdr:row>784</xdr:row>
      <xdr:rowOff>76200</xdr:rowOff>
    </xdr:from>
    <xdr:to>
      <xdr:col>11</xdr:col>
      <xdr:colOff>19050</xdr:colOff>
      <xdr:row>811</xdr:row>
      <xdr:rowOff>19050</xdr:rowOff>
    </xdr:to>
    <xdr:graphicFrame macro="">
      <xdr:nvGraphicFramePr>
        <xdr:cNvPr id="149" name="Chart 1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11</xdr:col>
      <xdr:colOff>546100</xdr:colOff>
      <xdr:row>784</xdr:row>
      <xdr:rowOff>120650</xdr:rowOff>
    </xdr:from>
    <xdr:to>
      <xdr:col>22</xdr:col>
      <xdr:colOff>469900</xdr:colOff>
      <xdr:row>811</xdr:row>
      <xdr:rowOff>69850</xdr:rowOff>
    </xdr:to>
    <xdr:graphicFrame macro="">
      <xdr:nvGraphicFramePr>
        <xdr:cNvPr id="150" name="Chart 1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23</xdr:col>
      <xdr:colOff>298450</xdr:colOff>
      <xdr:row>784</xdr:row>
      <xdr:rowOff>120650</xdr:rowOff>
    </xdr:from>
    <xdr:to>
      <xdr:col>34</xdr:col>
      <xdr:colOff>222250</xdr:colOff>
      <xdr:row>811</xdr:row>
      <xdr:rowOff>69850</xdr:rowOff>
    </xdr:to>
    <xdr:graphicFrame macro="">
      <xdr:nvGraphicFramePr>
        <xdr:cNvPr id="151" name="Chart 1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0</xdr:col>
      <xdr:colOff>44450</xdr:colOff>
      <xdr:row>813</xdr:row>
      <xdr:rowOff>76200</xdr:rowOff>
    </xdr:from>
    <xdr:to>
      <xdr:col>10</xdr:col>
      <xdr:colOff>577850</xdr:colOff>
      <xdr:row>840</xdr:row>
      <xdr:rowOff>19050</xdr:rowOff>
    </xdr:to>
    <xdr:graphicFrame macro="">
      <xdr:nvGraphicFramePr>
        <xdr:cNvPr id="152" name="Chart 1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11</xdr:col>
      <xdr:colOff>571500</xdr:colOff>
      <xdr:row>813</xdr:row>
      <xdr:rowOff>82550</xdr:rowOff>
    </xdr:from>
    <xdr:to>
      <xdr:col>22</xdr:col>
      <xdr:colOff>495300</xdr:colOff>
      <xdr:row>840</xdr:row>
      <xdr:rowOff>31750</xdr:rowOff>
    </xdr:to>
    <xdr:graphicFrame macro="">
      <xdr:nvGraphicFramePr>
        <xdr:cNvPr id="153" name="Chart 1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23</xdr:col>
      <xdr:colOff>247650</xdr:colOff>
      <xdr:row>813</xdr:row>
      <xdr:rowOff>120650</xdr:rowOff>
    </xdr:from>
    <xdr:to>
      <xdr:col>34</xdr:col>
      <xdr:colOff>171450</xdr:colOff>
      <xdr:row>840</xdr:row>
      <xdr:rowOff>69850</xdr:rowOff>
    </xdr:to>
    <xdr:graphicFrame macro="">
      <xdr:nvGraphicFramePr>
        <xdr:cNvPr id="154" name="Chart 1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0</xdr:col>
      <xdr:colOff>57150</xdr:colOff>
      <xdr:row>842</xdr:row>
      <xdr:rowOff>57150</xdr:rowOff>
    </xdr:from>
    <xdr:to>
      <xdr:col>10</xdr:col>
      <xdr:colOff>590550</xdr:colOff>
      <xdr:row>868</xdr:row>
      <xdr:rowOff>133350</xdr:rowOff>
    </xdr:to>
    <xdr:graphicFrame macro="">
      <xdr:nvGraphicFramePr>
        <xdr:cNvPr id="155" name="Chart 1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11</xdr:col>
      <xdr:colOff>584200</xdr:colOff>
      <xdr:row>842</xdr:row>
      <xdr:rowOff>82550</xdr:rowOff>
    </xdr:from>
    <xdr:to>
      <xdr:col>22</xdr:col>
      <xdr:colOff>508000</xdr:colOff>
      <xdr:row>869</xdr:row>
      <xdr:rowOff>31750</xdr:rowOff>
    </xdr:to>
    <xdr:graphicFrame macro="">
      <xdr:nvGraphicFramePr>
        <xdr:cNvPr id="156" name="Chart 1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23</xdr:col>
      <xdr:colOff>260350</xdr:colOff>
      <xdr:row>842</xdr:row>
      <xdr:rowOff>82550</xdr:rowOff>
    </xdr:from>
    <xdr:to>
      <xdr:col>34</xdr:col>
      <xdr:colOff>184150</xdr:colOff>
      <xdr:row>869</xdr:row>
      <xdr:rowOff>31750</xdr:rowOff>
    </xdr:to>
    <xdr:graphicFrame macro="">
      <xdr:nvGraphicFramePr>
        <xdr:cNvPr id="157" name="Chart 1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0</xdr:col>
      <xdr:colOff>6350</xdr:colOff>
      <xdr:row>871</xdr:row>
      <xdr:rowOff>57150</xdr:rowOff>
    </xdr:from>
    <xdr:to>
      <xdr:col>10</xdr:col>
      <xdr:colOff>539750</xdr:colOff>
      <xdr:row>897</xdr:row>
      <xdr:rowOff>133350</xdr:rowOff>
    </xdr:to>
    <xdr:graphicFrame macro="">
      <xdr:nvGraphicFramePr>
        <xdr:cNvPr id="158" name="Chart 1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11</xdr:col>
      <xdr:colOff>571500</xdr:colOff>
      <xdr:row>871</xdr:row>
      <xdr:rowOff>101600</xdr:rowOff>
    </xdr:from>
    <xdr:to>
      <xdr:col>22</xdr:col>
      <xdr:colOff>495300</xdr:colOff>
      <xdr:row>898</xdr:row>
      <xdr:rowOff>50800</xdr:rowOff>
    </xdr:to>
    <xdr:graphicFrame macro="">
      <xdr:nvGraphicFramePr>
        <xdr:cNvPr id="159" name="Chart 1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23</xdr:col>
      <xdr:colOff>209550</xdr:colOff>
      <xdr:row>871</xdr:row>
      <xdr:rowOff>82550</xdr:rowOff>
    </xdr:from>
    <xdr:to>
      <xdr:col>34</xdr:col>
      <xdr:colOff>133350</xdr:colOff>
      <xdr:row>898</xdr:row>
      <xdr:rowOff>31750</xdr:rowOff>
    </xdr:to>
    <xdr:graphicFrame macro="">
      <xdr:nvGraphicFramePr>
        <xdr:cNvPr id="160" name="Chart 1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0</xdr:col>
      <xdr:colOff>0</xdr:colOff>
      <xdr:row>900</xdr:row>
      <xdr:rowOff>0</xdr:rowOff>
    </xdr:from>
    <xdr:to>
      <xdr:col>10</xdr:col>
      <xdr:colOff>533400</xdr:colOff>
      <xdr:row>926</xdr:row>
      <xdr:rowOff>76200</xdr:rowOff>
    </xdr:to>
    <xdr:graphicFrame macro="">
      <xdr:nvGraphicFramePr>
        <xdr:cNvPr id="161" name="Chart 1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11</xdr:col>
      <xdr:colOff>546100</xdr:colOff>
      <xdr:row>900</xdr:row>
      <xdr:rowOff>63500</xdr:rowOff>
    </xdr:from>
    <xdr:to>
      <xdr:col>22</xdr:col>
      <xdr:colOff>469900</xdr:colOff>
      <xdr:row>926</xdr:row>
      <xdr:rowOff>146050</xdr:rowOff>
    </xdr:to>
    <xdr:graphicFrame macro="">
      <xdr:nvGraphicFramePr>
        <xdr:cNvPr id="162" name="Chart 1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23</xdr:col>
      <xdr:colOff>203200</xdr:colOff>
      <xdr:row>900</xdr:row>
      <xdr:rowOff>44450</xdr:rowOff>
    </xdr:from>
    <xdr:to>
      <xdr:col>34</xdr:col>
      <xdr:colOff>127000</xdr:colOff>
      <xdr:row>926</xdr:row>
      <xdr:rowOff>127000</xdr:rowOff>
    </xdr:to>
    <xdr:graphicFrame macro="">
      <xdr:nvGraphicFramePr>
        <xdr:cNvPr id="163" name="Chart 1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0</xdr:col>
      <xdr:colOff>44450</xdr:colOff>
      <xdr:row>929</xdr:row>
      <xdr:rowOff>0</xdr:rowOff>
    </xdr:from>
    <xdr:to>
      <xdr:col>10</xdr:col>
      <xdr:colOff>577850</xdr:colOff>
      <xdr:row>955</xdr:row>
      <xdr:rowOff>76200</xdr:rowOff>
    </xdr:to>
    <xdr:graphicFrame macro="">
      <xdr:nvGraphicFramePr>
        <xdr:cNvPr id="164" name="Chart 16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11</xdr:col>
      <xdr:colOff>495300</xdr:colOff>
      <xdr:row>929</xdr:row>
      <xdr:rowOff>6350</xdr:rowOff>
    </xdr:from>
    <xdr:to>
      <xdr:col>22</xdr:col>
      <xdr:colOff>419100</xdr:colOff>
      <xdr:row>955</xdr:row>
      <xdr:rowOff>88900</xdr:rowOff>
    </xdr:to>
    <xdr:graphicFrame macro="">
      <xdr:nvGraphicFramePr>
        <xdr:cNvPr id="165" name="Chart 1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23</xdr:col>
      <xdr:colOff>152400</xdr:colOff>
      <xdr:row>929</xdr:row>
      <xdr:rowOff>44450</xdr:rowOff>
    </xdr:from>
    <xdr:to>
      <xdr:col>34</xdr:col>
      <xdr:colOff>76200</xdr:colOff>
      <xdr:row>955</xdr:row>
      <xdr:rowOff>127000</xdr:rowOff>
    </xdr:to>
    <xdr:graphicFrame macro="">
      <xdr:nvGraphicFramePr>
        <xdr:cNvPr id="166" name="Chart 1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0</xdr:col>
      <xdr:colOff>190500</xdr:colOff>
      <xdr:row>119</xdr:row>
      <xdr:rowOff>76200</xdr:rowOff>
    </xdr:from>
    <xdr:to>
      <xdr:col>11</xdr:col>
      <xdr:colOff>114300</xdr:colOff>
      <xdr:row>146</xdr:row>
      <xdr:rowOff>6350</xdr:rowOff>
    </xdr:to>
    <xdr:graphicFrame macro="">
      <xdr:nvGraphicFramePr>
        <xdr:cNvPr id="103" name="Chart 1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24</xdr:col>
      <xdr:colOff>0</xdr:colOff>
      <xdr:row>119</xdr:row>
      <xdr:rowOff>76200</xdr:rowOff>
    </xdr:from>
    <xdr:to>
      <xdr:col>34</xdr:col>
      <xdr:colOff>533400</xdr:colOff>
      <xdr:row>146</xdr:row>
      <xdr:rowOff>6350</xdr:rowOff>
    </xdr:to>
    <xdr:graphicFrame macro="">
      <xdr:nvGraphicFramePr>
        <xdr:cNvPr id="104" name="Chart 1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12</xdr:col>
      <xdr:colOff>19050</xdr:colOff>
      <xdr:row>119</xdr:row>
      <xdr:rowOff>95250</xdr:rowOff>
    </xdr:from>
    <xdr:to>
      <xdr:col>22</xdr:col>
      <xdr:colOff>552450</xdr:colOff>
      <xdr:row>146</xdr:row>
      <xdr:rowOff>25400</xdr:rowOff>
    </xdr:to>
    <xdr:graphicFrame macro="">
      <xdr:nvGraphicFramePr>
        <xdr:cNvPr id="105" name="Chart 1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0</xdr:col>
      <xdr:colOff>0</xdr:colOff>
      <xdr:row>958</xdr:row>
      <xdr:rowOff>0</xdr:rowOff>
    </xdr:from>
    <xdr:to>
      <xdr:col>10</xdr:col>
      <xdr:colOff>533400</xdr:colOff>
      <xdr:row>984</xdr:row>
      <xdr:rowOff>76200</xdr:rowOff>
    </xdr:to>
    <xdr:graphicFrame macro="">
      <xdr:nvGraphicFramePr>
        <xdr:cNvPr id="109" name="Chart 1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11</xdr:col>
      <xdr:colOff>495300</xdr:colOff>
      <xdr:row>958</xdr:row>
      <xdr:rowOff>0</xdr:rowOff>
    </xdr:from>
    <xdr:to>
      <xdr:col>22</xdr:col>
      <xdr:colOff>419100</xdr:colOff>
      <xdr:row>984</xdr:row>
      <xdr:rowOff>76200</xdr:rowOff>
    </xdr:to>
    <xdr:graphicFrame macro="">
      <xdr:nvGraphicFramePr>
        <xdr:cNvPr id="110" name="Chart 1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23</xdr:col>
      <xdr:colOff>171450</xdr:colOff>
      <xdr:row>958</xdr:row>
      <xdr:rowOff>19050</xdr:rowOff>
    </xdr:from>
    <xdr:to>
      <xdr:col>34</xdr:col>
      <xdr:colOff>95250</xdr:colOff>
      <xdr:row>984</xdr:row>
      <xdr:rowOff>95250</xdr:rowOff>
    </xdr:to>
    <xdr:graphicFrame macro="">
      <xdr:nvGraphicFramePr>
        <xdr:cNvPr id="111" name="Chart 1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35</xdr:col>
      <xdr:colOff>552450</xdr:colOff>
      <xdr:row>265</xdr:row>
      <xdr:rowOff>101600</xdr:rowOff>
    </xdr:from>
    <xdr:to>
      <xdr:col>46</xdr:col>
      <xdr:colOff>476250</xdr:colOff>
      <xdr:row>292</xdr:row>
      <xdr:rowOff>50800</xdr:rowOff>
    </xdr:to>
    <xdr:graphicFrame macro="">
      <xdr:nvGraphicFramePr>
        <xdr:cNvPr id="106" name="Chart 1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47</xdr:col>
      <xdr:colOff>222250</xdr:colOff>
      <xdr:row>265</xdr:row>
      <xdr:rowOff>76200</xdr:rowOff>
    </xdr:from>
    <xdr:to>
      <xdr:col>58</xdr:col>
      <xdr:colOff>146050</xdr:colOff>
      <xdr:row>292</xdr:row>
      <xdr:rowOff>25400</xdr:rowOff>
    </xdr:to>
    <xdr:graphicFrame macro="">
      <xdr:nvGraphicFramePr>
        <xdr:cNvPr id="107" name="Chart 1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59</xdr:col>
      <xdr:colOff>222250</xdr:colOff>
      <xdr:row>265</xdr:row>
      <xdr:rowOff>76200</xdr:rowOff>
    </xdr:from>
    <xdr:to>
      <xdr:col>70</xdr:col>
      <xdr:colOff>146050</xdr:colOff>
      <xdr:row>292</xdr:row>
      <xdr:rowOff>25400</xdr:rowOff>
    </xdr:to>
    <xdr:graphicFrame macro="">
      <xdr:nvGraphicFramePr>
        <xdr:cNvPr id="108" name="Chart 1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195580</xdr:colOff>
      <xdr:row>1</xdr:row>
      <xdr:rowOff>25400</xdr:rowOff>
    </xdr:from>
    <xdr:to>
      <xdr:col>47</xdr:col>
      <xdr:colOff>594360</xdr:colOff>
      <xdr:row>66</xdr:row>
      <xdr:rowOff>160712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0</xdr:row>
      <xdr:rowOff>30480</xdr:rowOff>
    </xdr:from>
    <xdr:to>
      <xdr:col>18</xdr:col>
      <xdr:colOff>571500</xdr:colOff>
      <xdr:row>32</xdr:row>
      <xdr:rowOff>53340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0</xdr:row>
      <xdr:rowOff>60960</xdr:rowOff>
    </xdr:from>
    <xdr:to>
      <xdr:col>18</xdr:col>
      <xdr:colOff>571500</xdr:colOff>
      <xdr:row>31</xdr:row>
      <xdr:rowOff>160020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0</xdr:row>
      <xdr:rowOff>76200</xdr:rowOff>
    </xdr:from>
    <xdr:to>
      <xdr:col>19</xdr:col>
      <xdr:colOff>480060</xdr:colOff>
      <xdr:row>32</xdr:row>
      <xdr:rowOff>83820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19</xdr:col>
      <xdr:colOff>502920</xdr:colOff>
      <xdr:row>32</xdr:row>
      <xdr:rowOff>53340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45720</xdr:rowOff>
    </xdr:from>
    <xdr:to>
      <xdr:col>19</xdr:col>
      <xdr:colOff>548640</xdr:colOff>
      <xdr:row>32</xdr:row>
      <xdr:rowOff>7620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9"/>
  <sheetViews>
    <sheetView tabSelected="1" workbookViewId="0">
      <selection activeCell="F21" sqref="F21"/>
    </sheetView>
  </sheetViews>
  <sheetFormatPr defaultRowHeight="13.2" x14ac:dyDescent="0.25"/>
  <cols>
    <col min="1" max="16384" width="8.88671875" style="11"/>
  </cols>
  <sheetData>
    <row r="1" spans="1:1" x14ac:dyDescent="0.25">
      <c r="A1" s="11" t="s">
        <v>38</v>
      </c>
    </row>
    <row r="2" spans="1:1" x14ac:dyDescent="0.25">
      <c r="A2" s="11" t="s">
        <v>40</v>
      </c>
    </row>
    <row r="4" spans="1:1" x14ac:dyDescent="0.25">
      <c r="A4" s="11" t="s">
        <v>53</v>
      </c>
    </row>
    <row r="5" spans="1:1" x14ac:dyDescent="0.25">
      <c r="A5" s="11" t="s">
        <v>45</v>
      </c>
    </row>
    <row r="7" spans="1:1" x14ac:dyDescent="0.25">
      <c r="A7" s="11" t="s">
        <v>46</v>
      </c>
    </row>
    <row r="9" spans="1:1" x14ac:dyDescent="0.25">
      <c r="A9" s="11" t="s">
        <v>39</v>
      </c>
    </row>
  </sheetData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"/>
  <sheetViews>
    <sheetView workbookViewId="0">
      <selection activeCell="T2" sqref="T2"/>
    </sheetView>
  </sheetViews>
  <sheetFormatPr defaultRowHeight="13.2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DB255"/>
  <sheetViews>
    <sheetView zoomScale="70" zoomScaleNormal="70" workbookViewId="0">
      <pane xSplit="2" ySplit="5" topLeftCell="CV20" activePane="bottomRight" state="frozen"/>
      <selection activeCell="CE20" sqref="CE20"/>
      <selection pane="topRight" activeCell="CE20" sqref="CE20"/>
      <selection pane="bottomLeft" activeCell="CE20" sqref="CE20"/>
      <selection pane="bottomRight" activeCell="CZ1" sqref="CZ1:DB1048576"/>
    </sheetView>
  </sheetViews>
  <sheetFormatPr defaultRowHeight="13.2" x14ac:dyDescent="0.25"/>
  <cols>
    <col min="2" max="2" width="12.33203125" bestFit="1" customWidth="1"/>
    <col min="3" max="3" width="12" customWidth="1"/>
    <col min="4" max="4" width="14.77734375" customWidth="1"/>
    <col min="5" max="18" width="12" customWidth="1"/>
    <col min="19" max="19" width="11.33203125" customWidth="1"/>
    <col min="20" max="33" width="12" customWidth="1"/>
    <col min="34" max="34" width="14.44140625" customWidth="1"/>
    <col min="35" max="37" width="12" customWidth="1"/>
    <col min="38" max="40" width="13.77734375" customWidth="1"/>
    <col min="41" max="41" width="13.44140625" customWidth="1"/>
    <col min="42" max="94" width="12" customWidth="1"/>
    <col min="95" max="95" width="12.88671875" customWidth="1"/>
    <col min="96" max="96" width="13.33203125" customWidth="1"/>
    <col min="97" max="97" width="14" customWidth="1"/>
    <col min="98" max="100" width="12" customWidth="1"/>
    <col min="101" max="103" width="13.5546875" customWidth="1"/>
    <col min="104" max="104" width="10.77734375" customWidth="1"/>
    <col min="105" max="105" width="10.6640625" customWidth="1"/>
    <col min="106" max="106" width="12.109375" customWidth="1"/>
  </cols>
  <sheetData>
    <row r="1" spans="1:106" s="14" customFormat="1" x14ac:dyDescent="0.25"/>
    <row r="2" spans="1:106" s="2" customFormat="1" ht="39" customHeight="1" x14ac:dyDescent="0.25">
      <c r="B2" s="5" t="s">
        <v>29</v>
      </c>
      <c r="C2" s="7" t="s">
        <v>1</v>
      </c>
      <c r="D2" s="7" t="s">
        <v>1</v>
      </c>
      <c r="E2" s="7" t="s">
        <v>0</v>
      </c>
      <c r="F2" s="7" t="s">
        <v>0</v>
      </c>
      <c r="G2" s="7" t="s">
        <v>0</v>
      </c>
      <c r="H2" s="7" t="s">
        <v>24</v>
      </c>
      <c r="I2" s="7" t="s">
        <v>24</v>
      </c>
      <c r="J2" s="7" t="s">
        <v>24</v>
      </c>
      <c r="K2" s="7" t="s">
        <v>25</v>
      </c>
      <c r="L2" s="7" t="s">
        <v>25</v>
      </c>
      <c r="M2" s="7" t="s">
        <v>25</v>
      </c>
      <c r="N2" s="7" t="s">
        <v>41</v>
      </c>
      <c r="O2" s="7" t="s">
        <v>41</v>
      </c>
      <c r="P2" s="7" t="s">
        <v>41</v>
      </c>
      <c r="Q2" s="7" t="s">
        <v>26</v>
      </c>
      <c r="R2" s="7" t="s">
        <v>26</v>
      </c>
      <c r="S2" s="7" t="s">
        <v>26</v>
      </c>
      <c r="T2" s="7" t="s">
        <v>2</v>
      </c>
      <c r="U2" s="7" t="s">
        <v>2</v>
      </c>
      <c r="V2" s="7" t="s">
        <v>2</v>
      </c>
      <c r="W2" s="7" t="s">
        <v>4</v>
      </c>
      <c r="X2" s="7" t="s">
        <v>4</v>
      </c>
      <c r="Y2" s="7" t="s">
        <v>4</v>
      </c>
      <c r="Z2" s="7" t="s">
        <v>42</v>
      </c>
      <c r="AA2" s="7" t="s">
        <v>42</v>
      </c>
      <c r="AB2" s="7" t="s">
        <v>42</v>
      </c>
      <c r="AC2" s="7" t="s">
        <v>43</v>
      </c>
      <c r="AD2" s="7" t="s">
        <v>43</v>
      </c>
      <c r="AE2" s="7" t="s">
        <v>43</v>
      </c>
      <c r="AF2" s="7" t="s">
        <v>44</v>
      </c>
      <c r="AG2" s="7" t="s">
        <v>44</v>
      </c>
      <c r="AH2" s="7" t="s">
        <v>44</v>
      </c>
      <c r="AI2" s="7" t="s">
        <v>11</v>
      </c>
      <c r="AJ2" s="7" t="s">
        <v>11</v>
      </c>
      <c r="AK2" s="7" t="s">
        <v>11</v>
      </c>
      <c r="AL2" s="7" t="s">
        <v>12</v>
      </c>
      <c r="AM2" s="7" t="s">
        <v>12</v>
      </c>
      <c r="AN2" s="7" t="s">
        <v>12</v>
      </c>
      <c r="AO2" s="7" t="s">
        <v>28</v>
      </c>
      <c r="AP2" s="7" t="s">
        <v>28</v>
      </c>
      <c r="AQ2" s="7" t="s">
        <v>28</v>
      </c>
      <c r="AR2" s="7" t="s">
        <v>37</v>
      </c>
      <c r="AS2" s="7" t="s">
        <v>37</v>
      </c>
      <c r="AT2" s="7" t="s">
        <v>48</v>
      </c>
      <c r="AU2" s="7" t="s">
        <v>3</v>
      </c>
      <c r="AV2" s="7" t="s">
        <v>3</v>
      </c>
      <c r="AW2" s="7" t="s">
        <v>3</v>
      </c>
      <c r="AX2" s="7" t="s">
        <v>9</v>
      </c>
      <c r="AY2" s="7" t="s">
        <v>9</v>
      </c>
      <c r="AZ2" s="7" t="s">
        <v>9</v>
      </c>
      <c r="BA2" s="7" t="s">
        <v>20</v>
      </c>
      <c r="BB2" s="7" t="s">
        <v>20</v>
      </c>
      <c r="BC2" s="7" t="s">
        <v>20</v>
      </c>
      <c r="BD2" s="7" t="s">
        <v>34</v>
      </c>
      <c r="BE2" s="7" t="s">
        <v>34</v>
      </c>
      <c r="BF2" s="7" t="s">
        <v>34</v>
      </c>
      <c r="BG2" s="7" t="s">
        <v>15</v>
      </c>
      <c r="BH2" s="7" t="s">
        <v>15</v>
      </c>
      <c r="BI2" s="7" t="s">
        <v>15</v>
      </c>
      <c r="BJ2" s="7" t="s">
        <v>16</v>
      </c>
      <c r="BK2" s="7" t="s">
        <v>16</v>
      </c>
      <c r="BL2" s="7" t="s">
        <v>16</v>
      </c>
      <c r="BM2" s="7" t="s">
        <v>17</v>
      </c>
      <c r="BN2" s="7" t="s">
        <v>17</v>
      </c>
      <c r="BO2" s="7" t="s">
        <v>17</v>
      </c>
      <c r="BP2" s="7" t="s">
        <v>6</v>
      </c>
      <c r="BQ2" s="7" t="s">
        <v>6</v>
      </c>
      <c r="BR2" s="7" t="s">
        <v>6</v>
      </c>
      <c r="BS2" s="7" t="s">
        <v>19</v>
      </c>
      <c r="BT2" s="7" t="s">
        <v>19</v>
      </c>
      <c r="BU2" s="7" t="s">
        <v>19</v>
      </c>
      <c r="BV2" s="7" t="s">
        <v>35</v>
      </c>
      <c r="BW2" s="7" t="s">
        <v>35</v>
      </c>
      <c r="BX2" s="7" t="s">
        <v>35</v>
      </c>
      <c r="BY2" s="7" t="s">
        <v>21</v>
      </c>
      <c r="BZ2" s="7" t="s">
        <v>21</v>
      </c>
      <c r="CA2" s="7" t="s">
        <v>21</v>
      </c>
      <c r="CB2" s="7" t="s">
        <v>22</v>
      </c>
      <c r="CC2" s="7" t="s">
        <v>22</v>
      </c>
      <c r="CD2" s="7" t="s">
        <v>22</v>
      </c>
      <c r="CE2" s="7" t="s">
        <v>23</v>
      </c>
      <c r="CF2" s="7" t="s">
        <v>23</v>
      </c>
      <c r="CG2" s="7" t="s">
        <v>23</v>
      </c>
      <c r="CH2" s="7" t="s">
        <v>18</v>
      </c>
      <c r="CI2" s="7" t="s">
        <v>18</v>
      </c>
      <c r="CJ2" s="7" t="s">
        <v>18</v>
      </c>
      <c r="CK2" s="7" t="s">
        <v>5</v>
      </c>
      <c r="CL2" s="7" t="s">
        <v>5</v>
      </c>
      <c r="CM2" s="7" t="s">
        <v>5</v>
      </c>
      <c r="CN2" s="7" t="s">
        <v>27</v>
      </c>
      <c r="CO2" s="7" t="s">
        <v>27</v>
      </c>
      <c r="CP2" s="7" t="s">
        <v>27</v>
      </c>
      <c r="CQ2" s="7" t="s">
        <v>13</v>
      </c>
      <c r="CR2" s="7" t="s">
        <v>13</v>
      </c>
      <c r="CS2" s="7" t="s">
        <v>13</v>
      </c>
      <c r="CT2" s="7" t="s">
        <v>14</v>
      </c>
      <c r="CU2" s="7" t="s">
        <v>14</v>
      </c>
      <c r="CV2" s="7" t="s">
        <v>14</v>
      </c>
      <c r="CW2" s="7" t="s">
        <v>36</v>
      </c>
      <c r="CX2" s="7" t="s">
        <v>36</v>
      </c>
      <c r="CY2" s="7" t="s">
        <v>36</v>
      </c>
      <c r="CZ2" s="7" t="s">
        <v>54</v>
      </c>
      <c r="DA2" s="7" t="s">
        <v>54</v>
      </c>
      <c r="DB2" s="7" t="s">
        <v>54</v>
      </c>
    </row>
    <row r="3" spans="1:106" x14ac:dyDescent="0.25">
      <c r="B3" s="5" t="s">
        <v>31</v>
      </c>
      <c r="C3" s="7" t="s">
        <v>49</v>
      </c>
      <c r="D3" s="7" t="s">
        <v>49</v>
      </c>
      <c r="E3" s="7" t="s">
        <v>49</v>
      </c>
      <c r="F3" s="7" t="s">
        <v>49</v>
      </c>
      <c r="G3" s="7" t="s">
        <v>49</v>
      </c>
      <c r="H3" s="7" t="s">
        <v>49</v>
      </c>
      <c r="I3" s="7" t="s">
        <v>49</v>
      </c>
      <c r="J3" s="7" t="s">
        <v>49</v>
      </c>
      <c r="K3" s="7" t="s">
        <v>49</v>
      </c>
      <c r="L3" s="7" t="s">
        <v>49</v>
      </c>
      <c r="M3" s="7" t="s">
        <v>49</v>
      </c>
      <c r="N3" s="7" t="s">
        <v>49</v>
      </c>
      <c r="O3" s="7" t="s">
        <v>49</v>
      </c>
      <c r="P3" s="7" t="s">
        <v>49</v>
      </c>
      <c r="Q3" s="7" t="s">
        <v>49</v>
      </c>
      <c r="R3" s="7" t="s">
        <v>49</v>
      </c>
      <c r="S3" s="7" t="s">
        <v>49</v>
      </c>
      <c r="T3" s="7" t="s">
        <v>49</v>
      </c>
      <c r="U3" s="7" t="s">
        <v>49</v>
      </c>
      <c r="V3" s="7" t="s">
        <v>49</v>
      </c>
      <c r="W3" s="7" t="s">
        <v>49</v>
      </c>
      <c r="X3" s="7" t="s">
        <v>49</v>
      </c>
      <c r="Y3" s="7" t="s">
        <v>49</v>
      </c>
      <c r="Z3" s="7" t="s">
        <v>49</v>
      </c>
      <c r="AA3" s="7" t="s">
        <v>49</v>
      </c>
      <c r="AB3" s="7" t="s">
        <v>49</v>
      </c>
      <c r="AC3" s="7" t="s">
        <v>49</v>
      </c>
      <c r="AD3" s="7" t="s">
        <v>49</v>
      </c>
      <c r="AE3" s="7" t="s">
        <v>49</v>
      </c>
      <c r="AF3" s="7" t="s">
        <v>49</v>
      </c>
      <c r="AG3" s="7" t="s">
        <v>49</v>
      </c>
      <c r="AH3" s="7" t="s">
        <v>49</v>
      </c>
      <c r="AI3" s="7" t="s">
        <v>49</v>
      </c>
      <c r="AJ3" s="7" t="s">
        <v>49</v>
      </c>
      <c r="AK3" s="7" t="s">
        <v>49</v>
      </c>
      <c r="AL3" s="7" t="s">
        <v>49</v>
      </c>
      <c r="AM3" s="7" t="s">
        <v>49</v>
      </c>
      <c r="AN3" s="7" t="s">
        <v>49</v>
      </c>
      <c r="AO3" s="7" t="s">
        <v>49</v>
      </c>
      <c r="AP3" s="7" t="s">
        <v>49</v>
      </c>
      <c r="AQ3" s="7" t="s">
        <v>49</v>
      </c>
      <c r="AR3" s="7" t="s">
        <v>49</v>
      </c>
      <c r="AS3" s="7" t="s">
        <v>49</v>
      </c>
      <c r="AT3" s="7" t="s">
        <v>49</v>
      </c>
      <c r="AU3" s="7" t="s">
        <v>49</v>
      </c>
      <c r="AV3" s="7" t="s">
        <v>49</v>
      </c>
      <c r="AW3" s="7" t="s">
        <v>49</v>
      </c>
      <c r="AX3" s="7" t="s">
        <v>49</v>
      </c>
      <c r="AY3" s="7" t="s">
        <v>49</v>
      </c>
      <c r="AZ3" s="7" t="s">
        <v>49</v>
      </c>
      <c r="BA3" s="7" t="s">
        <v>49</v>
      </c>
      <c r="BB3" s="7" t="s">
        <v>49</v>
      </c>
      <c r="BC3" s="7" t="s">
        <v>49</v>
      </c>
      <c r="BD3" s="7" t="s">
        <v>49</v>
      </c>
      <c r="BE3" s="7" t="s">
        <v>49</v>
      </c>
      <c r="BF3" s="7" t="s">
        <v>49</v>
      </c>
      <c r="BG3" s="7" t="s">
        <v>49</v>
      </c>
      <c r="BH3" s="7" t="s">
        <v>49</v>
      </c>
      <c r="BI3" s="7" t="s">
        <v>49</v>
      </c>
      <c r="BJ3" s="7" t="s">
        <v>49</v>
      </c>
      <c r="BK3" s="7" t="s">
        <v>49</v>
      </c>
      <c r="BL3" s="7" t="s">
        <v>49</v>
      </c>
      <c r="BM3" s="7" t="s">
        <v>49</v>
      </c>
      <c r="BN3" s="7" t="s">
        <v>49</v>
      </c>
      <c r="BO3" s="7" t="s">
        <v>49</v>
      </c>
      <c r="BP3" s="7" t="s">
        <v>49</v>
      </c>
      <c r="BQ3" s="7" t="s">
        <v>49</v>
      </c>
      <c r="BR3" s="7" t="s">
        <v>49</v>
      </c>
      <c r="BS3" s="7" t="s">
        <v>49</v>
      </c>
      <c r="BT3" s="7" t="s">
        <v>49</v>
      </c>
      <c r="BU3" s="7" t="s">
        <v>49</v>
      </c>
      <c r="BV3" s="7" t="s">
        <v>49</v>
      </c>
      <c r="BW3" s="7" t="s">
        <v>49</v>
      </c>
      <c r="BX3" s="7" t="s">
        <v>49</v>
      </c>
      <c r="BY3" s="7" t="s">
        <v>49</v>
      </c>
      <c r="BZ3" s="7" t="s">
        <v>49</v>
      </c>
      <c r="CA3" s="7" t="s">
        <v>49</v>
      </c>
      <c r="CB3" s="7" t="s">
        <v>49</v>
      </c>
      <c r="CC3" s="7" t="s">
        <v>49</v>
      </c>
      <c r="CD3" s="7" t="s">
        <v>49</v>
      </c>
      <c r="CE3" s="7" t="s">
        <v>49</v>
      </c>
      <c r="CF3" s="7" t="s">
        <v>49</v>
      </c>
      <c r="CG3" s="7" t="s">
        <v>49</v>
      </c>
      <c r="CH3" s="7" t="s">
        <v>49</v>
      </c>
      <c r="CI3" s="7" t="s">
        <v>49</v>
      </c>
      <c r="CJ3" s="7" t="s">
        <v>49</v>
      </c>
      <c r="CK3" s="7" t="s">
        <v>49</v>
      </c>
      <c r="CL3" s="7" t="s">
        <v>49</v>
      </c>
      <c r="CM3" s="7" t="s">
        <v>49</v>
      </c>
      <c r="CN3" s="7" t="s">
        <v>49</v>
      </c>
      <c r="CO3" s="7" t="s">
        <v>49</v>
      </c>
      <c r="CP3" s="7" t="s">
        <v>49</v>
      </c>
      <c r="CQ3" s="7" t="s">
        <v>49</v>
      </c>
      <c r="CR3" s="7" t="s">
        <v>49</v>
      </c>
      <c r="CS3" s="7" t="s">
        <v>49</v>
      </c>
      <c r="CT3" s="7" t="s">
        <v>49</v>
      </c>
      <c r="CU3" s="7" t="s">
        <v>49</v>
      </c>
      <c r="CV3" s="7" t="s">
        <v>49</v>
      </c>
      <c r="CW3" s="7" t="s">
        <v>49</v>
      </c>
      <c r="CX3" s="7" t="s">
        <v>49</v>
      </c>
      <c r="CY3" s="7" t="s">
        <v>49</v>
      </c>
      <c r="CZ3" s="7" t="s">
        <v>49</v>
      </c>
      <c r="DA3" s="7" t="s">
        <v>49</v>
      </c>
      <c r="DB3" s="7" t="s">
        <v>49</v>
      </c>
    </row>
    <row r="4" spans="1:106" s="2" customFormat="1" ht="27" customHeight="1" x14ac:dyDescent="0.25">
      <c r="B4" s="5" t="s">
        <v>30</v>
      </c>
      <c r="C4" s="5" t="s">
        <v>8</v>
      </c>
      <c r="D4" s="5" t="s">
        <v>7</v>
      </c>
      <c r="E4" s="5" t="s">
        <v>8</v>
      </c>
      <c r="F4" s="7" t="s">
        <v>7</v>
      </c>
      <c r="G4" s="5" t="s">
        <v>10</v>
      </c>
      <c r="H4" s="5" t="s">
        <v>8</v>
      </c>
      <c r="I4" s="5" t="s">
        <v>7</v>
      </c>
      <c r="J4" s="5" t="s">
        <v>10</v>
      </c>
      <c r="K4" s="5" t="s">
        <v>8</v>
      </c>
      <c r="L4" s="5" t="s">
        <v>7</v>
      </c>
      <c r="M4" s="5" t="s">
        <v>10</v>
      </c>
      <c r="N4" s="5" t="s">
        <v>8</v>
      </c>
      <c r="O4" s="5" t="s">
        <v>7</v>
      </c>
      <c r="P4" s="5" t="s">
        <v>10</v>
      </c>
      <c r="Q4" s="5" t="s">
        <v>8</v>
      </c>
      <c r="R4" s="5" t="s">
        <v>7</v>
      </c>
      <c r="S4" s="5" t="s">
        <v>10</v>
      </c>
      <c r="T4" s="5" t="s">
        <v>8</v>
      </c>
      <c r="U4" s="5" t="s">
        <v>7</v>
      </c>
      <c r="V4" s="5" t="s">
        <v>10</v>
      </c>
      <c r="W4" s="5" t="s">
        <v>8</v>
      </c>
      <c r="X4" s="5" t="s">
        <v>7</v>
      </c>
      <c r="Y4" s="5" t="s">
        <v>10</v>
      </c>
      <c r="Z4" s="5" t="s">
        <v>8</v>
      </c>
      <c r="AA4" s="5" t="s">
        <v>7</v>
      </c>
      <c r="AB4" s="5" t="s">
        <v>10</v>
      </c>
      <c r="AC4" s="5" t="s">
        <v>8</v>
      </c>
      <c r="AD4" s="5" t="s">
        <v>7</v>
      </c>
      <c r="AE4" s="5" t="s">
        <v>10</v>
      </c>
      <c r="AF4" s="5" t="s">
        <v>8</v>
      </c>
      <c r="AG4" s="5" t="s">
        <v>7</v>
      </c>
      <c r="AH4" s="5" t="s">
        <v>10</v>
      </c>
      <c r="AI4" s="5" t="s">
        <v>8</v>
      </c>
      <c r="AJ4" s="5" t="s">
        <v>7</v>
      </c>
      <c r="AK4" s="5" t="s">
        <v>10</v>
      </c>
      <c r="AL4" s="5" t="s">
        <v>8</v>
      </c>
      <c r="AM4" s="5" t="s">
        <v>7</v>
      </c>
      <c r="AN4" s="5" t="s">
        <v>10</v>
      </c>
      <c r="AO4" s="5" t="s">
        <v>8</v>
      </c>
      <c r="AP4" s="5" t="s">
        <v>7</v>
      </c>
      <c r="AQ4" s="5" t="s">
        <v>10</v>
      </c>
      <c r="AR4" s="5" t="s">
        <v>8</v>
      </c>
      <c r="AS4" s="5" t="s">
        <v>7</v>
      </c>
      <c r="AT4" s="5"/>
      <c r="AU4" s="5"/>
      <c r="AV4" s="5" t="s">
        <v>7</v>
      </c>
      <c r="AW4" s="5"/>
      <c r="AX4" s="5" t="s">
        <v>8</v>
      </c>
      <c r="AY4" s="5" t="s">
        <v>7</v>
      </c>
      <c r="AZ4" s="5" t="s">
        <v>10</v>
      </c>
      <c r="BA4" s="5" t="s">
        <v>8</v>
      </c>
      <c r="BB4" s="5" t="s">
        <v>7</v>
      </c>
      <c r="BC4" s="5" t="s">
        <v>10</v>
      </c>
      <c r="BD4" s="5" t="s">
        <v>8</v>
      </c>
      <c r="BE4" s="5" t="s">
        <v>7</v>
      </c>
      <c r="BF4" s="5" t="s">
        <v>10</v>
      </c>
      <c r="BG4" s="5" t="s">
        <v>8</v>
      </c>
      <c r="BH4" s="5" t="s">
        <v>7</v>
      </c>
      <c r="BI4" s="5" t="s">
        <v>10</v>
      </c>
      <c r="BJ4" s="5" t="s">
        <v>8</v>
      </c>
      <c r="BK4" s="5" t="s">
        <v>7</v>
      </c>
      <c r="BL4" s="5" t="s">
        <v>10</v>
      </c>
      <c r="BM4" s="5" t="s">
        <v>8</v>
      </c>
      <c r="BN4" s="5" t="s">
        <v>7</v>
      </c>
      <c r="BO4" s="5" t="s">
        <v>10</v>
      </c>
      <c r="BP4" s="5" t="s">
        <v>8</v>
      </c>
      <c r="BQ4" s="5" t="s">
        <v>7</v>
      </c>
      <c r="BR4" s="5" t="s">
        <v>10</v>
      </c>
      <c r="BS4" s="5" t="s">
        <v>8</v>
      </c>
      <c r="BT4" s="5" t="s">
        <v>7</v>
      </c>
      <c r="BU4" s="5" t="s">
        <v>10</v>
      </c>
      <c r="BV4" s="5" t="s">
        <v>8</v>
      </c>
      <c r="BW4" s="5" t="s">
        <v>7</v>
      </c>
      <c r="BX4" s="5" t="s">
        <v>10</v>
      </c>
      <c r="BY4" s="5" t="s">
        <v>8</v>
      </c>
      <c r="BZ4" s="5" t="s">
        <v>7</v>
      </c>
      <c r="CA4" s="5" t="s">
        <v>10</v>
      </c>
      <c r="CB4" s="5" t="s">
        <v>8</v>
      </c>
      <c r="CC4" s="5" t="s">
        <v>7</v>
      </c>
      <c r="CD4" s="5" t="s">
        <v>10</v>
      </c>
      <c r="CE4" s="5" t="s">
        <v>8</v>
      </c>
      <c r="CF4" s="5" t="s">
        <v>7</v>
      </c>
      <c r="CG4" s="5" t="s">
        <v>10</v>
      </c>
      <c r="CH4" s="5" t="s">
        <v>8</v>
      </c>
      <c r="CI4" s="5" t="s">
        <v>7</v>
      </c>
      <c r="CJ4" s="5" t="s">
        <v>10</v>
      </c>
      <c r="CK4" s="5" t="s">
        <v>8</v>
      </c>
      <c r="CL4" s="5" t="s">
        <v>7</v>
      </c>
      <c r="CM4" s="5" t="s">
        <v>10</v>
      </c>
      <c r="CN4" s="5" t="s">
        <v>8</v>
      </c>
      <c r="CO4" s="5" t="s">
        <v>7</v>
      </c>
      <c r="CP4" s="5" t="s">
        <v>10</v>
      </c>
      <c r="CQ4" s="5" t="s">
        <v>8</v>
      </c>
      <c r="CR4" s="5" t="s">
        <v>7</v>
      </c>
      <c r="CS4" s="5" t="s">
        <v>10</v>
      </c>
      <c r="CT4" s="5" t="s">
        <v>8</v>
      </c>
      <c r="CU4" s="5" t="s">
        <v>7</v>
      </c>
      <c r="CV4" s="5" t="s">
        <v>10</v>
      </c>
      <c r="CW4" s="5" t="s">
        <v>8</v>
      </c>
      <c r="CX4" s="5" t="s">
        <v>7</v>
      </c>
      <c r="CY4" s="5" t="s">
        <v>10</v>
      </c>
      <c r="CZ4" s="5" t="s">
        <v>8</v>
      </c>
      <c r="DA4" s="5" t="s">
        <v>7</v>
      </c>
      <c r="DB4" s="5" t="s">
        <v>55</v>
      </c>
    </row>
    <row r="5" spans="1:106" s="9" customFormat="1" x14ac:dyDescent="0.25">
      <c r="A5" s="4" t="s">
        <v>33</v>
      </c>
      <c r="B5" s="4" t="s">
        <v>32</v>
      </c>
      <c r="C5" s="6" t="s">
        <v>47</v>
      </c>
      <c r="D5" s="6" t="s">
        <v>47</v>
      </c>
      <c r="E5" s="6" t="s">
        <v>47</v>
      </c>
      <c r="F5" s="6" t="s">
        <v>47</v>
      </c>
      <c r="G5" s="6" t="s">
        <v>47</v>
      </c>
      <c r="H5" s="6" t="s">
        <v>47</v>
      </c>
      <c r="I5" s="6" t="s">
        <v>47</v>
      </c>
      <c r="J5" s="6" t="s">
        <v>47</v>
      </c>
      <c r="K5" s="6" t="s">
        <v>47</v>
      </c>
      <c r="L5" s="6" t="s">
        <v>47</v>
      </c>
      <c r="M5" s="6" t="s">
        <v>47</v>
      </c>
      <c r="N5" s="6" t="s">
        <v>47</v>
      </c>
      <c r="O5" s="6" t="s">
        <v>47</v>
      </c>
      <c r="P5" s="6" t="s">
        <v>47</v>
      </c>
      <c r="Q5" s="6" t="s">
        <v>47</v>
      </c>
      <c r="R5" s="6" t="s">
        <v>47</v>
      </c>
      <c r="S5" s="6" t="s">
        <v>47</v>
      </c>
      <c r="T5" s="6" t="s">
        <v>47</v>
      </c>
      <c r="U5" s="6" t="s">
        <v>47</v>
      </c>
      <c r="V5" s="6" t="s">
        <v>47</v>
      </c>
      <c r="W5" s="6" t="s">
        <v>47</v>
      </c>
      <c r="X5" s="6" t="s">
        <v>47</v>
      </c>
      <c r="Y5" s="6" t="s">
        <v>47</v>
      </c>
      <c r="Z5" s="6" t="s">
        <v>47</v>
      </c>
      <c r="AA5" s="6" t="s">
        <v>47</v>
      </c>
      <c r="AB5" s="6" t="s">
        <v>47</v>
      </c>
      <c r="AC5" s="6" t="s">
        <v>47</v>
      </c>
      <c r="AD5" s="6" t="s">
        <v>47</v>
      </c>
      <c r="AE5" s="6" t="s">
        <v>47</v>
      </c>
      <c r="AF5" s="6" t="s">
        <v>47</v>
      </c>
      <c r="AG5" s="6" t="s">
        <v>47</v>
      </c>
      <c r="AH5" s="6" t="s">
        <v>47</v>
      </c>
      <c r="AI5" s="6" t="s">
        <v>47</v>
      </c>
      <c r="AJ5" s="6" t="s">
        <v>47</v>
      </c>
      <c r="AK5" s="6" t="s">
        <v>47</v>
      </c>
      <c r="AL5" s="6" t="s">
        <v>47</v>
      </c>
      <c r="AM5" s="6" t="s">
        <v>47</v>
      </c>
      <c r="AN5" s="6" t="s">
        <v>47</v>
      </c>
      <c r="AO5" s="6" t="s">
        <v>47</v>
      </c>
      <c r="AP5" s="6" t="s">
        <v>47</v>
      </c>
      <c r="AQ5" s="6" t="s">
        <v>47</v>
      </c>
      <c r="AR5" s="6" t="s">
        <v>47</v>
      </c>
      <c r="AS5" s="6" t="s">
        <v>47</v>
      </c>
      <c r="AT5" s="6" t="s">
        <v>47</v>
      </c>
      <c r="AU5" s="6" t="s">
        <v>47</v>
      </c>
      <c r="AV5" s="6" t="s">
        <v>47</v>
      </c>
      <c r="AW5" s="6" t="s">
        <v>47</v>
      </c>
      <c r="AX5" s="6" t="s">
        <v>47</v>
      </c>
      <c r="AY5" s="6" t="s">
        <v>47</v>
      </c>
      <c r="AZ5" s="6" t="s">
        <v>47</v>
      </c>
      <c r="BA5" s="6" t="s">
        <v>47</v>
      </c>
      <c r="BB5" s="6" t="s">
        <v>47</v>
      </c>
      <c r="BC5" s="6" t="s">
        <v>47</v>
      </c>
      <c r="BD5" s="6" t="s">
        <v>47</v>
      </c>
      <c r="BE5" s="6" t="s">
        <v>47</v>
      </c>
      <c r="BF5" s="6" t="s">
        <v>47</v>
      </c>
      <c r="BG5" s="6" t="s">
        <v>47</v>
      </c>
      <c r="BH5" s="6" t="s">
        <v>47</v>
      </c>
      <c r="BI5" s="6" t="s">
        <v>47</v>
      </c>
      <c r="BJ5" s="6" t="s">
        <v>47</v>
      </c>
      <c r="BK5" s="6" t="s">
        <v>47</v>
      </c>
      <c r="BL5" s="6" t="s">
        <v>47</v>
      </c>
      <c r="BM5" s="6" t="s">
        <v>47</v>
      </c>
      <c r="BN5" s="6" t="s">
        <v>47</v>
      </c>
      <c r="BO5" s="6" t="s">
        <v>47</v>
      </c>
      <c r="BP5" s="6" t="s">
        <v>47</v>
      </c>
      <c r="BQ5" s="6" t="s">
        <v>47</v>
      </c>
      <c r="BR5" s="6" t="s">
        <v>47</v>
      </c>
      <c r="BS5" s="6" t="s">
        <v>47</v>
      </c>
      <c r="BT5" s="6" t="s">
        <v>47</v>
      </c>
      <c r="BU5" s="6" t="s">
        <v>47</v>
      </c>
      <c r="BV5" s="6" t="s">
        <v>47</v>
      </c>
      <c r="BW5" s="6" t="s">
        <v>47</v>
      </c>
      <c r="BX5" s="6" t="s">
        <v>47</v>
      </c>
      <c r="BY5" s="6" t="s">
        <v>47</v>
      </c>
      <c r="BZ5" s="6" t="s">
        <v>47</v>
      </c>
      <c r="CA5" s="6" t="s">
        <v>47</v>
      </c>
      <c r="CB5" s="6" t="s">
        <v>47</v>
      </c>
      <c r="CC5" s="6" t="s">
        <v>47</v>
      </c>
      <c r="CD5" s="6" t="s">
        <v>47</v>
      </c>
      <c r="CE5" s="6" t="s">
        <v>47</v>
      </c>
      <c r="CF5" s="6" t="s">
        <v>47</v>
      </c>
      <c r="CG5" s="6" t="s">
        <v>47</v>
      </c>
      <c r="CH5" s="6" t="s">
        <v>47</v>
      </c>
      <c r="CI5" s="6" t="s">
        <v>47</v>
      </c>
      <c r="CJ5" s="6" t="s">
        <v>47</v>
      </c>
      <c r="CK5" s="6" t="s">
        <v>47</v>
      </c>
      <c r="CL5" s="6" t="s">
        <v>47</v>
      </c>
      <c r="CM5" s="6" t="s">
        <v>47</v>
      </c>
      <c r="CN5" s="6" t="s">
        <v>47</v>
      </c>
      <c r="CO5" s="6" t="s">
        <v>47</v>
      </c>
      <c r="CP5" s="6" t="s">
        <v>47</v>
      </c>
      <c r="CQ5" s="6" t="s">
        <v>47</v>
      </c>
      <c r="CR5" s="6" t="s">
        <v>47</v>
      </c>
      <c r="CS5" s="6" t="s">
        <v>47</v>
      </c>
      <c r="CT5" s="6" t="s">
        <v>47</v>
      </c>
      <c r="CU5" s="6" t="s">
        <v>47</v>
      </c>
      <c r="CV5" s="6" t="s">
        <v>47</v>
      </c>
      <c r="CW5" s="6" t="s">
        <v>47</v>
      </c>
      <c r="CX5" s="6" t="s">
        <v>47</v>
      </c>
      <c r="CY5" s="6" t="s">
        <v>47</v>
      </c>
      <c r="CZ5" s="6" t="s">
        <v>47</v>
      </c>
      <c r="DA5" s="6" t="s">
        <v>47</v>
      </c>
      <c r="DB5" s="6" t="s">
        <v>47</v>
      </c>
    </row>
    <row r="6" spans="1:106" s="2" customFormat="1" ht="54.6" hidden="1" customHeight="1" x14ac:dyDescent="0.25">
      <c r="A6" s="4" t="s">
        <v>33</v>
      </c>
      <c r="B6" s="5" t="s">
        <v>29</v>
      </c>
      <c r="C6" s="7" t="str">
        <f t="shared" ref="C6:AQ6" si="0">CONCATENATE(C2,", ",C4,", ","in ",C5)</f>
        <v>UK, Imports, in pound/ton</v>
      </c>
      <c r="D6" s="7" t="str">
        <f t="shared" si="0"/>
        <v>UK, Exports, in pound/ton</v>
      </c>
      <c r="E6" s="7" t="str">
        <f t="shared" si="0"/>
        <v>Baghdad, Imports, in pound/ton</v>
      </c>
      <c r="F6" s="7" t="str">
        <f t="shared" si="0"/>
        <v>Baghdad, Exports, in pound/ton</v>
      </c>
      <c r="G6" s="7" t="str">
        <f t="shared" si="0"/>
        <v>Baghdad, Bazaar (Local), in pound/ton</v>
      </c>
      <c r="H6" s="7" t="str">
        <f t="shared" si="0"/>
        <v>Basrah, Imports, in pound/ton</v>
      </c>
      <c r="I6" s="7" t="str">
        <f t="shared" si="0"/>
        <v>Basrah, Exports, in pound/ton</v>
      </c>
      <c r="J6" s="7" t="str">
        <f t="shared" si="0"/>
        <v>Basrah, Bazaar (Local), in pound/ton</v>
      </c>
      <c r="K6" s="7" t="str">
        <f t="shared" si="0"/>
        <v>Mosul, Imports, in pound/ton</v>
      </c>
      <c r="L6" s="7" t="str">
        <f t="shared" si="0"/>
        <v>Mosul, Exports, in pound/ton</v>
      </c>
      <c r="M6" s="7" t="str">
        <f t="shared" si="0"/>
        <v>Mosul, Bazaar (Local), in pound/ton</v>
      </c>
      <c r="N6" s="7" t="str">
        <f t="shared" si="0"/>
        <v>Egypt, Imports, in pound/ton</v>
      </c>
      <c r="O6" s="7" t="str">
        <f t="shared" si="0"/>
        <v>Egypt, Exports, in pound/ton</v>
      </c>
      <c r="P6" s="7" t="str">
        <f t="shared" si="0"/>
        <v>Egypt, Bazaar (Local), in pound/ton</v>
      </c>
      <c r="Q6" s="7" t="str">
        <f t="shared" si="0"/>
        <v>Palestine, Imports, in pound/ton</v>
      </c>
      <c r="R6" s="7" t="str">
        <f t="shared" si="0"/>
        <v>Palestine, Exports, in pound/ton</v>
      </c>
      <c r="S6" s="7" t="str">
        <f t="shared" si="0"/>
        <v>Palestine, Bazaar (Local), in pound/ton</v>
      </c>
      <c r="T6" s="7" t="str">
        <f t="shared" si="0"/>
        <v>Damascus, Imports, in pound/ton</v>
      </c>
      <c r="U6" s="7" t="str">
        <f t="shared" si="0"/>
        <v>Damascus, Exports, in pound/ton</v>
      </c>
      <c r="V6" s="7" t="str">
        <f t="shared" si="0"/>
        <v>Damascus, Bazaar (Local), in pound/ton</v>
      </c>
      <c r="W6" s="7" t="str">
        <f t="shared" si="0"/>
        <v>Beirut, Imports, in pound/ton</v>
      </c>
      <c r="X6" s="7" t="str">
        <f t="shared" si="0"/>
        <v>Beirut, Exports, in pound/ton</v>
      </c>
      <c r="Y6" s="7" t="str">
        <f t="shared" si="0"/>
        <v>Beirut, Bazaar (Local), in pound/ton</v>
      </c>
      <c r="Z6" s="7" t="str">
        <f t="shared" si="0"/>
        <v>Istanbul (Malatya), Imports, in pound/ton</v>
      </c>
      <c r="AA6" s="7" t="str">
        <f t="shared" si="0"/>
        <v>Istanbul (Malatya), Exports, in pound/ton</v>
      </c>
      <c r="AB6" s="7" t="str">
        <f t="shared" si="0"/>
        <v>Istanbul (Malatya), Bazaar (Local), in pound/ton</v>
      </c>
      <c r="AC6" s="7" t="str">
        <f t="shared" si="0"/>
        <v>Istanbul (Geyve), Imports, in pound/ton</v>
      </c>
      <c r="AD6" s="7" t="str">
        <f t="shared" si="0"/>
        <v>Istanbul (Geyve), Exports, in pound/ton</v>
      </c>
      <c r="AE6" s="7" t="str">
        <f t="shared" si="0"/>
        <v>Istanbul (Geyve), Bazaar (Local), in pound/ton</v>
      </c>
      <c r="AF6" s="7" t="str">
        <f t="shared" si="0"/>
        <v>Istanbul (Nallrihan), Imports, in pound/ton</v>
      </c>
      <c r="AG6" s="7" t="str">
        <f t="shared" si="0"/>
        <v>Istanbul (Nallrihan), Exports, in pound/ton</v>
      </c>
      <c r="AH6" s="7" t="str">
        <f t="shared" si="0"/>
        <v>Istanbul (Nallrihan), Bazaar (Local), in pound/ton</v>
      </c>
      <c r="AI6" s="7" t="str">
        <f t="shared" si="0"/>
        <v>Turkey, Imports, in pound/ton</v>
      </c>
      <c r="AJ6" s="7" t="str">
        <f t="shared" si="0"/>
        <v>Turkey, Exports, in pound/ton</v>
      </c>
      <c r="AK6" s="7" t="str">
        <f t="shared" si="0"/>
        <v>Turkey, Bazaar (Local), in pound/ton</v>
      </c>
      <c r="AL6" s="7" t="str">
        <f t="shared" si="0"/>
        <v>Constantinople, Imports, in pound/ton</v>
      </c>
      <c r="AM6" s="7" t="str">
        <f t="shared" si="0"/>
        <v>Constantinople, Exports, in pound/ton</v>
      </c>
      <c r="AN6" s="7" t="str">
        <f t="shared" si="0"/>
        <v>Constantinople, Bazaar (Local), in pound/ton</v>
      </c>
      <c r="AO6" s="7" t="str">
        <f t="shared" si="0"/>
        <v>Trebizond (Anatolia), Imports, in pound/ton</v>
      </c>
      <c r="AP6" s="7" t="str">
        <f t="shared" si="0"/>
        <v>Trebizond (Anatolia), Exports, in pound/ton</v>
      </c>
      <c r="AQ6" s="7" t="str">
        <f t="shared" si="0"/>
        <v>Trebizond (Anatolia), Bazaar (Local), in pound/ton</v>
      </c>
      <c r="AR6" s="7" t="str">
        <f t="shared" ref="AR6:BW6" si="1">CONCATENATE(AR2,", ",AR4,", ","in ",AR5)</f>
        <v>Trebizond (Persia), Imports, in pound/ton</v>
      </c>
      <c r="AS6" s="7" t="str">
        <f t="shared" si="1"/>
        <v>Trebizond (Persia), Exports, in pound/ton</v>
      </c>
      <c r="AT6" s="7" t="str">
        <f t="shared" si="1"/>
        <v>Adana, , in pound/ton</v>
      </c>
      <c r="AU6" s="7" t="str">
        <f t="shared" si="1"/>
        <v>Izmir, , in pound/ton</v>
      </c>
      <c r="AV6" s="7" t="str">
        <f t="shared" si="1"/>
        <v>Izmir, Exports, in pound/ton</v>
      </c>
      <c r="AW6" s="7" t="str">
        <f t="shared" si="1"/>
        <v>Izmir, , in pound/ton</v>
      </c>
      <c r="AX6" s="7" t="str">
        <f t="shared" si="1"/>
        <v>Alexandretta, Imports, in pound/ton</v>
      </c>
      <c r="AY6" s="7" t="str">
        <f t="shared" si="1"/>
        <v>Alexandretta, Exports, in pound/ton</v>
      </c>
      <c r="AZ6" s="7" t="str">
        <f t="shared" si="1"/>
        <v>Alexandretta, Bazaar (Local), in pound/ton</v>
      </c>
      <c r="BA6" s="7" t="str">
        <f t="shared" si="1"/>
        <v>Ispahan, Imports, in pound/ton</v>
      </c>
      <c r="BB6" s="7" t="str">
        <f t="shared" si="1"/>
        <v>Ispahan, Exports, in pound/ton</v>
      </c>
      <c r="BC6" s="7" t="str">
        <f t="shared" si="1"/>
        <v>Ispahan, Bazaar (Local), in pound/ton</v>
      </c>
      <c r="BD6" s="7" t="str">
        <f t="shared" si="1"/>
        <v>Yezd, Imports, in pound/ton</v>
      </c>
      <c r="BE6" s="7" t="str">
        <f t="shared" si="1"/>
        <v>Yezd, Exports, in pound/ton</v>
      </c>
      <c r="BF6" s="7" t="str">
        <f t="shared" si="1"/>
        <v>Yezd, Bazaar (Local), in pound/ton</v>
      </c>
      <c r="BG6" s="7" t="str">
        <f t="shared" si="1"/>
        <v>Khorasan, Imports, in pound/ton</v>
      </c>
      <c r="BH6" s="7" t="str">
        <f t="shared" si="1"/>
        <v>Khorasan, Exports, in pound/ton</v>
      </c>
      <c r="BI6" s="7" t="str">
        <f t="shared" si="1"/>
        <v>Khorasan, Bazaar (Local), in pound/ton</v>
      </c>
      <c r="BJ6" s="7" t="str">
        <f t="shared" si="1"/>
        <v>Kermanshah, Imports, in pound/ton</v>
      </c>
      <c r="BK6" s="7" t="str">
        <f t="shared" si="1"/>
        <v>Kermanshah, Exports, in pound/ton</v>
      </c>
      <c r="BL6" s="7" t="str">
        <f t="shared" si="1"/>
        <v>Kermanshah, Bazaar (Local), in pound/ton</v>
      </c>
      <c r="BM6" s="7" t="str">
        <f t="shared" si="1"/>
        <v>Kerman, Imports, in pound/ton</v>
      </c>
      <c r="BN6" s="7" t="str">
        <f t="shared" si="1"/>
        <v>Kerman, Exports, in pound/ton</v>
      </c>
      <c r="BO6" s="7" t="str">
        <f t="shared" si="1"/>
        <v>Kerman, Bazaar (Local), in pound/ton</v>
      </c>
      <c r="BP6" s="7" t="str">
        <f t="shared" si="1"/>
        <v>Bam, Imports, in pound/ton</v>
      </c>
      <c r="BQ6" s="7" t="str">
        <f t="shared" si="1"/>
        <v>Bam, Exports, in pound/ton</v>
      </c>
      <c r="BR6" s="7" t="str">
        <f t="shared" si="1"/>
        <v>Bam, Bazaar (Local), in pound/ton</v>
      </c>
      <c r="BS6" s="7" t="str">
        <f t="shared" si="1"/>
        <v>Resht, Imports, in pound/ton</v>
      </c>
      <c r="BT6" s="7" t="str">
        <f t="shared" si="1"/>
        <v>Resht, Exports, in pound/ton</v>
      </c>
      <c r="BU6" s="7" t="str">
        <f t="shared" si="1"/>
        <v>Resht, Bazaar (Local), in pound/ton</v>
      </c>
      <c r="BV6" s="7" t="str">
        <f t="shared" si="1"/>
        <v>Mazandaran, Imports, in pound/ton</v>
      </c>
      <c r="BW6" s="7" t="str">
        <f t="shared" si="1"/>
        <v>Mazandaran, Exports, in pound/ton</v>
      </c>
      <c r="BX6" s="7" t="str">
        <f t="shared" ref="BX6:DB6" si="2">CONCATENATE(BX2,", ",BX4,", ","in ",BX5)</f>
        <v>Mazandaran, Bazaar (Local), in pound/ton</v>
      </c>
      <c r="BY6" s="7" t="str">
        <f t="shared" si="2"/>
        <v>Ghilan &amp; Tunekabun, Imports, in pound/ton</v>
      </c>
      <c r="BZ6" s="7" t="str">
        <f t="shared" si="2"/>
        <v>Ghilan &amp; Tunekabun, Exports, in pound/ton</v>
      </c>
      <c r="CA6" s="7" t="str">
        <f t="shared" si="2"/>
        <v>Ghilan &amp; Tunekabun, Bazaar (Local), in pound/ton</v>
      </c>
      <c r="CB6" s="7" t="str">
        <f t="shared" si="2"/>
        <v>Bender Gez &amp; Astarabad, Imports, in pound/ton</v>
      </c>
      <c r="CC6" s="7" t="str">
        <f t="shared" si="2"/>
        <v>Bender Gez &amp; Astarabad, Exports, in pound/ton</v>
      </c>
      <c r="CD6" s="7" t="str">
        <f t="shared" si="2"/>
        <v>Bender Gez &amp; Astarabad, Bazaar (Local), in pound/ton</v>
      </c>
      <c r="CE6" s="7" t="str">
        <f t="shared" si="2"/>
        <v>Astara, Imports, in pound/ton</v>
      </c>
      <c r="CF6" s="7" t="str">
        <f t="shared" si="2"/>
        <v>Astara, Exports, in pound/ton</v>
      </c>
      <c r="CG6" s="7" t="str">
        <f t="shared" si="2"/>
        <v>Astara, Bazaar (Local), in pound/ton</v>
      </c>
      <c r="CH6" s="7" t="str">
        <f t="shared" si="2"/>
        <v>Sultanabad, Imports, in pound/ton</v>
      </c>
      <c r="CI6" s="7" t="str">
        <f t="shared" si="2"/>
        <v>Sultanabad, Exports, in pound/ton</v>
      </c>
      <c r="CJ6" s="7" t="str">
        <f t="shared" si="2"/>
        <v>Sultanabad, Bazaar (Local), in pound/ton</v>
      </c>
      <c r="CK6" s="7" t="str">
        <f t="shared" si="2"/>
        <v>Bahrain, Imports, in pound/ton</v>
      </c>
      <c r="CL6" s="7" t="str">
        <f t="shared" si="2"/>
        <v>Bahrain, Exports, in pound/ton</v>
      </c>
      <c r="CM6" s="7" t="str">
        <f t="shared" si="2"/>
        <v>Bahrain, Bazaar (Local), in pound/ton</v>
      </c>
      <c r="CN6" s="7" t="str">
        <f t="shared" si="2"/>
        <v>Muscat, Imports, in pound/ton</v>
      </c>
      <c r="CO6" s="7" t="str">
        <f t="shared" si="2"/>
        <v>Muscat, Exports, in pound/ton</v>
      </c>
      <c r="CP6" s="7" t="str">
        <f t="shared" si="2"/>
        <v>Muscat, Bazaar (Local), in pound/ton</v>
      </c>
      <c r="CQ6" s="7" t="str">
        <f t="shared" si="2"/>
        <v>Mohammerah, Imports, in pound/ton</v>
      </c>
      <c r="CR6" s="7" t="str">
        <f t="shared" si="2"/>
        <v>Mohammerah, Exports, in pound/ton</v>
      </c>
      <c r="CS6" s="7" t="str">
        <f t="shared" si="2"/>
        <v>Mohammerah, Bazaar (Local), in pound/ton</v>
      </c>
      <c r="CT6" s="7" t="str">
        <f t="shared" si="2"/>
        <v>Lingah, Imports, in pound/ton</v>
      </c>
      <c r="CU6" s="7" t="str">
        <f t="shared" si="2"/>
        <v>Lingah, Exports, in pound/ton</v>
      </c>
      <c r="CV6" s="7" t="str">
        <f t="shared" si="2"/>
        <v>Lingah, Bazaar (Local), in pound/ton</v>
      </c>
      <c r="CW6" s="7" t="str">
        <f t="shared" si="2"/>
        <v>Shiraz, Imports, in pound/ton</v>
      </c>
      <c r="CX6" s="7" t="str">
        <f t="shared" si="2"/>
        <v>Shiraz, Exports, in pound/ton</v>
      </c>
      <c r="CY6" s="7" t="str">
        <f t="shared" si="2"/>
        <v>Shiraz, Bazaar (Local), in pound/ton</v>
      </c>
      <c r="CZ6" s="7" t="str">
        <f t="shared" si="2"/>
        <v>India, Imports, in pound/ton</v>
      </c>
      <c r="DA6" s="7" t="str">
        <f t="shared" si="2"/>
        <v>India, Exports, in pound/ton</v>
      </c>
      <c r="DB6" s="7" t="str">
        <f t="shared" si="2"/>
        <v>India, Wholesale, in pound/ton</v>
      </c>
    </row>
    <row r="7" spans="1:106" x14ac:dyDescent="0.25">
      <c r="A7" s="8">
        <v>1840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</row>
    <row r="8" spans="1:106" x14ac:dyDescent="0.25">
      <c r="A8" s="8">
        <f t="shared" ref="A8:A39" si="3">A7+1</f>
        <v>1841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</row>
    <row r="9" spans="1:106" x14ac:dyDescent="0.25">
      <c r="A9" s="8">
        <f t="shared" si="3"/>
        <v>1842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</row>
    <row r="10" spans="1:106" x14ac:dyDescent="0.25">
      <c r="A10" s="8">
        <f t="shared" si="3"/>
        <v>1843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</row>
    <row r="11" spans="1:106" x14ac:dyDescent="0.25">
      <c r="A11" s="8">
        <f t="shared" si="3"/>
        <v>1844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</row>
    <row r="12" spans="1:106" x14ac:dyDescent="0.25">
      <c r="A12" s="8">
        <f t="shared" si="3"/>
        <v>1845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>
        <f>(1/2204.62*2240)*31.8226687499999</f>
        <v>32.333362665674706</v>
      </c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</row>
    <row r="13" spans="1:106" x14ac:dyDescent="0.25">
      <c r="A13" s="8">
        <f t="shared" si="3"/>
        <v>1846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>
        <f>(1/2204.62*2240)*34.6932703125</f>
        <v>35.250031978300107</v>
      </c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</row>
    <row r="14" spans="1:106" x14ac:dyDescent="0.25">
      <c r="A14" s="8">
        <f t="shared" si="3"/>
        <v>1847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>
        <f>(1/2204.62*2240)*39.36825</f>
        <v>40.000036287432756</v>
      </c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</row>
    <row r="15" spans="1:106" x14ac:dyDescent="0.25">
      <c r="A15" s="8">
        <f t="shared" si="3"/>
        <v>1848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>
        <f>(1/2204.62*2240)*32.3147718749999</f>
        <v>32.833363119267617</v>
      </c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</row>
    <row r="16" spans="1:106" x14ac:dyDescent="0.25">
      <c r="A16" s="8">
        <f t="shared" si="3"/>
        <v>1849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>
        <f>(1/2204.62*2240)*36.5796656249999</f>
        <v>37.166700383739496</v>
      </c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</row>
    <row r="17" spans="1:105" x14ac:dyDescent="0.25">
      <c r="A17" s="8">
        <f t="shared" si="3"/>
        <v>1850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>
        <f>(1/2204.62*2240)*43.3871</f>
        <v>44.083381262984091</v>
      </c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</row>
    <row r="18" spans="1:105" x14ac:dyDescent="0.25">
      <c r="A18" s="8">
        <f t="shared" si="3"/>
        <v>1851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>
        <f>(1/2204.62*2240)*35.4314</f>
        <v>36.000007257486544</v>
      </c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</row>
    <row r="19" spans="1:105" x14ac:dyDescent="0.25">
      <c r="A19" s="8">
        <f t="shared" si="3"/>
        <v>1852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>
        <f>(1/2204.62*2240)*36.0876</f>
        <v>36.666738031951084</v>
      </c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</row>
    <row r="20" spans="1:105" x14ac:dyDescent="0.25">
      <c r="A20" s="8">
        <f t="shared" si="3"/>
        <v>1853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>
        <f>(1/2204.62*2240)*47.98</f>
        <v>48.749988660177259</v>
      </c>
      <c r="AX20" s="3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</row>
    <row r="21" spans="1:105" x14ac:dyDescent="0.25">
      <c r="A21" s="8">
        <f t="shared" si="3"/>
        <v>1854</v>
      </c>
      <c r="C21" s="1">
        <v>50.931138031789246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>
        <f>(1/2204.62*2240)*43.3051</f>
        <v>44.000065317378962</v>
      </c>
      <c r="AX21" s="16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</row>
    <row r="22" spans="1:105" x14ac:dyDescent="0.25">
      <c r="A22" s="8">
        <f t="shared" si="3"/>
        <v>1855</v>
      </c>
      <c r="C22" s="1">
        <v>52.369578216521809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>
        <f>(1/2204.62*2240)*48.7182</f>
        <v>49.500035380246935</v>
      </c>
      <c r="AX22" s="16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</row>
    <row r="23" spans="1:105" x14ac:dyDescent="0.25">
      <c r="A23" s="8">
        <f t="shared" si="3"/>
        <v>1856</v>
      </c>
      <c r="C23" s="1">
        <v>57.861914480692192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3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>
        <f>(1/2204.62*2240)*53.1061</f>
        <v>53.958352913427255</v>
      </c>
      <c r="AX23" s="16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</row>
    <row r="24" spans="1:105" x14ac:dyDescent="0.25">
      <c r="A24" s="8">
        <f t="shared" si="3"/>
        <v>1857</v>
      </c>
      <c r="C24" s="1">
        <v>67.6835794192544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>
        <f>(1/2204.62*2240)*57.494</f>
        <v>58.416670446607576</v>
      </c>
      <c r="AX24" s="16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</row>
    <row r="25" spans="1:105" x14ac:dyDescent="0.25">
      <c r="A25" s="8">
        <f t="shared" si="3"/>
        <v>1858</v>
      </c>
      <c r="C25" s="1">
        <v>65.200481895461252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3"/>
      <c r="S25" s="3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>
        <f>(1/2204.62*2240)*25.4253</f>
        <v>25.833328192613692</v>
      </c>
      <c r="AX25" s="16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</row>
    <row r="26" spans="1:105" x14ac:dyDescent="0.25">
      <c r="A26" s="8">
        <f t="shared" si="3"/>
        <v>1859</v>
      </c>
      <c r="C26" s="1">
        <v>63.143780322374681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3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>
        <f>(1/2204.62*2240)*22.73</f>
        <v>23.094773702497481</v>
      </c>
      <c r="AX26" s="16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</row>
    <row r="27" spans="1:105" x14ac:dyDescent="0.25">
      <c r="A27" s="8">
        <f t="shared" si="3"/>
        <v>1860</v>
      </c>
      <c r="C27" s="1">
        <v>57.58375050023794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3">
        <f>2240*0.0197621227370374</f>
        <v>44.267154930963777</v>
      </c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>
        <f>(1/2204.62*2240)*25.01</f>
        <v>25.411363409567183</v>
      </c>
      <c r="AX27" s="16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</row>
    <row r="28" spans="1:105" x14ac:dyDescent="0.25">
      <c r="A28" s="8">
        <f t="shared" si="3"/>
        <v>1861</v>
      </c>
      <c r="C28" s="1">
        <v>68.881991197067322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3">
        <f>2240*0.0228343763966512</f>
        <v>51.149003128498691</v>
      </c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>
        <f>(1/2204.62*2240)*27.3</f>
        <v>27.738113597808237</v>
      </c>
      <c r="AX28" s="16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DA28" s="1">
        <v>37.70899959444975</v>
      </c>
    </row>
    <row r="29" spans="1:105" x14ac:dyDescent="0.25">
      <c r="A29" s="8">
        <f t="shared" si="3"/>
        <v>1862</v>
      </c>
      <c r="C29" s="1">
        <v>132.92360761835465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3">
        <f>2240*0.0407186275893708</f>
        <v>91.209725800190597</v>
      </c>
      <c r="S29" s="3">
        <f>2240*0.0411711425580219</f>
        <v>92.223359329969057</v>
      </c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>
        <f>(1/2204.62*2240)*137.133</f>
        <v>139.33372644718818</v>
      </c>
      <c r="AX29" s="16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DA29" s="1">
        <v>56.322602546276173</v>
      </c>
    </row>
    <row r="30" spans="1:105" x14ac:dyDescent="0.25">
      <c r="A30" s="8">
        <f t="shared" si="3"/>
        <v>1863</v>
      </c>
      <c r="C30" s="1">
        <v>188.14404533993084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">
        <f>2240*0.0545513675557002</f>
        <v>122.19506332476844</v>
      </c>
      <c r="S30" s="3">
        <f>2240*0.0545513675557002</f>
        <v>122.19506332476844</v>
      </c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>
        <f>(1/2204.62*2240)*156.161</f>
        <v>158.66709002004879</v>
      </c>
      <c r="AX30" s="16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DA30" s="1">
        <v>100.62043755974622</v>
      </c>
    </row>
    <row r="31" spans="1:105" x14ac:dyDescent="0.25">
      <c r="A31" s="8">
        <f t="shared" si="3"/>
        <v>1864</v>
      </c>
      <c r="C31" s="1">
        <v>195.96352875846935</v>
      </c>
      <c r="D31" s="1"/>
      <c r="E31" s="1">
        <f>2240*0.0331172979615818</f>
        <v>74.18274743394322</v>
      </c>
      <c r="F31" s="1"/>
      <c r="G31" s="1"/>
      <c r="H31" s="1"/>
      <c r="I31" s="1"/>
      <c r="J31" s="1">
        <f>2240*0.0583333333333333</f>
        <v>130.6666666666666</v>
      </c>
      <c r="K31" s="1"/>
      <c r="L31" s="1"/>
      <c r="M31" s="1"/>
      <c r="N31" s="1"/>
      <c r="O31" s="1"/>
      <c r="P31" s="1"/>
      <c r="Q31" s="1"/>
      <c r="R31" s="1"/>
      <c r="S31" s="3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3"/>
      <c r="AW31" s="1">
        <f>(1/2204.62*2240)*159.852</f>
        <v>162.41732362039716</v>
      </c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DA31" s="1">
        <v>160.17130876857561</v>
      </c>
    </row>
    <row r="32" spans="1:105" x14ac:dyDescent="0.25">
      <c r="A32" s="8">
        <f t="shared" si="3"/>
        <v>1865</v>
      </c>
      <c r="C32" s="1">
        <v>151.19999999999999</v>
      </c>
      <c r="D32" s="1"/>
      <c r="E32" s="1"/>
      <c r="F32" s="1"/>
      <c r="G32" s="1"/>
      <c r="H32" s="1"/>
      <c r="I32" s="1"/>
      <c r="J32" s="1">
        <f>2240*0.0583333333333333</f>
        <v>130.6666666666666</v>
      </c>
      <c r="K32" s="1"/>
      <c r="L32" s="1"/>
      <c r="M32" s="1"/>
      <c r="N32" s="1"/>
      <c r="O32" s="1"/>
      <c r="P32" s="1"/>
      <c r="Q32" s="1"/>
      <c r="R32" s="1"/>
      <c r="S32" s="3">
        <f>2240*0.0499935302490266</f>
        <v>111.98550775781958</v>
      </c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3">
        <v>128.65232424203094</v>
      </c>
      <c r="AW32" s="1">
        <f>(1/2204.62*2240)*119.417</f>
        <v>121.33341800400976</v>
      </c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DA32" s="1">
        <v>93.298037788592438</v>
      </c>
    </row>
    <row r="33" spans="1:106" x14ac:dyDescent="0.25">
      <c r="A33" s="8">
        <f t="shared" si="3"/>
        <v>1866</v>
      </c>
      <c r="C33" s="1">
        <v>126</v>
      </c>
      <c r="D33" s="1"/>
      <c r="E33" s="1">
        <f>2240*0.0299514825987258</f>
        <v>67.091321021145788</v>
      </c>
      <c r="F33" s="1"/>
      <c r="G33" s="1">
        <f>2240*0.0329544951351476</f>
        <v>73.818069102730632</v>
      </c>
      <c r="H33" s="1"/>
      <c r="I33" s="1"/>
      <c r="J33" s="3">
        <f>2240*0.0319444444444444</f>
        <v>71.555555555555458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3">
        <v>77.587866366058606</v>
      </c>
      <c r="AW33" s="1">
        <f>(1/2204.62*2240)*91.8593</f>
        <v>93.333468806415624</v>
      </c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DA33" s="1">
        <v>111.45870448422698</v>
      </c>
    </row>
    <row r="34" spans="1:106" x14ac:dyDescent="0.25">
      <c r="A34" s="8">
        <f t="shared" si="3"/>
        <v>1867</v>
      </c>
      <c r="C34" s="1">
        <v>92.2</v>
      </c>
      <c r="D34" s="1"/>
      <c r="E34" s="1">
        <f>2240*0.020564297200313</f>
        <v>46.064025728701125</v>
      </c>
      <c r="F34" s="1"/>
      <c r="G34" s="1"/>
      <c r="H34" s="1"/>
      <c r="I34" s="1"/>
      <c r="J34" s="3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3"/>
      <c r="AW34" s="1">
        <f>(1/2204.62*2240)*80.3768</f>
        <v>81.66669630140342</v>
      </c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DA34" s="1">
        <v>72.946575997219071</v>
      </c>
    </row>
    <row r="35" spans="1:106" x14ac:dyDescent="0.25">
      <c r="A35" s="8">
        <f t="shared" si="3"/>
        <v>1868</v>
      </c>
      <c r="C35" s="1">
        <v>93.000000000000014</v>
      </c>
      <c r="D35" s="1"/>
      <c r="E35" s="1">
        <f>2240*0.0176114832532677</f>
        <v>39.449722487319647</v>
      </c>
      <c r="F35" s="1"/>
      <c r="G35" s="1"/>
      <c r="H35" s="1"/>
      <c r="I35" s="1"/>
      <c r="J35" s="3">
        <f>2240*0.0333333333333333</f>
        <v>74.666666666666586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3">
        <v>35.288499462715478</v>
      </c>
      <c r="AW35" s="1">
        <f>(1/2204.62*2240)*73.4874</f>
        <v>74.666734403207798</v>
      </c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DA35" s="1">
        <v>62.354972385053273</v>
      </c>
    </row>
    <row r="36" spans="1:106" x14ac:dyDescent="0.25">
      <c r="A36" s="8">
        <f t="shared" si="3"/>
        <v>1869</v>
      </c>
      <c r="C36" s="1">
        <v>104.2</v>
      </c>
      <c r="D36" s="1"/>
      <c r="E36" s="1">
        <f>2240*0.020344706582448</f>
        <v>45.572142744683518</v>
      </c>
      <c r="F36" s="1">
        <f>2240*0.0224656733982459</f>
        <v>50.323108412070816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>
        <v>40</v>
      </c>
      <c r="AT36" s="1"/>
      <c r="AU36" s="1"/>
      <c r="AV36" s="3">
        <v>70.669324130361346</v>
      </c>
      <c r="AW36" s="1">
        <f>(1/2204.62*2240)*91.8593</f>
        <v>93.333468806415624</v>
      </c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DA36" s="1">
        <v>65.242224828628878</v>
      </c>
    </row>
    <row r="37" spans="1:106" x14ac:dyDescent="0.25">
      <c r="A37" s="8">
        <f t="shared" si="3"/>
        <v>1870</v>
      </c>
      <c r="C37" s="1">
        <v>89.4</v>
      </c>
      <c r="D37" s="1"/>
      <c r="E37" s="1">
        <f>2240*0.00447930062677763</f>
        <v>10.033633403981892</v>
      </c>
      <c r="F37" s="1">
        <f>2240*0.0264122748134911</f>
        <v>59.163495582220065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>
        <v>40</v>
      </c>
      <c r="AT37" s="1"/>
      <c r="AU37" s="1"/>
      <c r="AV37" s="14"/>
      <c r="AW37" s="1">
        <f>(1/2204.62*2240)*64.2195</f>
        <v>65.250102058404622</v>
      </c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DA37" s="1">
        <v>79.3095805844371</v>
      </c>
    </row>
    <row r="38" spans="1:106" x14ac:dyDescent="0.25">
      <c r="A38" s="8">
        <f t="shared" si="3"/>
        <v>1871</v>
      </c>
      <c r="C38" s="1">
        <v>70.400000000000006</v>
      </c>
      <c r="D38" s="1"/>
      <c r="E38" s="1"/>
      <c r="F38" s="1"/>
      <c r="G38" s="1"/>
      <c r="H38" s="1"/>
      <c r="I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>
        <f>2240*0.021875</f>
        <v>49</v>
      </c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>
        <v>40</v>
      </c>
      <c r="AT38" s="1"/>
      <c r="AU38" s="1"/>
      <c r="AV38" s="3">
        <v>20.735714285714284</v>
      </c>
      <c r="AW38" s="1">
        <f>(1/2204.62*2240)*82.6733</f>
        <v>84.000050802405852</v>
      </c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DA38" s="1">
        <v>64.725131759869257</v>
      </c>
    </row>
    <row r="39" spans="1:106" x14ac:dyDescent="0.25">
      <c r="A39" s="8">
        <f t="shared" si="3"/>
        <v>1872</v>
      </c>
      <c r="C39" s="1">
        <v>84.800000000000011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>
        <f>2240*0.0234375</f>
        <v>52.5</v>
      </c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>
        <v>40</v>
      </c>
      <c r="AT39" s="1"/>
      <c r="AU39" s="1"/>
      <c r="AV39" s="3">
        <v>72.443284936479131</v>
      </c>
      <c r="AW39" s="1">
        <f>(1/2204.62*2240)*73.4874</f>
        <v>74.666734403207798</v>
      </c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DA39" s="1">
        <v>62.13158962889414</v>
      </c>
    </row>
    <row r="40" spans="1:106" x14ac:dyDescent="0.25">
      <c r="A40" s="8">
        <f t="shared" ref="A40:A71" si="4">A39+1</f>
        <v>1873</v>
      </c>
      <c r="C40" s="1">
        <v>80.2</v>
      </c>
      <c r="D40" s="1"/>
      <c r="E40" s="1"/>
      <c r="F40" s="1"/>
      <c r="G40" s="1"/>
      <c r="H40" s="3"/>
      <c r="I40" s="1"/>
      <c r="J40" s="1"/>
      <c r="K40" s="1"/>
      <c r="L40" s="1"/>
      <c r="M40" s="1"/>
      <c r="N40" s="1"/>
      <c r="O40" s="1"/>
      <c r="P40" s="1"/>
      <c r="Q40" s="1"/>
      <c r="R40" s="3">
        <f>2240*0.0210056849785826</f>
        <v>47.052734352025027</v>
      </c>
      <c r="S40" s="1"/>
      <c r="T40" s="1"/>
      <c r="U40" s="1"/>
      <c r="V40" s="1"/>
      <c r="W40" s="1"/>
      <c r="X40" s="1">
        <f>2240*0.021875</f>
        <v>49</v>
      </c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>
        <v>40</v>
      </c>
      <c r="AT40" s="1"/>
      <c r="AU40" s="1"/>
      <c r="AV40" s="14"/>
      <c r="AW40" s="1">
        <f>(1/2204.62*2240)*63.3173</f>
        <v>64.333423447124673</v>
      </c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T40" s="1">
        <f>2240*0.0219459459459459</f>
        <v>49.158918918918815</v>
      </c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DA40" s="1">
        <v>67.133429452399582</v>
      </c>
      <c r="DB40" s="1">
        <v>64.005187005186997</v>
      </c>
    </row>
    <row r="41" spans="1:106" x14ac:dyDescent="0.25">
      <c r="A41" s="8">
        <f t="shared" si="4"/>
        <v>1874</v>
      </c>
      <c r="C41" s="1">
        <v>72.400000000000006</v>
      </c>
      <c r="D41" s="1"/>
      <c r="E41" s="1">
        <f>2240*0.0162275046684994</f>
        <v>36.349610457438651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">
        <f>2240*0.0220559692275117</f>
        <v>49.405371069626206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>
        <v>53.333333333333329</v>
      </c>
      <c r="AT41" s="1"/>
      <c r="AU41" s="1"/>
      <c r="AV41" s="3">
        <v>57.023214285714282</v>
      </c>
      <c r="AW41" s="1">
        <f>(1/2204.62*2240)*55.1156</f>
        <v>56.000101604811711</v>
      </c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T41" s="1">
        <f>2240*0.0173343605546995</f>
        <v>38.828967642526884</v>
      </c>
      <c r="BU41" s="3">
        <f>2240*0.0172549019607843</f>
        <v>38.650980392156832</v>
      </c>
      <c r="BV41" s="3"/>
      <c r="BW41" s="3"/>
      <c r="BX41" s="3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>
        <f>(1/112*2240)*1.64618524774775</f>
        <v>32.923704954954999</v>
      </c>
      <c r="CP41" s="1"/>
      <c r="CQ41" s="1"/>
      <c r="CR41" s="1"/>
      <c r="CS41" s="1"/>
      <c r="CT41" s="1"/>
      <c r="CU41" s="1"/>
      <c r="CV41" s="1"/>
      <c r="DA41" s="1">
        <v>58.017297260756493</v>
      </c>
      <c r="DB41" s="1"/>
    </row>
    <row r="42" spans="1:106" x14ac:dyDescent="0.25">
      <c r="A42" s="8">
        <f t="shared" si="4"/>
        <v>1875</v>
      </c>
      <c r="C42" s="1">
        <v>69.400000000000006</v>
      </c>
      <c r="D42" s="1"/>
      <c r="E42" s="1">
        <f>2240*0.0179508076068342</f>
        <v>40.20980903930861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">
        <f>2240*0.0179204749973533</f>
        <v>40.141863994071393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>
        <v>53.333333333333329</v>
      </c>
      <c r="AT42" s="1"/>
      <c r="AU42" s="1"/>
      <c r="AV42" s="3">
        <v>43.930882109855723</v>
      </c>
      <c r="AW42" s="1">
        <f>(1/2204.62*2240)*45.9296</f>
        <v>46.666683600801953</v>
      </c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T42" s="1">
        <f>2240*0.0181008403361345</f>
        <v>40.545882352941277</v>
      </c>
      <c r="BU42" s="1"/>
      <c r="BV42" s="1"/>
      <c r="BW42" s="1"/>
      <c r="BX42" s="1"/>
      <c r="BY42" s="1"/>
      <c r="BZ42" s="1"/>
      <c r="CA42" s="3">
        <f>2240*0.0205357142857143</f>
        <v>46.000000000000028</v>
      </c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>
        <f>(1/112*2240)*1.34870739911938</f>
        <v>26.974147982387603</v>
      </c>
      <c r="CP42" s="1"/>
      <c r="CQ42" s="1"/>
      <c r="CR42" s="1"/>
      <c r="CS42" s="1"/>
      <c r="CT42" s="1"/>
      <c r="CU42" s="1"/>
      <c r="CV42" s="1"/>
      <c r="DA42" s="1">
        <v>54.461256135023739</v>
      </c>
      <c r="DB42" s="1"/>
    </row>
    <row r="43" spans="1:106" x14ac:dyDescent="0.25">
      <c r="A43" s="8">
        <f t="shared" si="4"/>
        <v>1876</v>
      </c>
      <c r="C43" s="1">
        <v>60.4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3">
        <v>39.478343779265451</v>
      </c>
      <c r="AU43" s="3">
        <v>45.424616056577165</v>
      </c>
      <c r="AV43" s="3">
        <v>48.363827544132548</v>
      </c>
      <c r="AW43" s="1">
        <f>(1/2204.62*2240)*52.6278</f>
        <v>53.472377099001186</v>
      </c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T43" s="1"/>
      <c r="BV43" s="1"/>
      <c r="BW43" s="1"/>
      <c r="BX43" s="1"/>
      <c r="BY43" s="1"/>
      <c r="BZ43" s="1"/>
      <c r="CA43" s="3">
        <f>2240*0.0147321428571429</f>
        <v>33.000000000000099</v>
      </c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>
        <f>(1/112*2240)*1.25088906028215</f>
        <v>25.017781205643001</v>
      </c>
      <c r="CP43" s="1"/>
      <c r="CQ43" s="1"/>
      <c r="CR43" s="1"/>
      <c r="CS43" s="1"/>
      <c r="CT43" s="1"/>
      <c r="CU43" s="1"/>
      <c r="CV43" s="1"/>
      <c r="DA43" s="1">
        <v>50.019138274550848</v>
      </c>
      <c r="DB43" s="1"/>
    </row>
    <row r="44" spans="1:106" x14ac:dyDescent="0.25">
      <c r="A44" s="8">
        <f t="shared" si="4"/>
        <v>1877</v>
      </c>
      <c r="C44" s="1">
        <v>58.6</v>
      </c>
      <c r="D44" s="1"/>
      <c r="E44" s="1">
        <f>2240*0.0152169202414256</f>
        <v>34.085901340793342</v>
      </c>
      <c r="F44" s="1"/>
      <c r="H44" s="1"/>
      <c r="I44" s="1"/>
      <c r="J44" s="1"/>
      <c r="K44" s="1"/>
      <c r="L44" s="1"/>
      <c r="M44" s="1"/>
      <c r="N44" s="1"/>
      <c r="O44" s="1"/>
      <c r="P44" s="1"/>
      <c r="Q44" s="3"/>
      <c r="R44" s="3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3">
        <v>46.221539145289043</v>
      </c>
      <c r="AU44" s="3">
        <v>49.654438604355605</v>
      </c>
      <c r="AV44" s="3"/>
      <c r="AW44" s="1">
        <f>(1/2204.62*2240)*57.5284</f>
        <v>58.451622501837043</v>
      </c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T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>
        <f>(1/112*2240)*1.23790307590549</f>
        <v>24.758061518109802</v>
      </c>
      <c r="CP44" s="1"/>
      <c r="CQ44" s="1"/>
      <c r="CR44" s="1"/>
      <c r="CS44" s="1"/>
      <c r="CT44" s="1"/>
      <c r="CU44" s="1"/>
      <c r="CV44" s="1"/>
      <c r="DA44" s="1">
        <v>52.673788614885112</v>
      </c>
      <c r="DB44" s="1"/>
    </row>
    <row r="45" spans="1:106" x14ac:dyDescent="0.25">
      <c r="A45" s="8">
        <f t="shared" si="4"/>
        <v>1878</v>
      </c>
      <c r="C45" s="1">
        <v>55.999999999999993</v>
      </c>
      <c r="D45" s="1"/>
      <c r="E45" s="1">
        <f>2240*0.00301020408163265</f>
        <v>6.7428571428571367</v>
      </c>
      <c r="F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3">
        <v>44.355088421834061</v>
      </c>
      <c r="AU45" s="3">
        <v>47.064695417058978</v>
      </c>
      <c r="AV45" s="3"/>
      <c r="AW45" s="1">
        <f>(1/2204.62*2240)*56.7472</f>
        <v>57.657885712730533</v>
      </c>
      <c r="AY45" s="1">
        <v>51.99999999999995</v>
      </c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>
        <f>(1/112*2240)*1.1870883544316</f>
        <v>23.741767088631999</v>
      </c>
      <c r="CP45" s="1"/>
      <c r="CQ45" s="1"/>
      <c r="CR45" s="1"/>
      <c r="CS45" s="1"/>
      <c r="CT45" s="1"/>
      <c r="CU45" s="1"/>
      <c r="CV45" s="1"/>
      <c r="DA45" s="1">
        <v>48.723339719647981</v>
      </c>
      <c r="DB45" s="1"/>
    </row>
    <row r="46" spans="1:106" x14ac:dyDescent="0.25">
      <c r="A46" s="8">
        <f t="shared" si="4"/>
        <v>1879</v>
      </c>
      <c r="C46" s="1">
        <v>55.199999999999996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3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3">
        <v>43.757207747887684</v>
      </c>
      <c r="AU46" s="3">
        <v>45.573102580798697</v>
      </c>
      <c r="AV46" s="3"/>
      <c r="AW46" s="1">
        <f>(1/2204.62*2240)*55.2557</f>
        <v>56.142449946022438</v>
      </c>
      <c r="AY46" s="1">
        <v>56.119047619047571</v>
      </c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>
        <f>(1/112*2240)*1.69264450591981</f>
        <v>33.852890118396203</v>
      </c>
      <c r="CP46" s="1"/>
      <c r="CQ46" s="1"/>
      <c r="CR46" s="1"/>
      <c r="CS46" s="1"/>
      <c r="CT46" s="1"/>
      <c r="CU46" s="1"/>
      <c r="CV46" s="1"/>
      <c r="DA46" s="1">
        <v>48.868662062639274</v>
      </c>
      <c r="DB46" s="1"/>
    </row>
    <row r="47" spans="1:106" x14ac:dyDescent="0.25">
      <c r="A47" s="8">
        <f t="shared" si="4"/>
        <v>1880</v>
      </c>
      <c r="C47" s="1">
        <v>58.8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"/>
      <c r="S47" s="3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3">
        <v>59.926279625667441</v>
      </c>
      <c r="AU47" s="3">
        <v>65.833501964064581</v>
      </c>
      <c r="AV47" s="3"/>
      <c r="AW47" s="1">
        <f>(1/2204.62*2240)*65.696</f>
        <v>66.750297103355678</v>
      </c>
      <c r="AY47" s="1">
        <v>49.99999999999995</v>
      </c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>
        <f>(1/112*2240)*1.47503844278362</f>
        <v>29.500768855672401</v>
      </c>
      <c r="CP47" s="1"/>
      <c r="CQ47" s="1"/>
      <c r="CR47" s="1"/>
      <c r="CS47" s="1"/>
      <c r="CT47" s="1"/>
      <c r="CU47" s="1"/>
      <c r="CV47" s="1"/>
      <c r="DA47" s="1">
        <v>54.846983567403811</v>
      </c>
      <c r="DB47" s="1"/>
    </row>
    <row r="48" spans="1:106" x14ac:dyDescent="0.25">
      <c r="A48" s="8">
        <f t="shared" si="4"/>
        <v>1881</v>
      </c>
      <c r="C48" s="1">
        <v>58.4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3">
        <v>48.040663595398485</v>
      </c>
      <c r="AU48" s="3">
        <v>52.524458864302346</v>
      </c>
      <c r="AV48" s="3"/>
      <c r="AW48" s="1">
        <f>(1/2204.62*2240)*52.4148</f>
        <v>53.25595885005125</v>
      </c>
      <c r="AY48" s="1">
        <v>49.99999999999995</v>
      </c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>
        <f>(1/112*2240)*1.75099061078764</f>
        <v>35.0198122157528</v>
      </c>
      <c r="CP48" s="1"/>
      <c r="CQ48" s="1"/>
      <c r="CR48" s="1"/>
      <c r="CS48" s="1"/>
      <c r="CT48" s="1"/>
      <c r="CU48" s="1"/>
      <c r="CV48" s="1"/>
      <c r="DA48" s="1">
        <v>54.076030695455401</v>
      </c>
      <c r="DB48" s="1"/>
    </row>
    <row r="49" spans="1:106" x14ac:dyDescent="0.25">
      <c r="A49" s="8">
        <f t="shared" si="4"/>
        <v>1882</v>
      </c>
      <c r="C49" s="1">
        <v>58.6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N49" s="1"/>
      <c r="AO49" s="1"/>
      <c r="AP49" s="1"/>
      <c r="AQ49" s="1"/>
      <c r="AR49" s="1"/>
      <c r="AS49" s="1"/>
      <c r="AT49" s="3">
        <v>52.524458864302346</v>
      </c>
      <c r="AU49" s="3">
        <v>58.716366616598151</v>
      </c>
      <c r="AV49" s="3">
        <v>51.933156853281858</v>
      </c>
      <c r="AW49" s="1">
        <f>(1/2204.62*2240)*58.5938</f>
        <v>59.534120165833563</v>
      </c>
      <c r="AY49" s="1">
        <v>49.019607843137209</v>
      </c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>
        <f>(1/112*2240)*0.403586153244513</f>
        <v>8.0717230648902607</v>
      </c>
      <c r="CP49" s="1"/>
      <c r="CQ49" s="1"/>
      <c r="CR49" s="1"/>
      <c r="CS49" s="1"/>
      <c r="CT49" s="1"/>
      <c r="CU49" s="1"/>
      <c r="CV49" s="1"/>
      <c r="DA49" s="1">
        <v>50.107432185228362</v>
      </c>
      <c r="DB49" s="1"/>
    </row>
    <row r="50" spans="1:106" x14ac:dyDescent="0.25">
      <c r="A50" s="8">
        <f t="shared" si="4"/>
        <v>1883</v>
      </c>
      <c r="C50" s="1">
        <v>58.20000000000001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N50" s="1"/>
      <c r="AO50" s="1">
        <v>40</v>
      </c>
      <c r="AP50" s="1"/>
      <c r="AQ50" s="1"/>
      <c r="AR50" s="1"/>
      <c r="AS50" s="1"/>
      <c r="AT50" s="3"/>
      <c r="AU50" s="3"/>
      <c r="AV50" s="3">
        <v>46.674163953488367</v>
      </c>
      <c r="AW50" s="1">
        <f>(1/2204.62*2240)*56.1072</f>
        <v>57.007614917763604</v>
      </c>
      <c r="AY50" s="1">
        <v>50.026490066225115</v>
      </c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>
        <f>(1/112*2240)*0.467473382559106</f>
        <v>9.3494676511821204</v>
      </c>
      <c r="CP50" s="1"/>
      <c r="CQ50" s="1"/>
      <c r="CR50" s="1"/>
      <c r="CS50" s="1"/>
      <c r="CT50" s="1"/>
      <c r="CU50" s="1"/>
      <c r="CV50" s="1"/>
      <c r="DA50" s="1">
        <v>44.889346113824601</v>
      </c>
      <c r="DB50" s="1"/>
    </row>
    <row r="51" spans="1:106" x14ac:dyDescent="0.25">
      <c r="A51" s="8">
        <f t="shared" si="4"/>
        <v>1884</v>
      </c>
      <c r="C51" s="1">
        <v>57</v>
      </c>
      <c r="D51" s="1"/>
      <c r="E51" s="1"/>
      <c r="F51" s="1">
        <f>2240*0.015707671957672</f>
        <v>35.185185185185283</v>
      </c>
      <c r="G51" s="1"/>
      <c r="H51" s="1"/>
      <c r="I51" s="1"/>
      <c r="J51" s="1"/>
      <c r="K51" s="3">
        <f>20*0.381818181818182</f>
        <v>7.6363636363636402</v>
      </c>
      <c r="L51" s="3"/>
      <c r="M51" s="3"/>
      <c r="N51" s="3"/>
      <c r="O51" s="3"/>
      <c r="P51" s="3"/>
      <c r="Q51" s="1"/>
      <c r="R51" s="1"/>
      <c r="S51" s="1"/>
      <c r="T51" s="1"/>
      <c r="U51" s="1"/>
      <c r="V51" s="1"/>
      <c r="W51" s="1"/>
      <c r="X51" s="3"/>
      <c r="Y51" s="3"/>
      <c r="Z51" s="1"/>
      <c r="AA51" s="1"/>
      <c r="AB51" s="1"/>
      <c r="AC51" s="1"/>
      <c r="AD51" s="1"/>
      <c r="AE51" s="1"/>
      <c r="AF51" s="1"/>
      <c r="AG51" s="1"/>
      <c r="AH51" s="1"/>
      <c r="AI51" s="3"/>
      <c r="AJ51" s="1"/>
      <c r="AK51" s="3"/>
      <c r="AL51" s="1"/>
      <c r="AN51" s="1"/>
      <c r="AO51" s="1">
        <v>40</v>
      </c>
      <c r="AP51" s="1"/>
      <c r="AQ51" s="3"/>
      <c r="AR51" s="3"/>
      <c r="AS51" s="3">
        <v>40</v>
      </c>
      <c r="AT51" s="3"/>
      <c r="AU51" s="3"/>
      <c r="AV51" s="3">
        <v>47.296060568316044</v>
      </c>
      <c r="AW51" s="1">
        <f>(1/2204.62*2240)*53.6222</f>
        <v>54.482735346681054</v>
      </c>
      <c r="AY51" s="1"/>
      <c r="AZ51" s="3"/>
      <c r="BA51" s="3"/>
      <c r="BB51" s="3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3"/>
      <c r="BN51" s="3"/>
      <c r="BO51" s="1"/>
      <c r="BP51" s="3"/>
      <c r="BQ51" s="1"/>
      <c r="BR51" s="3"/>
      <c r="BU51" s="1"/>
      <c r="BV51" s="1"/>
      <c r="BW51" s="1"/>
      <c r="BX51" s="1"/>
      <c r="BY51" s="1"/>
      <c r="BZ51" s="3"/>
      <c r="CA51" s="1"/>
      <c r="CB51" s="3"/>
      <c r="CC51" s="1"/>
      <c r="CD51" s="3"/>
      <c r="CE51" s="3"/>
      <c r="CF51" s="1"/>
      <c r="CG51" s="3"/>
      <c r="CH51" s="3"/>
      <c r="CI51" s="1"/>
      <c r="CJ51" s="3"/>
      <c r="CK51" s="1"/>
      <c r="CL51" s="1"/>
      <c r="CM51" s="1"/>
      <c r="CN51" s="1"/>
      <c r="CO51" s="3">
        <f>(1/112*2240)*1.60066372642739</f>
        <v>32.013274528547797</v>
      </c>
      <c r="CP51" s="3"/>
      <c r="CQ51" s="3"/>
      <c r="CR51" s="1"/>
      <c r="CS51" s="3"/>
      <c r="CT51" s="1"/>
      <c r="CU51" s="3"/>
      <c r="CV51" s="3"/>
      <c r="DA51" s="1">
        <v>45.534567705318757</v>
      </c>
      <c r="DB51" s="1">
        <v>43.960737320112329</v>
      </c>
    </row>
    <row r="52" spans="1:106" x14ac:dyDescent="0.25">
      <c r="A52" s="8">
        <f t="shared" si="4"/>
        <v>1885</v>
      </c>
      <c r="C52" s="1">
        <v>57.199999999999996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>
        <v>20.298024459078082</v>
      </c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>
        <v>41.428571428571431</v>
      </c>
      <c r="AP52" s="1"/>
      <c r="AQ52" s="1"/>
      <c r="AR52" s="1"/>
      <c r="AS52" s="1">
        <v>40</v>
      </c>
      <c r="AT52" s="3">
        <v>43.699211033443966</v>
      </c>
      <c r="AU52" s="3"/>
      <c r="AV52" s="3">
        <v>46.01674651360544</v>
      </c>
      <c r="AW52" s="1">
        <f>(1/2204.62*2240)*51.1364</f>
        <v>51.957042937104809</v>
      </c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3">
        <f>(1/112*2240)*0.297036748615577</f>
        <v>5.9407349723115397</v>
      </c>
      <c r="CP52" s="1"/>
      <c r="CQ52" s="1"/>
      <c r="CR52" s="1"/>
      <c r="CS52" s="1"/>
      <c r="CT52" s="1"/>
      <c r="CU52" s="1"/>
      <c r="CV52" s="1"/>
      <c r="DA52" s="1">
        <v>46.883211521405293</v>
      </c>
      <c r="DB52" s="1">
        <v>44.295691287878789</v>
      </c>
    </row>
    <row r="53" spans="1:106" x14ac:dyDescent="0.25">
      <c r="A53" s="8">
        <f t="shared" si="4"/>
        <v>1886</v>
      </c>
      <c r="C53" s="1">
        <v>49.800000000000004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>
        <v>19.669976981256166</v>
      </c>
      <c r="P53" s="1"/>
      <c r="Q53" s="1"/>
      <c r="R53" s="3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M53" s="1"/>
      <c r="AN53" s="1"/>
      <c r="AO53" s="1">
        <v>40</v>
      </c>
      <c r="AP53" s="1"/>
      <c r="AQ53" s="1"/>
      <c r="AR53" s="1"/>
      <c r="AS53" s="1">
        <v>40</v>
      </c>
      <c r="AT53" s="3">
        <v>44.411494739815019</v>
      </c>
      <c r="AU53" s="3"/>
      <c r="AV53" s="3">
        <v>42.645048018677436</v>
      </c>
      <c r="AW53" s="1">
        <f>(1/2204.62*2240)*46.1648</f>
        <v>46.905658117952299</v>
      </c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>
        <f>(1/112*2240)*0.731973964088112</f>
        <v>14.63947928176224</v>
      </c>
      <c r="CP53" s="1"/>
      <c r="CQ53" s="1"/>
      <c r="CR53" s="1"/>
      <c r="CS53" s="1"/>
      <c r="CT53" s="1"/>
      <c r="CU53" s="1"/>
      <c r="CV53" s="1"/>
      <c r="DA53" s="1">
        <v>41.920012454000762</v>
      </c>
      <c r="DB53" s="1">
        <v>37.586872586872595</v>
      </c>
    </row>
    <row r="54" spans="1:106" x14ac:dyDescent="0.25">
      <c r="A54" s="8">
        <f t="shared" si="4"/>
        <v>1887</v>
      </c>
      <c r="C54" s="1">
        <v>50.199999999999996</v>
      </c>
      <c r="D54" s="1"/>
      <c r="E54" s="1"/>
      <c r="F54" s="1">
        <f>2240*0.0223214285714286</f>
        <v>50.000000000000064</v>
      </c>
      <c r="G54" s="1"/>
      <c r="H54" s="1"/>
      <c r="I54" s="1"/>
      <c r="J54" s="1"/>
      <c r="K54" s="1"/>
      <c r="L54" s="1"/>
      <c r="M54" s="1"/>
      <c r="N54" s="1"/>
      <c r="O54" s="1">
        <v>20.659015324421258</v>
      </c>
      <c r="P54" s="1"/>
      <c r="Q54" s="1"/>
      <c r="R54" s="3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>
        <v>39.677419354838712</v>
      </c>
      <c r="AP54" s="1"/>
      <c r="AQ54" s="1"/>
      <c r="AR54" s="1"/>
      <c r="AS54" s="1">
        <v>40</v>
      </c>
      <c r="AT54" s="3">
        <v>44.857046164483954</v>
      </c>
      <c r="AU54" s="3"/>
      <c r="AV54" s="14"/>
      <c r="AW54" s="1">
        <f>(1/2204.62*2240)*50.4261</f>
        <v>51.235343959503219</v>
      </c>
      <c r="AY54" s="1">
        <v>41.999999999999964</v>
      </c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>
        <f>(1/112*2240)*0.807389463418402</f>
        <v>16.14778926836804</v>
      </c>
      <c r="CP54" s="1"/>
      <c r="CQ54" s="1"/>
      <c r="CR54" s="1"/>
      <c r="CS54" s="1"/>
      <c r="CT54" s="1">
        <f>(1/112*2240)*2.07960199004975</f>
        <v>41.592039800994996</v>
      </c>
      <c r="CV54" s="1"/>
      <c r="CW54" s="1"/>
      <c r="CX54" s="1">
        <f>(1/112*2240)*1.27823754005063</f>
        <v>25.5647508010126</v>
      </c>
      <c r="DA54" s="1">
        <v>40.837894338652362</v>
      </c>
      <c r="DB54" s="1">
        <v>40.141369047619051</v>
      </c>
    </row>
    <row r="55" spans="1:106" x14ac:dyDescent="0.25">
      <c r="A55" s="8">
        <f t="shared" si="4"/>
        <v>1888</v>
      </c>
      <c r="C55" s="1">
        <v>51.8</v>
      </c>
      <c r="D55" s="1"/>
      <c r="E55" s="1"/>
      <c r="F55" s="1">
        <f>2240*0.0106026785714286</f>
        <v>23.750000000000064</v>
      </c>
      <c r="G55" s="1"/>
      <c r="H55" s="1"/>
      <c r="I55" s="3"/>
      <c r="J55" s="1"/>
      <c r="K55" s="1"/>
      <c r="L55" s="1"/>
      <c r="M55" s="1"/>
      <c r="N55" s="1"/>
      <c r="O55" s="1">
        <v>21.290193164933136</v>
      </c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N55" s="1"/>
      <c r="AO55" s="1">
        <v>40</v>
      </c>
      <c r="AP55" s="1"/>
      <c r="AQ55" s="1"/>
      <c r="AR55" s="1"/>
      <c r="AS55" s="1">
        <v>39.928057553956833</v>
      </c>
      <c r="AT55" s="3">
        <v>41.989004129543581</v>
      </c>
      <c r="AU55" s="3"/>
      <c r="AV55" s="3">
        <v>41.471428571428568</v>
      </c>
      <c r="AW55" s="1">
        <f>(1/2204.62*2240)*48.2955</f>
        <v>49.070551841133614</v>
      </c>
      <c r="AY55" s="1">
        <v>42.210256410256378</v>
      </c>
      <c r="AZ55" s="1"/>
      <c r="BA55" s="1"/>
      <c r="BB55" s="1"/>
      <c r="BC55" s="1"/>
      <c r="BD55" s="1"/>
      <c r="BE55" s="1"/>
      <c r="BF55" s="1"/>
      <c r="BG55" s="1"/>
      <c r="BH55" s="1"/>
      <c r="BI55" s="3"/>
      <c r="BJ55" s="1"/>
      <c r="BK55" s="1"/>
      <c r="BL55" s="1"/>
      <c r="BM55" s="1"/>
      <c r="BN55" s="1"/>
      <c r="BO55" s="1"/>
      <c r="BP55" s="1"/>
      <c r="BQ55" s="1"/>
      <c r="BR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>
        <v>33.079166666666666</v>
      </c>
      <c r="CL55" s="1"/>
      <c r="CM55" s="1"/>
      <c r="CN55" s="1"/>
      <c r="CO55" s="1">
        <f>(1/112*2240)*1.01671788548999</f>
        <v>20.334357709799804</v>
      </c>
      <c r="CP55" s="1"/>
      <c r="CQ55" s="1"/>
      <c r="CR55" s="1"/>
      <c r="CS55" s="1"/>
      <c r="CT55" s="1">
        <f>(1/112*2240)*1.49230769230769</f>
        <v>29.846153846153797</v>
      </c>
      <c r="CV55" s="1"/>
      <c r="CW55" s="1"/>
      <c r="CX55" s="1">
        <f>(1/112*2240)*1.13559322519771</f>
        <v>22.711864503954203</v>
      </c>
      <c r="DA55" s="1">
        <v>43.212732775731311</v>
      </c>
      <c r="DB55" s="1">
        <v>39.785118925743937</v>
      </c>
    </row>
    <row r="56" spans="1:106" x14ac:dyDescent="0.25">
      <c r="A56" s="8">
        <f t="shared" si="4"/>
        <v>1889</v>
      </c>
      <c r="C56" s="1">
        <v>52.8</v>
      </c>
      <c r="D56" s="1"/>
      <c r="E56" s="1"/>
      <c r="F56" s="1">
        <f>2240*0.015625</f>
        <v>35</v>
      </c>
      <c r="G56" s="1"/>
      <c r="H56" s="1"/>
      <c r="I56" s="3"/>
      <c r="J56" s="1"/>
      <c r="K56" s="1"/>
      <c r="L56" s="1"/>
      <c r="M56" s="1"/>
      <c r="N56" s="1"/>
      <c r="O56" s="1">
        <v>22.396506550218341</v>
      </c>
      <c r="P56" s="1"/>
      <c r="Q56" s="1"/>
      <c r="R56" s="3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>
        <v>36.721311475409834</v>
      </c>
      <c r="AP56" s="1"/>
      <c r="AQ56" s="1"/>
      <c r="AR56" s="1"/>
      <c r="AS56" s="1"/>
      <c r="AT56" s="3">
        <v>47.663245460322351</v>
      </c>
      <c r="AU56" s="3"/>
      <c r="AV56" s="3">
        <v>48.72883308554588</v>
      </c>
      <c r="AW56" s="1">
        <f>(1/2204.62*2240)*46.1648</f>
        <v>46.905658117952299</v>
      </c>
      <c r="AY56" s="1">
        <v>41.485049833887004</v>
      </c>
      <c r="AZ56" s="1"/>
      <c r="BA56" s="1"/>
      <c r="BB56" s="1"/>
      <c r="BC56" s="1"/>
      <c r="BD56" s="1"/>
      <c r="BE56" s="1"/>
      <c r="BF56" s="1"/>
      <c r="BG56" s="1"/>
      <c r="BH56" s="1"/>
      <c r="BI56" s="1">
        <f>2240*0.0437500520297756</f>
        <v>98.000116546697356</v>
      </c>
      <c r="BK56" s="1"/>
      <c r="BL56" s="1"/>
      <c r="BM56" s="1"/>
      <c r="BN56" s="1"/>
      <c r="BO56" s="1"/>
      <c r="BP56" s="1"/>
      <c r="BQ56" s="1"/>
      <c r="BR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>
        <v>35.940067665538905</v>
      </c>
      <c r="CL56" s="1"/>
      <c r="CM56" s="1"/>
      <c r="CN56" s="1"/>
      <c r="CO56" s="1">
        <f>(1/112*2240)*1.00788946923392</f>
        <v>20.157789384678399</v>
      </c>
      <c r="CP56" s="1"/>
      <c r="CQ56" s="1"/>
      <c r="CR56" s="1"/>
      <c r="CS56" s="1"/>
      <c r="CT56" s="1">
        <f>(1/112*2240)*1.36777777777778</f>
        <v>27.3555555555556</v>
      </c>
      <c r="CV56" s="1"/>
      <c r="CW56" s="1"/>
      <c r="CX56" s="1">
        <f>(1/112*2240)*1.20444975678829</f>
        <v>24.088995135765799</v>
      </c>
      <c r="DA56" s="1">
        <v>43.155922860875648</v>
      </c>
      <c r="DB56" s="1">
        <v>45.788309402939042</v>
      </c>
    </row>
    <row r="57" spans="1:106" x14ac:dyDescent="0.25">
      <c r="A57" s="8">
        <f t="shared" si="4"/>
        <v>1890</v>
      </c>
      <c r="C57" s="1">
        <v>53.399999999999991</v>
      </c>
      <c r="D57" s="1"/>
      <c r="E57" s="1"/>
      <c r="F57" s="1"/>
      <c r="G57" s="1"/>
      <c r="H57" s="1"/>
      <c r="I57" s="3"/>
      <c r="J57" s="1"/>
      <c r="K57" s="1"/>
      <c r="L57" s="1"/>
      <c r="M57" s="1"/>
      <c r="N57" s="1"/>
      <c r="O57" s="1">
        <v>20.878846153846155</v>
      </c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N57" s="1"/>
      <c r="AO57" s="1">
        <v>40</v>
      </c>
      <c r="AP57" s="1"/>
      <c r="AQ57" s="1"/>
      <c r="AR57" s="1"/>
      <c r="AS57" s="1"/>
      <c r="AT57" s="3">
        <v>43.781171169436369</v>
      </c>
      <c r="AU57" s="3"/>
      <c r="AV57" s="3">
        <v>50.802345846402197</v>
      </c>
      <c r="AW57" s="1">
        <f>(1/2204.62*2240)*45.8807</f>
        <v>46.616998847874008</v>
      </c>
      <c r="AY57" s="1">
        <v>40.01515151515148</v>
      </c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T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M57" s="1"/>
      <c r="CN57" s="1"/>
      <c r="CO57" s="1">
        <f>(1/112*2240)*1.13232137684308</f>
        <v>22.646427536861601</v>
      </c>
      <c r="CP57" s="1"/>
      <c r="CQ57" s="1"/>
      <c r="CR57" s="1">
        <f>(1/112*2240)*1.53333333333333</f>
        <v>30.6666666666666</v>
      </c>
      <c r="CS57" s="1"/>
      <c r="CT57" s="1">
        <f>(1/112*2240)*1.39925373134328</f>
        <v>27.9850746268656</v>
      </c>
      <c r="CV57" s="1"/>
      <c r="CW57" s="1"/>
      <c r="CX57" s="1">
        <f>(1/112*2240)*1.03339581245371</f>
        <v>20.667916249074199</v>
      </c>
      <c r="DA57" s="1">
        <v>49.185332178642042</v>
      </c>
      <c r="DB57" s="1">
        <v>45.672900579150586</v>
      </c>
    </row>
    <row r="58" spans="1:106" x14ac:dyDescent="0.25">
      <c r="A58" s="8">
        <f t="shared" si="4"/>
        <v>1891</v>
      </c>
      <c r="C58" s="1">
        <v>51.8</v>
      </c>
      <c r="D58" s="1"/>
      <c r="E58" s="1"/>
      <c r="F58" s="1"/>
      <c r="G58" s="1"/>
      <c r="H58" s="1"/>
      <c r="I58" s="3"/>
      <c r="J58" s="1"/>
      <c r="K58" s="1"/>
      <c r="L58" s="1"/>
      <c r="M58" s="1"/>
      <c r="N58" s="1"/>
      <c r="O58" s="1">
        <v>17.71231527093596</v>
      </c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>
        <v>40</v>
      </c>
      <c r="AP58" s="1"/>
      <c r="AQ58" s="1"/>
      <c r="AR58" s="1"/>
      <c r="AS58" s="1"/>
      <c r="AT58" s="3">
        <v>39.392101347455736</v>
      </c>
      <c r="AU58" s="3"/>
      <c r="AV58" s="3">
        <v>81.986016351118764</v>
      </c>
      <c r="AW58" s="1">
        <f>(1/2204.62*2240)*47.9403</f>
        <v>48.709651549926967</v>
      </c>
      <c r="AY58" s="1">
        <v>31.999999999999972</v>
      </c>
      <c r="AZ58" s="1"/>
      <c r="BA58" s="1"/>
      <c r="BB58" s="1"/>
      <c r="BC58" s="1"/>
      <c r="BD58" s="1"/>
      <c r="BE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>
        <f>2240*0.0156862745098039</f>
        <v>35.137254901960738</v>
      </c>
      <c r="BV58" s="3"/>
      <c r="BW58" s="3"/>
      <c r="BX58" s="3"/>
      <c r="BY58" s="1"/>
      <c r="BZ58" s="1"/>
      <c r="CA58" s="1"/>
      <c r="CB58" s="1"/>
      <c r="CC58" s="1">
        <f>2240*0.00958620689655172</f>
        <v>21.473103448275854</v>
      </c>
      <c r="CD58" s="1"/>
      <c r="CE58" s="1"/>
      <c r="CF58" s="1"/>
      <c r="CG58" s="1"/>
      <c r="CH58" s="1"/>
      <c r="CI58" s="1"/>
      <c r="CK58" s="1">
        <v>34.152923538230887</v>
      </c>
      <c r="CL58" s="1"/>
      <c r="CM58" s="1"/>
      <c r="CN58" s="1"/>
      <c r="CO58" s="1">
        <f>(1/112*2240)*1.01770594951865</f>
        <v>20.354118990372999</v>
      </c>
      <c r="CP58" s="1"/>
      <c r="CQ58" s="1"/>
      <c r="CR58" s="1"/>
      <c r="CS58" s="1"/>
      <c r="CT58" s="1">
        <f>(1/112*2240)*1.07230559345157</f>
        <v>21.446111869031398</v>
      </c>
      <c r="CV58" s="1"/>
      <c r="CW58" s="1"/>
      <c r="CX58" s="1">
        <f>(1/112*2240)*1.3022113022113</f>
        <v>26.044226044226001</v>
      </c>
      <c r="DA58" s="1">
        <v>43.26866260756475</v>
      </c>
      <c r="DB58" s="1">
        <v>38.80188853626354</v>
      </c>
    </row>
    <row r="59" spans="1:106" x14ac:dyDescent="0.25">
      <c r="A59" s="8">
        <f t="shared" si="4"/>
        <v>1892</v>
      </c>
      <c r="C59" s="1">
        <v>47.800000000000004</v>
      </c>
      <c r="D59" s="1"/>
      <c r="E59" s="1"/>
      <c r="F59" s="1"/>
      <c r="G59" s="1"/>
      <c r="H59" s="1"/>
      <c r="I59" s="3"/>
      <c r="J59" s="1"/>
      <c r="K59" s="1"/>
      <c r="L59" s="1"/>
      <c r="M59" s="1"/>
      <c r="N59" s="1"/>
      <c r="O59" s="1">
        <v>14.599646017699115</v>
      </c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>
        <v>40.128205128205124</v>
      </c>
      <c r="AP59" s="1"/>
      <c r="AQ59" s="1"/>
      <c r="AR59" s="1"/>
      <c r="AS59" s="1"/>
      <c r="AT59" s="3">
        <v>35.104122236334526</v>
      </c>
      <c r="AU59" s="3"/>
      <c r="AV59" s="3">
        <v>47.692192383545567</v>
      </c>
      <c r="AW59" s="1">
        <f>(1/2204.62*2240)*40.554</f>
        <v>41.204815342326569</v>
      </c>
      <c r="AY59" s="1">
        <v>28.666666666666639</v>
      </c>
      <c r="AZ59" s="1"/>
      <c r="BA59" s="1"/>
      <c r="BB59" s="1"/>
      <c r="BC59" s="3"/>
      <c r="BD59" s="3"/>
      <c r="BE59" s="3">
        <f>2240*0.00769230769230769</f>
        <v>17.230769230769226</v>
      </c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>
        <f>2240*0.0204248366013072</f>
        <v>45.751633986928127</v>
      </c>
      <c r="BV59" s="3"/>
      <c r="BW59" s="3"/>
      <c r="BX59" s="3"/>
      <c r="BY59" s="1"/>
      <c r="BZ59" s="1"/>
      <c r="CA59" s="1"/>
      <c r="CB59" s="3"/>
      <c r="CC59" s="1">
        <f>2240*0.009064039408867</f>
        <v>20.303448275862081</v>
      </c>
      <c r="CD59" s="1"/>
      <c r="CE59" s="1"/>
      <c r="CF59" s="1"/>
      <c r="CG59" s="1"/>
      <c r="CH59" s="1"/>
      <c r="CI59" s="1"/>
      <c r="CK59" s="1">
        <v>29.277108433734938</v>
      </c>
      <c r="CL59" s="1"/>
      <c r="CM59" s="1"/>
      <c r="CN59" s="1"/>
      <c r="CO59" s="1">
        <f>(1/112*2240)*0.987499420642507</f>
        <v>19.74998841285014</v>
      </c>
      <c r="CP59" s="1"/>
      <c r="CQ59" s="1"/>
      <c r="CR59" s="1"/>
      <c r="CS59" s="1"/>
      <c r="CT59" s="1">
        <f>(1/112*2240)*1.10677966101695</f>
        <v>22.135593220339</v>
      </c>
      <c r="CV59" s="1"/>
      <c r="CW59" s="1"/>
      <c r="CX59" s="1">
        <f>(1/112*2240)*0.476189271255061</f>
        <v>9.5237854251012202</v>
      </c>
      <c r="DA59" s="1">
        <v>33.586925534239327</v>
      </c>
      <c r="DB59" s="1">
        <v>34.49369317655318</v>
      </c>
    </row>
    <row r="60" spans="1:106" x14ac:dyDescent="0.25">
      <c r="A60" s="8">
        <f t="shared" si="4"/>
        <v>1893</v>
      </c>
      <c r="C60" s="1">
        <v>48.533333333333331</v>
      </c>
      <c r="D60" s="1"/>
      <c r="E60" s="1"/>
      <c r="F60" s="1"/>
      <c r="G60" s="1"/>
      <c r="H60" s="1"/>
      <c r="I60" s="3"/>
      <c r="J60" s="1"/>
      <c r="K60" s="1"/>
      <c r="L60" s="1"/>
      <c r="M60" s="1"/>
      <c r="N60" s="1"/>
      <c r="O60" s="1">
        <v>15.98625</v>
      </c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>
        <v>40</v>
      </c>
      <c r="AP60" s="1"/>
      <c r="AQ60" s="1"/>
      <c r="AR60" s="1"/>
      <c r="AS60" s="1"/>
      <c r="AT60" s="3">
        <v>37.694750811994204</v>
      </c>
      <c r="AU60" s="3">
        <v>36.586081670464957</v>
      </c>
      <c r="AV60" s="14"/>
      <c r="AW60" s="1">
        <f>(1/2204.62*2240)*37.5</f>
        <v>38.101804392593735</v>
      </c>
      <c r="AY60" s="1">
        <v>30.571428571428548</v>
      </c>
      <c r="AZ60" s="1"/>
      <c r="BA60" s="1"/>
      <c r="BB60" s="1"/>
      <c r="BC60" s="3"/>
      <c r="BD60" s="3"/>
      <c r="BE60" s="3">
        <f>2240*0.00736497545008183</f>
        <v>16.497545008183298</v>
      </c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>
        <f>2240*0.0228758169934641</f>
        <v>51.241830065359579</v>
      </c>
      <c r="BV60" s="3"/>
      <c r="BW60" s="3"/>
      <c r="BX60" s="3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K60" s="1">
        <v>28.858299595141702</v>
      </c>
      <c r="CL60" s="1"/>
      <c r="CM60" s="1"/>
      <c r="CN60" s="1"/>
      <c r="CO60" s="1">
        <f>(1/112*2240)*1.0318981419303</f>
        <v>20.637962838606001</v>
      </c>
      <c r="CP60" s="1"/>
      <c r="CQ60" s="1"/>
      <c r="CR60" s="1"/>
      <c r="CS60" s="1"/>
      <c r="CT60" s="1">
        <f>(1/112*2240)*1.93428571428571</f>
        <v>38.685714285714198</v>
      </c>
      <c r="CV60" s="1"/>
      <c r="CW60" s="1"/>
      <c r="CX60" s="1"/>
      <c r="DA60" s="1">
        <v>38.029469549926489</v>
      </c>
      <c r="DB60" s="1">
        <v>37.750710099740132</v>
      </c>
    </row>
    <row r="61" spans="1:106" x14ac:dyDescent="0.25">
      <c r="A61" s="8">
        <f t="shared" si="4"/>
        <v>1894</v>
      </c>
      <c r="C61" s="1">
        <v>41.25333333333333</v>
      </c>
      <c r="D61" s="1"/>
      <c r="E61" s="1"/>
      <c r="F61" s="1"/>
      <c r="G61" s="1"/>
      <c r="H61" s="1"/>
      <c r="I61" s="3"/>
      <c r="J61" s="1"/>
      <c r="K61" s="1"/>
      <c r="L61" s="1"/>
      <c r="M61" s="1"/>
      <c r="N61" s="1"/>
      <c r="O61" s="1">
        <v>12.718933925596891</v>
      </c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>
        <v>40</v>
      </c>
      <c r="AP61" s="1"/>
      <c r="AQ61" s="1"/>
      <c r="AR61" s="1"/>
      <c r="AS61" s="3"/>
      <c r="AT61" s="3">
        <v>32.488408764621433</v>
      </c>
      <c r="AU61" s="3">
        <v>32.949704629433505</v>
      </c>
      <c r="AV61" s="3">
        <v>28.511291473110983</v>
      </c>
      <c r="AW61" s="1">
        <f>(1/2204.62*2240)*35.5114</f>
        <v>36.081291106857421</v>
      </c>
      <c r="AY61" s="1">
        <v>32.307692307692278</v>
      </c>
      <c r="AZ61" s="1"/>
      <c r="BA61" s="1"/>
      <c r="BB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>
        <f>2240*0.00923076923076923</f>
        <v>20.676923076923075</v>
      </c>
      <c r="BO61" s="1"/>
      <c r="BP61" s="1"/>
      <c r="BQ61" s="1"/>
      <c r="BR61" s="1"/>
      <c r="BS61" s="1"/>
      <c r="BT61" s="1">
        <f>2240*0.00852762405878617</f>
        <v>19.101877891681021</v>
      </c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K61" s="1">
        <v>25.28</v>
      </c>
      <c r="CL61" s="1"/>
      <c r="CM61" s="1"/>
      <c r="CN61" s="1"/>
      <c r="CO61" s="1">
        <f>(1/112*2240)*0.718887156851385</f>
        <v>14.3777431370277</v>
      </c>
      <c r="CP61" s="1"/>
      <c r="CQ61" s="1"/>
      <c r="CR61" s="1"/>
      <c r="CS61" s="1"/>
      <c r="CT61" s="1">
        <f>(1/112*2240)*1.02266666666667</f>
        <v>20.453333333333397</v>
      </c>
      <c r="CV61" s="1"/>
      <c r="CW61" s="1"/>
      <c r="CX61" s="1">
        <f>(1/112*2240)*0.518555555555556</f>
        <v>10.371111111111119</v>
      </c>
      <c r="DA61" s="1">
        <v>29.271050703460567</v>
      </c>
      <c r="DB61" s="1">
        <v>29.70512333745312</v>
      </c>
    </row>
    <row r="62" spans="1:106" x14ac:dyDescent="0.25">
      <c r="A62" s="8">
        <f t="shared" si="4"/>
        <v>1895</v>
      </c>
      <c r="C62" s="1">
        <v>38.826666666666668</v>
      </c>
      <c r="D62" s="1"/>
      <c r="E62" s="1"/>
      <c r="F62" s="1"/>
      <c r="G62" s="1"/>
      <c r="H62" s="1"/>
      <c r="I62" s="3"/>
      <c r="J62" s="1"/>
      <c r="K62" s="1"/>
      <c r="L62" s="1"/>
      <c r="M62" s="1"/>
      <c r="N62" s="1"/>
      <c r="O62" s="1">
        <v>15.100531914893617</v>
      </c>
      <c r="P62" s="1"/>
      <c r="Q62" s="1"/>
      <c r="R62" s="3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>
        <v>40</v>
      </c>
      <c r="AP62" s="1"/>
      <c r="AQ62" s="1"/>
      <c r="AR62" s="1"/>
      <c r="AS62" s="3"/>
      <c r="AT62" s="3">
        <v>27.519363415014876</v>
      </c>
      <c r="AU62" s="3">
        <v>26.640366549179017</v>
      </c>
      <c r="AV62" s="14"/>
      <c r="AW62" s="1">
        <f>(1/2204.62*2240)*27.983</f>
        <v>28.432074461812011</v>
      </c>
      <c r="AY62" s="1">
        <v>32.137614678899055</v>
      </c>
      <c r="AZ62" s="1"/>
      <c r="BA62" s="1"/>
      <c r="BB62" s="1"/>
      <c r="BC62" s="3"/>
      <c r="BD62" s="3"/>
      <c r="BE62" s="3"/>
      <c r="BF62" s="3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>
        <f>2240*0.00832411836675649</f>
        <v>18.646025141534537</v>
      </c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K62" s="1">
        <v>31.043137254901964</v>
      </c>
      <c r="CL62" s="1"/>
      <c r="CM62" s="1"/>
      <c r="CN62" s="1"/>
      <c r="CO62" s="1"/>
      <c r="CP62" s="1"/>
      <c r="CQ62" s="1"/>
      <c r="CR62" s="1"/>
      <c r="CS62" s="1"/>
      <c r="CT62" s="1">
        <f>(1/112*2240)*1.10125</f>
        <v>22.025000000000002</v>
      </c>
      <c r="CV62" s="1"/>
      <c r="CW62" s="1"/>
      <c r="CX62" s="1">
        <f>(1/112*2240)*0.617272727272727</f>
        <v>12.34545454545454</v>
      </c>
      <c r="CZ62" s="1">
        <v>26.441727695381072</v>
      </c>
      <c r="DA62" s="1">
        <v>27.517253428424659</v>
      </c>
      <c r="DB62" s="1">
        <v>29.8348502310734</v>
      </c>
    </row>
    <row r="63" spans="1:106" x14ac:dyDescent="0.25">
      <c r="A63" s="8">
        <f t="shared" si="4"/>
        <v>1896</v>
      </c>
      <c r="C63" s="1">
        <v>46.293333333333329</v>
      </c>
      <c r="D63" s="1"/>
      <c r="E63" s="1"/>
      <c r="F63" s="1"/>
      <c r="G63" s="1"/>
      <c r="H63" s="1"/>
      <c r="I63" s="3"/>
      <c r="J63" s="1"/>
      <c r="K63" s="1"/>
      <c r="L63" s="1"/>
      <c r="M63" s="1"/>
      <c r="N63" s="1"/>
      <c r="O63" s="1">
        <v>16.217050067658999</v>
      </c>
      <c r="P63" s="1"/>
      <c r="Q63" s="1"/>
      <c r="R63" s="3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>
        <v>40.149253731343286</v>
      </c>
      <c r="AP63" s="1"/>
      <c r="AQ63" s="1"/>
      <c r="AR63" s="1"/>
      <c r="AS63" s="3"/>
      <c r="AT63" s="3">
        <v>31.510440370145325</v>
      </c>
      <c r="AU63" s="3">
        <v>32.719644628141879</v>
      </c>
      <c r="AV63" s="14"/>
      <c r="AW63" s="1">
        <f>(1/2204.62*2240)*32.6705</f>
        <v>33.194800010886226</v>
      </c>
      <c r="AY63" s="1">
        <v>32.222836095764237</v>
      </c>
      <c r="AZ63" s="1"/>
      <c r="BA63" s="1"/>
      <c r="BC63" s="3"/>
      <c r="BD63" s="3"/>
      <c r="BE63" s="3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K63" s="1">
        <v>25.342756183745582</v>
      </c>
      <c r="CL63" s="1"/>
      <c r="CM63" s="1"/>
      <c r="CN63" s="1"/>
      <c r="CO63" s="1"/>
      <c r="CP63" s="1"/>
      <c r="CQ63" s="1"/>
      <c r="CR63" s="1"/>
      <c r="CS63" s="1"/>
      <c r="CT63" s="1">
        <f>(1/112*2240)*0.8825</f>
        <v>17.649999999999999</v>
      </c>
      <c r="CV63" s="1"/>
      <c r="CW63" s="1"/>
      <c r="CX63" s="1">
        <f>(1/112*2240)*0.522866666666667</f>
        <v>10.457333333333342</v>
      </c>
      <c r="CZ63" s="1">
        <v>22.227095956327233</v>
      </c>
      <c r="DA63" s="1">
        <v>33.243164452342747</v>
      </c>
      <c r="DB63" s="1">
        <v>33.307096818580185</v>
      </c>
    </row>
    <row r="64" spans="1:106" x14ac:dyDescent="0.25">
      <c r="A64" s="8">
        <f t="shared" si="4"/>
        <v>1897</v>
      </c>
      <c r="C64" s="1">
        <v>41.81333333333334</v>
      </c>
      <c r="D64" s="1"/>
      <c r="E64" s="1"/>
      <c r="F64" s="1"/>
      <c r="G64" s="1"/>
      <c r="H64" s="1"/>
      <c r="I64" s="3"/>
      <c r="J64" s="1"/>
      <c r="K64" s="1"/>
      <c r="L64" s="1"/>
      <c r="M64" s="1"/>
      <c r="N64" s="1"/>
      <c r="O64" s="1">
        <v>13.093426573426575</v>
      </c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K64" s="1"/>
      <c r="AL64" s="1"/>
      <c r="AM64" s="1"/>
      <c r="AN64" s="1"/>
      <c r="AO64" s="1">
        <v>40</v>
      </c>
      <c r="AP64" s="1"/>
      <c r="AQ64" s="1"/>
      <c r="AR64" s="1"/>
      <c r="AS64" s="3"/>
      <c r="AT64" s="3">
        <v>30.003834008404805</v>
      </c>
      <c r="AU64" s="3">
        <v>34.888179079540471</v>
      </c>
      <c r="AV64" s="14"/>
      <c r="AW64" s="1">
        <f>(1/2204.62*2240)*35.5114</f>
        <v>36.081291106857421</v>
      </c>
      <c r="AY64" s="1">
        <v>31.983240223463657</v>
      </c>
      <c r="AZ64" s="1"/>
      <c r="BA64" s="1"/>
      <c r="BD64" s="1"/>
      <c r="BE64" s="1"/>
      <c r="BI64" s="1"/>
      <c r="BJ64" s="1"/>
      <c r="BL64" s="1"/>
      <c r="BM64" s="1"/>
      <c r="BN64" s="1"/>
      <c r="BO64" s="1"/>
      <c r="BP64" s="1"/>
      <c r="BQ64" s="1"/>
      <c r="BR64" s="1"/>
      <c r="BS64" s="1"/>
      <c r="BT64" s="1"/>
      <c r="BU64" s="1">
        <f>2240*0.0190136660724896</f>
        <v>42.590612002376702</v>
      </c>
      <c r="BV64" s="3"/>
      <c r="BW64" s="3"/>
      <c r="BX64" s="3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K64" s="1">
        <v>28.858638743455497</v>
      </c>
      <c r="CL64" s="1">
        <v>17.333333333333336</v>
      </c>
      <c r="CM64" s="1"/>
      <c r="CN64" s="1"/>
      <c r="CO64" s="1"/>
      <c r="CP64" s="1"/>
      <c r="CQ64" s="1"/>
      <c r="CR64" s="1"/>
      <c r="CS64" s="1"/>
      <c r="CT64" s="1">
        <f>(1/112*2240)*0.9825</f>
        <v>19.650000000000002</v>
      </c>
      <c r="CU64" s="1">
        <f>(1/112*2240)*1.125</f>
        <v>22.5</v>
      </c>
      <c r="CV64" s="1"/>
      <c r="CW64" s="1"/>
      <c r="CX64" s="3"/>
      <c r="CZ64" s="1">
        <v>27.554470625297881</v>
      </c>
      <c r="DA64" s="1">
        <v>32.479581515352351</v>
      </c>
      <c r="DB64" s="1">
        <v>31.924256800790662</v>
      </c>
    </row>
    <row r="65" spans="1:106" x14ac:dyDescent="0.25">
      <c r="A65" s="8">
        <f t="shared" si="4"/>
        <v>1898</v>
      </c>
      <c r="C65" s="1">
        <v>35.93333333333333</v>
      </c>
      <c r="D65" s="1"/>
      <c r="E65" s="1"/>
      <c r="F65" s="1"/>
      <c r="G65" s="1"/>
      <c r="H65" s="1"/>
      <c r="I65" s="3"/>
      <c r="J65" s="1"/>
      <c r="K65" s="1"/>
      <c r="L65" s="1"/>
      <c r="M65" s="1"/>
      <c r="N65" s="1"/>
      <c r="O65" s="1">
        <v>11.848347245409014</v>
      </c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K65" s="1"/>
      <c r="AL65" s="1"/>
      <c r="AM65" s="1"/>
      <c r="AN65" s="1"/>
      <c r="AO65" s="1">
        <v>40</v>
      </c>
      <c r="AP65" s="1"/>
      <c r="AQ65" s="1"/>
      <c r="AR65" s="1"/>
      <c r="AS65" s="3"/>
      <c r="AT65" s="3">
        <v>30.700963259466892</v>
      </c>
      <c r="AU65" s="3">
        <v>29.242320208677743</v>
      </c>
      <c r="AV65" s="3">
        <v>15.253036437246964</v>
      </c>
      <c r="AW65" s="1">
        <f>(1/2204.62*2240)*29.9006</f>
        <v>30.380448331231687</v>
      </c>
      <c r="AY65" s="1">
        <v>31.555023923444946</v>
      </c>
      <c r="AZ65" s="1"/>
      <c r="BA65" s="1"/>
      <c r="BB65" s="1"/>
      <c r="BC65" s="3"/>
      <c r="BD65" s="3"/>
      <c r="BE65" s="3"/>
      <c r="BF65" s="3"/>
      <c r="BG65" s="1"/>
      <c r="BH65" s="1"/>
      <c r="BI65" s="1"/>
      <c r="BJ65" s="1"/>
      <c r="BL65" s="1"/>
      <c r="BM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K65" s="1">
        <v>24.903225806451612</v>
      </c>
      <c r="CL65" s="1">
        <v>23.846153846153847</v>
      </c>
      <c r="CM65" s="1"/>
      <c r="CN65" s="1"/>
      <c r="CO65" s="1"/>
      <c r="CP65" s="1"/>
      <c r="CQ65" s="1"/>
      <c r="CR65" s="1"/>
      <c r="CS65" s="1"/>
      <c r="CT65" s="1">
        <f>(1/112*2240)*0.78125</f>
        <v>15.625</v>
      </c>
      <c r="CU65" s="1">
        <f>(1/112*2240)*0.939285714285714</f>
        <v>18.785714285714278</v>
      </c>
      <c r="CV65" s="1"/>
      <c r="CW65" s="1"/>
      <c r="CX65" s="1">
        <f>(1/112*2240)*0.532462556799029</f>
        <v>10.649251135980579</v>
      </c>
      <c r="CZ65" s="1">
        <v>27.267846051859745</v>
      </c>
      <c r="DA65" s="1">
        <v>29.626052566780515</v>
      </c>
      <c r="DB65" s="1">
        <v>27.10253853985056</v>
      </c>
    </row>
    <row r="66" spans="1:106" x14ac:dyDescent="0.25">
      <c r="A66" s="8">
        <f t="shared" si="4"/>
        <v>1899</v>
      </c>
      <c r="C66" s="1">
        <v>38.080000000000005</v>
      </c>
      <c r="D66" s="1"/>
      <c r="E66" s="1"/>
      <c r="F66" s="1"/>
      <c r="G66" s="1"/>
      <c r="H66" s="1"/>
      <c r="I66" s="3"/>
      <c r="J66" s="1"/>
      <c r="K66" s="1"/>
      <c r="L66" s="1"/>
      <c r="M66" s="1"/>
      <c r="N66" s="1"/>
      <c r="O66" s="1">
        <v>14.586494984279085</v>
      </c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K66" s="1"/>
      <c r="AL66" s="1"/>
      <c r="AM66" s="1"/>
      <c r="AN66" s="1"/>
      <c r="AO66" s="1">
        <v>40</v>
      </c>
      <c r="AP66" s="1"/>
      <c r="AQ66" s="1"/>
      <c r="AR66" s="1"/>
      <c r="AS66" s="3"/>
      <c r="AT66" s="3">
        <v>29.08351680636807</v>
      </c>
      <c r="AU66" s="3">
        <v>31.936206253882649</v>
      </c>
      <c r="AV66" s="3">
        <v>40.39259708737864</v>
      </c>
      <c r="AW66" s="1">
        <f>(1/2204.62*2240)*32.5994</f>
        <v>33.12255898975787</v>
      </c>
      <c r="AY66" s="1">
        <v>21.999999999999979</v>
      </c>
      <c r="AZ66" s="1"/>
      <c r="BA66" s="1"/>
      <c r="BC66" s="1"/>
      <c r="BD66" s="1"/>
      <c r="BE66" s="1"/>
      <c r="BF66" s="1"/>
      <c r="BG66" s="1"/>
      <c r="BH66" s="1"/>
      <c r="BI66" s="1"/>
      <c r="BJ66" s="1"/>
      <c r="BL66" s="1"/>
      <c r="BM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K66" s="1">
        <v>30.196078431372548</v>
      </c>
      <c r="CL66" s="1">
        <v>27.878787878787882</v>
      </c>
      <c r="CM66" s="1"/>
      <c r="CN66" s="1"/>
      <c r="CO66" s="1"/>
      <c r="CP66" s="1"/>
      <c r="CQ66" s="1"/>
      <c r="CR66" s="1"/>
      <c r="CS66" s="1"/>
      <c r="CT66" s="1">
        <f>(1/112*2240)*1.03571428571429</f>
        <v>20.714285714285801</v>
      </c>
      <c r="CU66" s="1">
        <f>(1/112*2240)*1</f>
        <v>20</v>
      </c>
      <c r="CV66" s="1"/>
      <c r="CW66" s="1"/>
      <c r="CX66" s="1">
        <f>(1/112*2240)*0.583038699843974</f>
        <v>11.660773996879481</v>
      </c>
      <c r="CZ66" s="1">
        <v>30.717412191736951</v>
      </c>
      <c r="DA66" s="1">
        <v>27.140638062816155</v>
      </c>
      <c r="DB66" s="1">
        <v>29.183052208926451</v>
      </c>
    </row>
    <row r="67" spans="1:106" x14ac:dyDescent="0.25">
      <c r="A67" s="8">
        <f t="shared" si="4"/>
        <v>1900</v>
      </c>
      <c r="C67" s="1">
        <v>52.173333333333332</v>
      </c>
      <c r="D67" s="1"/>
      <c r="E67" s="1"/>
      <c r="F67" s="1"/>
      <c r="G67" s="1"/>
      <c r="H67" s="1"/>
      <c r="I67" s="3"/>
      <c r="J67" s="1"/>
      <c r="K67" s="1"/>
      <c r="L67" s="1"/>
      <c r="M67" s="1"/>
      <c r="N67" s="1"/>
      <c r="O67" s="1">
        <v>20.181978993919291</v>
      </c>
      <c r="P67" s="1"/>
      <c r="Q67" s="1"/>
      <c r="R67" s="1"/>
      <c r="S67" s="1"/>
      <c r="T67" s="3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>
        <v>35.490605427974948</v>
      </c>
      <c r="AM67" s="1"/>
      <c r="AN67" s="1"/>
      <c r="AO67" s="1">
        <v>48.695652173913047</v>
      </c>
      <c r="AP67" s="1"/>
      <c r="AQ67" s="1"/>
      <c r="AR67" s="1"/>
      <c r="AS67" s="3"/>
      <c r="AT67" s="3">
        <v>41.329208093259894</v>
      </c>
      <c r="AU67" s="3">
        <v>41.746674841676658</v>
      </c>
      <c r="AV67" s="3">
        <v>39.099964551577457</v>
      </c>
      <c r="AW67" s="1">
        <f>(1/2204.62*2240)*42.6136</f>
        <v>43.297468044379528</v>
      </c>
      <c r="AY67" s="1">
        <v>29.979094076655027</v>
      </c>
      <c r="AZ67" s="1"/>
      <c r="BA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O67" s="1"/>
      <c r="BP67" s="1"/>
      <c r="BQ67" s="1"/>
      <c r="BR67" s="1"/>
      <c r="BS67" s="1"/>
      <c r="BT67" s="3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K67" s="1">
        <v>28.197325956662059</v>
      </c>
      <c r="CL67" s="1">
        <v>33</v>
      </c>
      <c r="CM67" s="1"/>
      <c r="CN67" s="1"/>
      <c r="CO67" s="1"/>
      <c r="CP67" s="1"/>
      <c r="CQ67" s="1"/>
      <c r="CR67" s="1">
        <f>(1/112*2240)*1.29433272394881</f>
        <v>25.886654478976201</v>
      </c>
      <c r="CS67" s="1"/>
      <c r="CT67" s="1">
        <f>(1/112*2240)*1.15869565217391</f>
        <v>23.173913043478201</v>
      </c>
      <c r="CU67" s="1">
        <f>(1/112*2240)*1</f>
        <v>20</v>
      </c>
      <c r="CV67" s="1"/>
      <c r="CW67" s="1"/>
      <c r="CX67" s="1">
        <f>(1/112*2240)*0.486822023109934</f>
        <v>9.7364404621986793</v>
      </c>
      <c r="CZ67" s="1">
        <v>32.649805344421196</v>
      </c>
      <c r="DA67" s="1">
        <v>34.281129971023475</v>
      </c>
      <c r="DB67" s="1">
        <v>44.153751886413488</v>
      </c>
    </row>
    <row r="68" spans="1:106" x14ac:dyDescent="0.25">
      <c r="A68" s="8">
        <f t="shared" si="4"/>
        <v>1901</v>
      </c>
      <c r="C68" s="1">
        <v>51.426666666666662</v>
      </c>
      <c r="D68" s="1"/>
      <c r="E68" s="1"/>
      <c r="F68" s="1"/>
      <c r="G68" s="1"/>
      <c r="H68" s="1"/>
      <c r="I68" s="3"/>
      <c r="J68" s="1"/>
      <c r="K68" s="1"/>
      <c r="L68" s="1"/>
      <c r="M68" s="1"/>
      <c r="N68" s="1"/>
      <c r="O68" s="1">
        <v>16.233414992650662</v>
      </c>
      <c r="P68" s="1"/>
      <c r="Q68" s="1"/>
      <c r="R68" s="1"/>
      <c r="S68" s="1"/>
      <c r="T68" s="3">
        <f>(1/112*2240)*2</f>
        <v>40</v>
      </c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>
        <v>51.981132075471699</v>
      </c>
      <c r="AP68" s="1"/>
      <c r="AQ68" s="1"/>
      <c r="AR68" s="1"/>
      <c r="AS68" s="3"/>
      <c r="AT68" s="3">
        <v>33.663552278189762</v>
      </c>
      <c r="AU68" s="3">
        <v>39.866567087214378</v>
      </c>
      <c r="AV68" s="3">
        <v>41.180425205899255</v>
      </c>
      <c r="AW68" s="1">
        <f>(1/2204.62*2240)*40.625</f>
        <v>41.276954758643214</v>
      </c>
      <c r="AY68" s="1">
        <v>29.999999999999972</v>
      </c>
      <c r="AZ68" s="1"/>
      <c r="BA68" s="1"/>
      <c r="BB68" s="1">
        <f>(1/112*2240)*2.01025641025641</f>
        <v>40.205128205128204</v>
      </c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K68" s="1">
        <v>30.02290950744559</v>
      </c>
      <c r="CL68" s="1">
        <v>34.883720930232556</v>
      </c>
      <c r="CM68" s="1"/>
      <c r="CN68" s="1"/>
      <c r="CO68" s="1"/>
      <c r="CP68" s="1"/>
      <c r="CQ68" s="1"/>
      <c r="CR68" s="1">
        <f>(1/112*2240)*1.1394422310757</f>
        <v>22.788844621513999</v>
      </c>
      <c r="CS68" s="1"/>
      <c r="CT68" s="1">
        <f>(1/112*2240)*1.04571428571429</f>
        <v>20.9142857142858</v>
      </c>
      <c r="CU68" s="1">
        <f>(1/112*2240)*0.96</f>
        <v>19.2</v>
      </c>
      <c r="CV68" s="1"/>
      <c r="CW68" s="1"/>
      <c r="CX68" s="1">
        <f>(1/112*2240)*0.444432432432432</f>
        <v>8.8886486486486405</v>
      </c>
      <c r="CZ68" s="1">
        <v>41.493868054383832</v>
      </c>
      <c r="DA68" s="1">
        <v>38.506902392765689</v>
      </c>
      <c r="DB68" s="1">
        <v>36.323255966572518</v>
      </c>
    </row>
    <row r="69" spans="1:106" x14ac:dyDescent="0.25">
      <c r="A69" s="8">
        <f t="shared" si="4"/>
        <v>1902</v>
      </c>
      <c r="C69" s="1">
        <v>50.773333333333333</v>
      </c>
      <c r="D69" s="1"/>
      <c r="E69" s="1"/>
      <c r="F69" s="1"/>
      <c r="G69" s="1"/>
      <c r="H69" s="1"/>
      <c r="I69" s="3"/>
      <c r="J69" s="1"/>
      <c r="K69" s="1"/>
      <c r="L69" s="1"/>
      <c r="M69" s="1"/>
      <c r="N69" s="1"/>
      <c r="O69" s="1">
        <v>17.534936861094408</v>
      </c>
      <c r="P69" s="1"/>
      <c r="Q69" s="1"/>
      <c r="R69" s="1"/>
      <c r="S69" s="1"/>
      <c r="T69" s="1">
        <f>(1/112*2240)*2.125</f>
        <v>42.5</v>
      </c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>
        <v>48.078817733990149</v>
      </c>
      <c r="AP69" s="1"/>
      <c r="AQ69" s="1"/>
      <c r="AR69" s="1"/>
      <c r="AS69" s="3"/>
      <c r="AT69" s="3">
        <v>35.910402726571</v>
      </c>
      <c r="AU69" s="3">
        <v>39.522280757096517</v>
      </c>
      <c r="AV69" s="3">
        <v>53.525356967011327</v>
      </c>
      <c r="AW69" s="1">
        <f>(1/2204.62*2240)*40.4119</f>
        <v>41.060434904881568</v>
      </c>
      <c r="AY69" s="1">
        <v>29.999999999999972</v>
      </c>
      <c r="AZ69" s="1"/>
      <c r="BA69" s="1"/>
      <c r="BB69" s="1">
        <f>(1/112*2240)*1.34615384615385</f>
        <v>26.923076923077002</v>
      </c>
      <c r="BC69" s="1"/>
      <c r="BD69" s="1"/>
      <c r="BE69" s="1"/>
      <c r="BF69" s="1"/>
      <c r="BG69" s="3">
        <f>2240*0.0149141809698384</f>
        <v>33.407765372438014</v>
      </c>
      <c r="BH69" s="1">
        <f>2240*0.0179915510285525</f>
        <v>40.301074303957598</v>
      </c>
      <c r="BJ69" s="1"/>
      <c r="BK69" s="1"/>
      <c r="BL69" s="1"/>
      <c r="BM69" s="1"/>
      <c r="BO69" s="1"/>
      <c r="BP69" s="1"/>
      <c r="BQ69" s="1"/>
      <c r="BR69" s="1"/>
      <c r="BS69" s="1"/>
      <c r="BT69" s="1">
        <f>2240*0.0146328742880653</f>
        <v>32.777638405266273</v>
      </c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K69" s="1">
        <v>33.297872340425535</v>
      </c>
      <c r="CL69" s="1">
        <v>30.434782608695656</v>
      </c>
      <c r="CM69" s="1"/>
      <c r="CN69" s="1"/>
      <c r="CO69" s="1"/>
      <c r="CP69" s="1"/>
      <c r="CQ69" s="1"/>
      <c r="CR69" s="1">
        <f>(1/112*2240)*1.14783347493628</f>
        <v>22.956669498725599</v>
      </c>
      <c r="CS69" s="1"/>
      <c r="CT69" s="1"/>
      <c r="CU69" s="1"/>
      <c r="CV69" s="1"/>
      <c r="CZ69" s="1">
        <v>34.557332789975042</v>
      </c>
      <c r="DA69" s="1">
        <v>35.630626878015036</v>
      </c>
      <c r="DB69" s="1">
        <v>34.203217503217502</v>
      </c>
    </row>
    <row r="70" spans="1:106" x14ac:dyDescent="0.25">
      <c r="A70" s="8">
        <f t="shared" si="4"/>
        <v>1903</v>
      </c>
      <c r="C70" s="1">
        <v>56</v>
      </c>
      <c r="D70" s="1"/>
      <c r="E70" s="3"/>
      <c r="F70" s="1"/>
      <c r="G70" s="1"/>
      <c r="H70" s="1"/>
      <c r="I70" s="3"/>
      <c r="J70" s="1"/>
      <c r="K70" s="1"/>
      <c r="L70" s="1"/>
      <c r="M70" s="1"/>
      <c r="N70" s="1"/>
      <c r="O70" s="1">
        <v>23.561782071926999</v>
      </c>
      <c r="P70" s="1"/>
      <c r="Q70" s="1"/>
      <c r="R70" s="1">
        <f>2240*0.0208333333333333</f>
        <v>46.666666666666593</v>
      </c>
      <c r="S70" s="1"/>
      <c r="T70" s="1">
        <f>(1/112*2240)*2.5</f>
        <v>50</v>
      </c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>
        <v>51.980198019801982</v>
      </c>
      <c r="AP70" s="1"/>
      <c r="AQ70" s="1"/>
      <c r="AR70" s="1"/>
      <c r="AS70" s="3"/>
      <c r="AT70" s="3">
        <v>45.896435258491174</v>
      </c>
      <c r="AU70" s="3">
        <v>51.517859111856765</v>
      </c>
      <c r="AV70" s="3">
        <v>39.013746273600532</v>
      </c>
      <c r="AW70" s="1">
        <f>(1/2204.62*2240)*51.4205</f>
        <v>52.245702207183093</v>
      </c>
      <c r="AY70" s="1">
        <v>36.218637992831511</v>
      </c>
      <c r="AZ70" s="1"/>
      <c r="BA70" s="1"/>
      <c r="BC70" s="1"/>
      <c r="BD70" s="1"/>
      <c r="BE70" s="1"/>
      <c r="BF70" s="1"/>
      <c r="BG70" s="3">
        <f>2240*0.0185980195537729</f>
        <v>41.659563800451295</v>
      </c>
      <c r="BH70" s="1">
        <f>2240*0.0180893389961557</f>
        <v>40.520119351388765</v>
      </c>
      <c r="BJ70" s="1"/>
      <c r="BK70" s="1"/>
      <c r="BL70" s="1"/>
      <c r="BM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K70" s="1">
        <v>37.599999999999994</v>
      </c>
      <c r="CL70" s="1">
        <v>40</v>
      </c>
      <c r="CM70" s="1"/>
      <c r="CN70" s="1"/>
      <c r="CO70" s="1"/>
      <c r="CP70" s="1"/>
      <c r="CQ70" s="1"/>
      <c r="CR70" s="1"/>
      <c r="CS70" s="1"/>
      <c r="CU70" s="1"/>
      <c r="CV70" s="1"/>
      <c r="CZ70" s="1">
        <v>33.476361805771482</v>
      </c>
      <c r="DA70" s="1">
        <v>33.49689387469067</v>
      </c>
      <c r="DB70" s="1">
        <v>42.621307673240395</v>
      </c>
    </row>
    <row r="71" spans="1:106" x14ac:dyDescent="0.25">
      <c r="A71" s="8">
        <f t="shared" si="4"/>
        <v>1904</v>
      </c>
      <c r="C71" s="1">
        <v>62.626666666666665</v>
      </c>
      <c r="D71" s="1"/>
      <c r="E71" s="1"/>
      <c r="F71" s="1">
        <f>2240*0.026840490797546</f>
        <v>60.122699386503037</v>
      </c>
      <c r="G71" s="1"/>
      <c r="H71" s="1"/>
      <c r="I71" s="3"/>
      <c r="J71" s="1"/>
      <c r="K71" s="1"/>
      <c r="L71" s="1"/>
      <c r="M71" s="1"/>
      <c r="N71" s="1"/>
      <c r="O71" s="1">
        <v>23.728259766615931</v>
      </c>
      <c r="P71" s="1"/>
      <c r="Q71" s="1"/>
      <c r="R71" s="3"/>
      <c r="S71" s="1"/>
      <c r="T71" s="1">
        <f>(1/112*2240)*2.5</f>
        <v>50</v>
      </c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>
        <v>60.111111111111114</v>
      </c>
      <c r="AP71" s="1"/>
      <c r="AQ71" s="1"/>
      <c r="AR71" s="1"/>
      <c r="AS71" s="1"/>
      <c r="AT71" s="3">
        <v>47.501334622798559</v>
      </c>
      <c r="AU71" s="3">
        <v>51.495440837328168</v>
      </c>
      <c r="AV71" s="3">
        <v>39.041346721795627</v>
      </c>
      <c r="AW71" s="1">
        <f>(1/2204.62*2240)*51.2784</f>
        <v>52.101321769738092</v>
      </c>
      <c r="AY71" s="1">
        <v>35.92401215805468</v>
      </c>
      <c r="AZ71" s="1"/>
      <c r="BA71" s="1"/>
      <c r="BC71" s="1"/>
      <c r="BD71" s="1"/>
      <c r="BE71" s="1"/>
      <c r="BF71" s="1"/>
      <c r="BG71" s="3">
        <f>2240*0.00709052233514536</f>
        <v>15.882770030725608</v>
      </c>
      <c r="BH71" s="1">
        <f>2240*0.0193999491852886</f>
        <v>43.455886175046466</v>
      </c>
      <c r="BJ71" s="1"/>
      <c r="BK71" s="1"/>
      <c r="BL71" s="1"/>
      <c r="BM71" s="1"/>
      <c r="BN71" s="12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K71" s="1">
        <v>25.699958211450063</v>
      </c>
      <c r="CL71" s="1">
        <v>37.209302325581397</v>
      </c>
      <c r="CM71" s="1"/>
      <c r="CN71" s="1"/>
      <c r="CO71" s="1"/>
      <c r="CP71" s="1"/>
      <c r="CQ71" s="1"/>
      <c r="CR71" s="1"/>
      <c r="CS71" s="1"/>
      <c r="CU71" s="1"/>
      <c r="CV71" s="1"/>
      <c r="CZ71" s="1">
        <v>36.686908474205367</v>
      </c>
      <c r="DA71" s="1">
        <v>42.008924410792218</v>
      </c>
      <c r="DB71" s="1">
        <v>52.067436585563151</v>
      </c>
    </row>
    <row r="72" spans="1:106" x14ac:dyDescent="0.25">
      <c r="A72" s="8">
        <f t="shared" ref="A72:A103" si="5">A71+1</f>
        <v>1905</v>
      </c>
      <c r="C72" s="1">
        <v>53.013333333333328</v>
      </c>
      <c r="D72" s="1"/>
      <c r="E72" s="1"/>
      <c r="F72" s="1"/>
      <c r="G72" s="1"/>
      <c r="H72" s="1"/>
      <c r="I72" s="3"/>
      <c r="J72" s="1"/>
      <c r="K72" s="1"/>
      <c r="L72" s="1"/>
      <c r="M72" s="1"/>
      <c r="N72" s="1"/>
      <c r="O72" s="1">
        <v>20.34171901332925</v>
      </c>
      <c r="P72" s="1"/>
      <c r="Q72" s="1"/>
      <c r="R72" s="3"/>
      <c r="S72" s="1"/>
      <c r="T72" s="1">
        <f>(1/112*2240)*2.08333333333333</f>
        <v>41.6666666666666</v>
      </c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>
        <v>60.08620689655173</v>
      </c>
      <c r="AP72" s="1"/>
      <c r="AQ72" s="1"/>
      <c r="AR72" s="1"/>
      <c r="AS72" s="1"/>
      <c r="AT72" s="3">
        <v>43.212655273317111</v>
      </c>
      <c r="AU72" s="3">
        <v>47.576148151078776</v>
      </c>
      <c r="AV72" s="3">
        <v>39.075633773308191</v>
      </c>
      <c r="AW72" s="1">
        <f>(1/2204.62*2240)*48.0114</f>
        <v>48.78189257105533</v>
      </c>
      <c r="AY72" s="1">
        <v>36.01801801801799</v>
      </c>
      <c r="AZ72" s="1"/>
      <c r="BA72" s="1"/>
      <c r="BB72" s="1">
        <f>(1/112*2240)*1.41043901173561</f>
        <v>28.208780234712201</v>
      </c>
      <c r="BC72" s="1"/>
      <c r="BD72" s="1"/>
      <c r="BE72" s="1"/>
      <c r="BF72" s="1"/>
      <c r="BG72" s="3">
        <f>2240*0.0110017371163868</f>
        <v>24.643891140706433</v>
      </c>
      <c r="BH72" s="1">
        <f>2240*0.0174734145570008</f>
        <v>39.14044860768179</v>
      </c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C72" s="1"/>
      <c r="CD72" s="1"/>
      <c r="CE72" s="1"/>
      <c r="CF72" s="1"/>
      <c r="CG72" s="1"/>
      <c r="CH72" s="1"/>
      <c r="CI72" s="1"/>
      <c r="CK72" s="1">
        <v>29.467330016583748</v>
      </c>
      <c r="CL72" s="1">
        <v>36.028368794326241</v>
      </c>
      <c r="CM72" s="1"/>
      <c r="CN72" s="1"/>
      <c r="CO72" s="1"/>
      <c r="CP72" s="1"/>
      <c r="CQ72" s="1"/>
      <c r="CR72" s="1"/>
      <c r="CS72" s="1"/>
      <c r="CU72" s="1"/>
      <c r="CV72" s="1"/>
      <c r="CZ72" s="1">
        <v>44.215440863342231</v>
      </c>
      <c r="DA72" s="1">
        <v>39.07758067546952</v>
      </c>
      <c r="DB72" s="1">
        <v>39.306850683425246</v>
      </c>
    </row>
    <row r="73" spans="1:106" x14ac:dyDescent="0.25">
      <c r="A73" s="8">
        <f t="shared" si="5"/>
        <v>1906</v>
      </c>
      <c r="C73" s="1">
        <v>70.14</v>
      </c>
      <c r="D73" s="1"/>
      <c r="E73" s="1"/>
      <c r="F73" s="1"/>
      <c r="G73" s="1"/>
      <c r="H73" s="1"/>
      <c r="I73" s="3"/>
      <c r="J73" s="1"/>
      <c r="K73" s="1"/>
      <c r="L73" s="1"/>
      <c r="M73" s="1"/>
      <c r="N73" s="1"/>
      <c r="O73" s="1">
        <v>25.748126026579065</v>
      </c>
      <c r="P73" s="1"/>
      <c r="Q73" s="1"/>
      <c r="R73" s="3">
        <f>2240*0.0291666666666667</f>
        <v>65.3333333333334</v>
      </c>
      <c r="S73" s="1"/>
      <c r="T73" s="1">
        <f>(1/112*2240)*2.0625</f>
        <v>41.25</v>
      </c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>
        <v>72.173913043478265</v>
      </c>
      <c r="AP73" s="1"/>
      <c r="AQ73" s="1"/>
      <c r="AR73" s="1"/>
      <c r="AS73" s="1"/>
      <c r="AT73" s="3">
        <v>45.675143987034431</v>
      </c>
      <c r="AU73" s="3">
        <v>51.402213124727616</v>
      </c>
      <c r="AV73" s="3">
        <v>43.011929460580916</v>
      </c>
      <c r="AW73" s="1">
        <f>(1/2204.62*2240)*51.6335</f>
        <v>52.462120456133022</v>
      </c>
      <c r="AY73" s="1">
        <v>37.182680901542078</v>
      </c>
      <c r="AZ73" s="1"/>
      <c r="BA73" s="1"/>
      <c r="BC73" s="1"/>
      <c r="BD73" s="1"/>
      <c r="BE73" s="1"/>
      <c r="BF73" s="1"/>
      <c r="BG73" s="3">
        <f>2240*0.0155454301795765</f>
        <v>34.821763602251359</v>
      </c>
      <c r="BH73" s="1">
        <f>2240*0.0207543172895385</f>
        <v>46.489670728566239</v>
      </c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>
        <f>2240*0.0205987826114888</f>
        <v>46.141273049734913</v>
      </c>
      <c r="BX73" s="1"/>
      <c r="BY73" s="3"/>
      <c r="BZ73" s="1">
        <f>2240*0.0216740266848633</f>
        <v>48.549819774093791</v>
      </c>
      <c r="CA73" s="1"/>
      <c r="CB73" s="3"/>
      <c r="CC73" s="1">
        <f>2240*0.0231306415715893</f>
        <v>51.81263712036003</v>
      </c>
      <c r="CD73" s="1"/>
      <c r="CE73" s="1"/>
      <c r="CF73" s="1"/>
      <c r="CG73" s="1"/>
      <c r="CH73" s="1"/>
      <c r="CI73" s="1"/>
      <c r="CK73" s="1">
        <v>23.108851518706818</v>
      </c>
      <c r="CL73" s="1">
        <v>28.000000000000004</v>
      </c>
      <c r="CM73" s="1"/>
      <c r="CN73" s="1"/>
      <c r="CO73" s="1"/>
      <c r="CP73" s="1"/>
      <c r="CQ73" s="1"/>
      <c r="CR73" s="1"/>
      <c r="CS73" s="1"/>
      <c r="CU73" s="1">
        <f>(1/112*2240)*1.83771929824561</f>
        <v>36.754385964912203</v>
      </c>
      <c r="CV73" s="1"/>
      <c r="CZ73" s="1">
        <v>44.615794297604594</v>
      </c>
      <c r="DA73" s="1">
        <v>41.075471274282258</v>
      </c>
      <c r="DB73" s="1">
        <v>45.149619749591032</v>
      </c>
    </row>
    <row r="74" spans="1:106" x14ac:dyDescent="0.25">
      <c r="A74" s="8">
        <f t="shared" si="5"/>
        <v>1907</v>
      </c>
      <c r="C74" s="1">
        <v>77.513333333333335</v>
      </c>
      <c r="D74" s="1"/>
      <c r="E74" s="1"/>
      <c r="F74" s="1"/>
      <c r="G74" s="1"/>
      <c r="H74" s="1"/>
      <c r="I74" s="3"/>
      <c r="J74" s="3"/>
      <c r="K74" s="1"/>
      <c r="L74" s="1"/>
      <c r="M74" s="1"/>
      <c r="N74" s="1"/>
      <c r="O74" s="1">
        <v>28.899722991689753</v>
      </c>
      <c r="P74" s="1"/>
      <c r="Q74" s="3"/>
      <c r="R74" s="1"/>
      <c r="S74" s="3"/>
      <c r="T74" s="1">
        <f>(1/112*2240)*2</f>
        <v>40</v>
      </c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>
        <v>79.941348973607035</v>
      </c>
      <c r="AP74" s="1"/>
      <c r="AQ74" s="1"/>
      <c r="AR74" s="1"/>
      <c r="AS74" s="1"/>
      <c r="AT74" s="3">
        <v>46.842760367131802</v>
      </c>
      <c r="AU74" s="3">
        <v>49.984652830780881</v>
      </c>
      <c r="AV74" s="3">
        <v>44.257885681514054</v>
      </c>
      <c r="AW74" s="1">
        <f>(1/2204.62*2240)*49.7159</f>
        <v>50.513746586713353</v>
      </c>
      <c r="AY74" s="1">
        <v>35.999999999999964</v>
      </c>
      <c r="AZ74" s="1"/>
      <c r="BA74" s="1"/>
      <c r="BC74" s="1"/>
      <c r="BE74" s="1"/>
      <c r="BF74" s="1"/>
      <c r="BG74" s="3">
        <f>2240*0.0120206194729592</f>
        <v>26.926187619428607</v>
      </c>
      <c r="BH74" s="3">
        <f>2240*0.0195043389282524</f>
        <v>43.689719199285378</v>
      </c>
      <c r="BJ74" s="1"/>
      <c r="BK74" s="1"/>
      <c r="BL74" s="1"/>
      <c r="BM74" s="1"/>
      <c r="BN74" s="1">
        <f>2240*0.0142857142857143</f>
        <v>32.000000000000028</v>
      </c>
      <c r="BO74" s="1"/>
      <c r="BP74" s="1"/>
      <c r="BQ74" s="1"/>
      <c r="BR74" s="1"/>
      <c r="BS74" s="1"/>
      <c r="BT74" s="1"/>
      <c r="BU74" s="1"/>
      <c r="BV74" s="1"/>
      <c r="BW74" s="1">
        <f>2240*0.0238960403878761</f>
        <v>53.527130468842465</v>
      </c>
      <c r="BX74" s="1"/>
      <c r="BY74" s="3"/>
      <c r="BZ74" s="1">
        <f>2240*0.0199098431779222</f>
        <v>44.598048718545733</v>
      </c>
      <c r="CA74" s="1"/>
      <c r="CB74" s="3"/>
      <c r="CC74" s="1">
        <f>2240*0.0236494604760054</f>
        <v>52.974791466252093</v>
      </c>
      <c r="CD74" s="1"/>
      <c r="CE74" s="1"/>
      <c r="CF74" s="1"/>
      <c r="CG74" s="1"/>
      <c r="CH74" s="1"/>
      <c r="CI74" s="1"/>
      <c r="CK74" s="1">
        <v>27.986798679867988</v>
      </c>
      <c r="CL74" s="1"/>
      <c r="CM74" s="1"/>
      <c r="CN74" s="1"/>
      <c r="CO74" s="1"/>
      <c r="CP74" s="1"/>
      <c r="CQ74" s="1"/>
      <c r="CR74" s="1"/>
      <c r="CS74" s="1"/>
      <c r="CT74" s="1">
        <f>(1/112*2240)*1.71875</f>
        <v>34.375</v>
      </c>
      <c r="CU74" s="1">
        <f>(1/112*2240)*1.95614035087719</f>
        <v>39.122807017543799</v>
      </c>
      <c r="CV74" s="1"/>
      <c r="CZ74" s="1">
        <v>52.656844351882128</v>
      </c>
      <c r="DA74" s="1">
        <v>42.992426937771562</v>
      </c>
      <c r="DB74" s="1">
        <v>45.880511763116182</v>
      </c>
    </row>
    <row r="75" spans="1:106" x14ac:dyDescent="0.25">
      <c r="A75" s="8">
        <f t="shared" si="5"/>
        <v>1908</v>
      </c>
      <c r="C75" s="1">
        <v>71.586666666666659</v>
      </c>
      <c r="D75" s="1"/>
      <c r="E75" s="1"/>
      <c r="F75" s="1"/>
      <c r="G75" s="1"/>
      <c r="H75" s="1"/>
      <c r="I75" s="3"/>
      <c r="J75" s="3"/>
      <c r="K75" s="1"/>
      <c r="L75" s="1"/>
      <c r="M75" s="1"/>
      <c r="N75" s="1"/>
      <c r="O75" s="1">
        <v>22.617013232514179</v>
      </c>
      <c r="P75" s="1"/>
      <c r="Q75" s="1"/>
      <c r="R75" s="3"/>
      <c r="S75" s="1"/>
      <c r="T75" s="1">
        <f>(1/112*2240)*2.10526315789474</f>
        <v>42.105263157894797</v>
      </c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N75" s="1"/>
      <c r="AO75" s="1">
        <v>45.453100158982515</v>
      </c>
      <c r="AP75" s="1"/>
      <c r="AQ75" s="1"/>
      <c r="AR75" s="1"/>
      <c r="AS75" s="1"/>
      <c r="AT75" s="3">
        <v>43.134158787622042</v>
      </c>
      <c r="AU75" s="3">
        <v>46.153549902755586</v>
      </c>
      <c r="AV75" s="3">
        <v>38.704803493449781</v>
      </c>
      <c r="AW75" s="1">
        <f>(1/2204.62*2240)*40.1115</f>
        <v>40.755214050493962</v>
      </c>
      <c r="AY75" s="1">
        <v>35.999999999999972</v>
      </c>
      <c r="AZ75" s="1"/>
      <c r="BA75" s="1"/>
      <c r="BC75" s="1"/>
      <c r="BD75" s="1"/>
      <c r="BF75" s="1"/>
      <c r="BG75" s="3">
        <f>2240*0.00971383565240221</f>
        <v>21.758991861380949</v>
      </c>
      <c r="BH75" s="1">
        <f>2240*0.019170151439654</f>
        <v>42.941139224824958</v>
      </c>
      <c r="BJ75" s="1"/>
      <c r="BK75" s="1"/>
      <c r="BL75" s="1"/>
      <c r="BM75" s="1"/>
      <c r="BN75" s="1">
        <f>2240*0.0142857142857143</f>
        <v>32.000000000000028</v>
      </c>
      <c r="BO75" s="1"/>
      <c r="BP75" s="1"/>
      <c r="BQ75" s="1"/>
      <c r="BR75" s="1"/>
      <c r="BS75" s="1"/>
      <c r="BT75" s="1"/>
      <c r="BU75" s="1"/>
      <c r="BV75" s="1"/>
      <c r="BW75" s="1">
        <f>2240*0.0235145662510062</f>
        <v>52.672628402253885</v>
      </c>
      <c r="BX75" s="1"/>
      <c r="BY75" s="3"/>
      <c r="BZ75" s="1">
        <f>2240*0.0202744292058229</f>
        <v>45.414721421043296</v>
      </c>
      <c r="CA75" s="1"/>
      <c r="CB75" s="3"/>
      <c r="CC75" s="1">
        <f>2240*0.024843591358735</f>
        <v>55.649644643566404</v>
      </c>
      <c r="CD75" s="1"/>
      <c r="CE75" s="1"/>
      <c r="CF75" s="3"/>
      <c r="CG75" s="1"/>
      <c r="CH75" s="1"/>
      <c r="CI75" s="1"/>
      <c r="CK75" s="1">
        <v>33.704052780395855</v>
      </c>
      <c r="CL75" s="1"/>
      <c r="CM75" s="1"/>
      <c r="CN75" s="1"/>
      <c r="CO75" s="1"/>
      <c r="CP75" s="1"/>
      <c r="CQ75" s="1"/>
      <c r="CR75" s="1"/>
      <c r="CS75" s="1"/>
      <c r="CT75" s="1"/>
      <c r="CU75" s="1">
        <f>(1/112*2240)*1.65789473684211</f>
        <v>33.157894736842202</v>
      </c>
      <c r="CV75" s="1"/>
      <c r="CZ75" s="1">
        <v>60.056878416037677</v>
      </c>
      <c r="DA75" s="1">
        <v>41.620566720092008</v>
      </c>
      <c r="DB75" s="1">
        <v>43.233213097821761</v>
      </c>
    </row>
    <row r="76" spans="1:106" x14ac:dyDescent="0.25">
      <c r="A76" s="8">
        <f t="shared" si="5"/>
        <v>1909</v>
      </c>
      <c r="C76" s="1">
        <v>71.213333333333338</v>
      </c>
      <c r="D76" s="1"/>
      <c r="E76" s="1"/>
      <c r="F76" s="1"/>
      <c r="G76" s="1"/>
      <c r="H76" s="1"/>
      <c r="I76" s="3"/>
      <c r="J76" s="1"/>
      <c r="K76" s="1"/>
      <c r="L76" s="1"/>
      <c r="M76" s="1"/>
      <c r="N76" s="1"/>
      <c r="O76" s="1">
        <v>25.951553509781359</v>
      </c>
      <c r="P76" s="1"/>
      <c r="Q76" s="1"/>
      <c r="R76" s="3"/>
      <c r="S76" s="1"/>
      <c r="T76" s="1">
        <f>(1/112*2240)*2.5</f>
        <v>50</v>
      </c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>
        <v>26.97674418604651</v>
      </c>
      <c r="AP76" s="1"/>
      <c r="AQ76" s="1"/>
      <c r="AR76" s="1"/>
      <c r="AS76" s="1"/>
      <c r="AT76" s="1"/>
      <c r="AU76" s="1"/>
      <c r="AV76" s="14"/>
      <c r="AW76" s="1">
        <f>(1/2204.62*2240)*42.5455</f>
        <v>43.228275167602575</v>
      </c>
      <c r="AY76" s="1">
        <v>55.824742268041177</v>
      </c>
      <c r="AZ76" s="1"/>
      <c r="BA76" s="1"/>
      <c r="BB76" s="1"/>
      <c r="BC76" s="1"/>
      <c r="BD76" s="1"/>
      <c r="BE76" s="1"/>
      <c r="BF76" s="1"/>
      <c r="BG76" s="3">
        <f>2240*0.0059951899729436</f>
        <v>13.429225539393665</v>
      </c>
      <c r="BH76" s="1">
        <f>2240*0.0186698184920929</f>
        <v>41.820393422288092</v>
      </c>
      <c r="BJ76" s="1"/>
      <c r="BK76" s="1"/>
      <c r="BL76" s="1"/>
      <c r="BM76" s="1"/>
      <c r="BN76" s="1">
        <f>2240*0.004165</f>
        <v>9.329600000000001</v>
      </c>
      <c r="BO76" s="1"/>
      <c r="BP76" s="1"/>
      <c r="BQ76" s="1"/>
      <c r="BR76" s="1"/>
      <c r="BS76" s="1"/>
      <c r="BT76" s="1"/>
      <c r="BU76" s="1"/>
      <c r="BV76" s="1"/>
      <c r="BW76" s="1">
        <f>2240*0.0268356135113209</f>
        <v>60.111774265358818</v>
      </c>
      <c r="BX76" s="1"/>
      <c r="BY76" s="3"/>
      <c r="BZ76" s="1">
        <f>2240*0.0221099342660388</f>
        <v>49.526252755926912</v>
      </c>
      <c r="CA76" s="1"/>
      <c r="CB76" s="3"/>
      <c r="CC76" s="1">
        <f>2240*0.0264529207139587</f>
        <v>59.254542399267486</v>
      </c>
      <c r="CD76" s="1"/>
      <c r="CE76" s="1"/>
      <c r="CF76" s="3"/>
      <c r="CG76" s="1"/>
      <c r="CH76" s="1"/>
      <c r="CI76" s="1"/>
      <c r="CK76" s="1">
        <v>13.564888384411653</v>
      </c>
      <c r="CL76" s="1"/>
      <c r="CM76" s="1"/>
      <c r="CN76" s="1"/>
      <c r="CO76" s="1"/>
      <c r="CP76" s="1"/>
      <c r="CQ76" s="1"/>
      <c r="CR76" s="1"/>
      <c r="CS76" s="1"/>
      <c r="CT76" s="1"/>
      <c r="CU76" s="1">
        <f>(1/112*2240)*1.68571428571429</f>
        <v>33.714285714285801</v>
      </c>
      <c r="CV76" s="1"/>
      <c r="CZ76" s="1">
        <v>56.345916310056019</v>
      </c>
      <c r="DA76" s="1">
        <v>40.492000610959579</v>
      </c>
      <c r="DB76" s="1">
        <v>49.973607855304287</v>
      </c>
    </row>
    <row r="77" spans="1:106" x14ac:dyDescent="0.25">
      <c r="A77" s="8">
        <f t="shared" si="5"/>
        <v>1910</v>
      </c>
      <c r="C77" s="1">
        <v>97.486666666666665</v>
      </c>
      <c r="D77" s="1"/>
      <c r="E77" s="1"/>
      <c r="F77" s="1"/>
      <c r="G77" s="1"/>
      <c r="H77" s="1"/>
      <c r="I77" s="3"/>
      <c r="J77" s="1"/>
      <c r="K77" s="1"/>
      <c r="L77" s="1"/>
      <c r="M77" s="1"/>
      <c r="N77" s="1"/>
      <c r="O77" s="1">
        <v>33.887968047928112</v>
      </c>
      <c r="P77" s="1"/>
      <c r="Q77" s="3"/>
      <c r="R77" s="1"/>
      <c r="S77" s="3"/>
      <c r="T77" s="1">
        <f>(1/112*2240)*2.5</f>
        <v>50</v>
      </c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0"/>
      <c r="AJ77" s="1"/>
      <c r="AK77" s="1"/>
      <c r="AL77" s="1">
        <v>22.916666666666668</v>
      </c>
      <c r="AM77" s="1"/>
      <c r="AN77" s="1"/>
      <c r="AO77" s="1"/>
      <c r="AP77" s="1"/>
      <c r="AQ77" s="1"/>
      <c r="AR77" s="1"/>
      <c r="AS77" s="1"/>
      <c r="AT77" s="1"/>
      <c r="AU77" s="1"/>
      <c r="AV77" s="3">
        <v>42.214558058925476</v>
      </c>
      <c r="AW77" s="1">
        <f>(1/2204.62*2240)*45.0909</f>
        <v>45.814524044960123</v>
      </c>
      <c r="AY77" s="1">
        <v>57.879133409350004</v>
      </c>
      <c r="AZ77" s="1"/>
      <c r="BA77" s="1"/>
      <c r="BB77" s="1">
        <f>(1/112*2240)*2.56943036691668</f>
        <v>51.3886073383336</v>
      </c>
      <c r="BC77" s="1"/>
      <c r="BD77" s="1"/>
      <c r="BE77" s="1"/>
      <c r="BF77" s="1"/>
      <c r="BG77" s="3">
        <f>2240*0.00792086117556746</f>
        <v>17.742729033271107</v>
      </c>
      <c r="BH77" s="1">
        <f>2240*0.023133309613251</f>
        <v>51.818613533682239</v>
      </c>
      <c r="BJ77" s="1"/>
      <c r="BK77" s="1"/>
      <c r="BL77" s="1"/>
      <c r="BM77" s="1"/>
      <c r="BN77" s="1">
        <f>2240*0.00416428571428571</f>
        <v>9.3279999999999905</v>
      </c>
      <c r="BO77" s="3"/>
      <c r="BP77" s="1"/>
      <c r="BQ77" s="1"/>
      <c r="BR77" s="1"/>
      <c r="BS77" s="1"/>
      <c r="BT77" s="1"/>
      <c r="BU77" s="1"/>
      <c r="BV77" s="1"/>
      <c r="BW77" s="1">
        <f>2240*0.0335061451054332</f>
        <v>75.053765036170361</v>
      </c>
      <c r="BX77" s="1"/>
      <c r="BY77" s="3"/>
      <c r="BZ77" s="1">
        <f>2240*0.0199999882665171</f>
        <v>44.799973716998302</v>
      </c>
      <c r="CA77" s="1"/>
      <c r="CB77" s="1"/>
      <c r="CC77" s="1">
        <f>2240*0.0308133781638095</f>
        <v>69.021967086933273</v>
      </c>
      <c r="CD77" s="1"/>
      <c r="CE77" s="1"/>
      <c r="CF77" s="3"/>
      <c r="CG77" s="1"/>
      <c r="CH77" s="1"/>
      <c r="CI77" s="3"/>
      <c r="CK77" s="1">
        <v>53.926701570680621</v>
      </c>
      <c r="CL77" s="1"/>
      <c r="CM77" s="1"/>
      <c r="CN77" s="1"/>
      <c r="CO77" s="1">
        <f>(1/112*2240)*2.77450980392157</f>
        <v>55.490196078431396</v>
      </c>
      <c r="CP77" s="1"/>
      <c r="CQ77" s="1"/>
      <c r="CR77" s="1"/>
      <c r="CS77" s="1"/>
      <c r="CT77" s="1">
        <f>(1/112*2240)*1.09090909090909</f>
        <v>21.818181818181799</v>
      </c>
      <c r="CU77" s="1">
        <f>(1/112*2240)*2.16339869281046</f>
        <v>43.267973856209203</v>
      </c>
      <c r="CV77" s="1"/>
      <c r="CZ77" s="1">
        <v>47.637083218077755</v>
      </c>
      <c r="DA77" s="1">
        <v>46.913200675754325</v>
      </c>
      <c r="DB77" s="1">
        <v>58.73648672135684</v>
      </c>
    </row>
    <row r="78" spans="1:106" x14ac:dyDescent="0.25">
      <c r="A78" s="8">
        <f t="shared" si="5"/>
        <v>1911</v>
      </c>
      <c r="C78" s="1">
        <v>85.726666666666674</v>
      </c>
      <c r="D78" s="1"/>
      <c r="E78" s="1"/>
      <c r="F78" s="1">
        <f>2240*0.0237135176651306</f>
        <v>53.118279569892543</v>
      </c>
      <c r="G78" s="1"/>
      <c r="H78" s="1"/>
      <c r="I78" s="3"/>
      <c r="J78" s="3"/>
      <c r="K78" s="1"/>
      <c r="L78" s="1"/>
      <c r="M78" s="1"/>
      <c r="N78" s="1"/>
      <c r="O78" s="1">
        <v>29.089966857487198</v>
      </c>
      <c r="P78" s="1"/>
      <c r="Q78" s="1"/>
      <c r="R78" s="3"/>
      <c r="S78" s="3"/>
      <c r="T78" s="1">
        <f>(1/112*2240)*3</f>
        <v>60</v>
      </c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>
        <v>49.634710835982375</v>
      </c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>
        <f>(1/2204.62*2240)*54.3636</f>
        <v>55.236033420725562</v>
      </c>
      <c r="AX78" s="1"/>
      <c r="AY78" s="1">
        <v>56.379721669980121</v>
      </c>
      <c r="AZ78" s="1"/>
      <c r="BA78" s="1"/>
      <c r="BB78" s="1">
        <f>(1/112*2240)*1.80930499712809</f>
        <v>36.186099942561796</v>
      </c>
      <c r="BC78" s="1"/>
      <c r="BD78" s="1"/>
      <c r="BE78" s="1">
        <f>2240*0.0148660714285714</f>
        <v>33.29999999999994</v>
      </c>
      <c r="BF78" s="3"/>
      <c r="BG78" s="1">
        <f>2240*0.00761478163493841</f>
        <v>17.057110862262039</v>
      </c>
      <c r="BH78" s="1">
        <f>2240*0.0284720145337993</f>
        <v>63.777312555710431</v>
      </c>
      <c r="BJ78" s="1"/>
      <c r="BK78" s="1"/>
      <c r="BL78" s="1"/>
      <c r="BM78" s="1"/>
      <c r="BN78" s="1"/>
      <c r="BO78" s="3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D78" s="1"/>
      <c r="CE78" s="1"/>
      <c r="CF78" s="1"/>
      <c r="CG78" s="1"/>
      <c r="CH78" s="1"/>
      <c r="CI78" s="3"/>
      <c r="CK78" s="1">
        <v>27.318489835430782</v>
      </c>
      <c r="CL78" s="1"/>
      <c r="CM78" s="1"/>
      <c r="CN78" s="1"/>
      <c r="CO78" s="1">
        <f>(1/112*2240)*3.19444444444444</f>
        <v>63.8888888888888</v>
      </c>
      <c r="CP78" s="1"/>
      <c r="CQ78" s="1"/>
      <c r="CR78" s="1"/>
      <c r="CS78" s="1"/>
      <c r="CT78" s="1">
        <f>(1/112*2240)*2.12658227848101</f>
        <v>42.531645569620196</v>
      </c>
      <c r="CU78" s="1">
        <f>(1/112*2240)*2.54700854700855</f>
        <v>50.940170940171001</v>
      </c>
      <c r="CV78" s="1"/>
      <c r="CZ78" s="1">
        <v>56.748139807025673</v>
      </c>
      <c r="DA78" s="1">
        <v>55.310472808964064</v>
      </c>
      <c r="DB78" s="1">
        <v>56.264084492018846</v>
      </c>
    </row>
    <row r="79" spans="1:106" x14ac:dyDescent="0.25">
      <c r="A79" s="8">
        <f t="shared" si="5"/>
        <v>1912</v>
      </c>
      <c r="C79" s="1">
        <v>75.88000000000001</v>
      </c>
      <c r="D79" s="1"/>
      <c r="E79" s="1"/>
      <c r="F79" s="1"/>
      <c r="G79" s="1"/>
      <c r="H79" s="1"/>
      <c r="I79" s="3"/>
      <c r="J79" s="3"/>
      <c r="K79" s="1"/>
      <c r="L79" s="1"/>
      <c r="M79" s="1"/>
      <c r="N79" s="1"/>
      <c r="O79" s="1">
        <v>27.8371975442398</v>
      </c>
      <c r="P79" s="1"/>
      <c r="Q79" s="1"/>
      <c r="R79" s="3"/>
      <c r="S79" s="3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>
        <f>(1/2204.62*2240)*49.7273</f>
        <v>50.525329535248702</v>
      </c>
      <c r="AX79" s="1"/>
      <c r="AY79" s="1">
        <v>52.494366197183098</v>
      </c>
      <c r="AZ79" s="1"/>
      <c r="BA79" s="1"/>
      <c r="BB79" s="1">
        <f>(1/112*2240)*2.07796623891835</f>
        <v>41.559324778366999</v>
      </c>
      <c r="BC79" s="1"/>
      <c r="BD79" s="1"/>
      <c r="BE79" s="3">
        <f>2240*AVERAGE(0.0197802197802198,0.0117216117216117,0.0142857142857143)</f>
        <v>34.188034188034194</v>
      </c>
      <c r="BF79" s="17"/>
      <c r="BG79" s="1">
        <f>2240*0.00924140858522436</f>
        <v>20.700755230902566</v>
      </c>
      <c r="BH79" s="1">
        <f>2240*0.0304657353451822</f>
        <v>68.243247173208132</v>
      </c>
      <c r="BJ79" s="1"/>
      <c r="BK79" s="1"/>
      <c r="BL79" s="1"/>
      <c r="BM79" s="1"/>
      <c r="BN79" s="1"/>
      <c r="BO79" s="3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K79" s="1">
        <v>26.064516129032256</v>
      </c>
      <c r="CL79" s="1"/>
      <c r="CM79" s="1"/>
      <c r="CN79" s="1"/>
      <c r="CO79" s="1"/>
      <c r="CP79" s="1"/>
      <c r="CQ79" s="1"/>
      <c r="CR79" s="1"/>
      <c r="CS79" s="1"/>
      <c r="CT79" s="1">
        <f>(1/112*2240)*2.34782608695652</f>
        <v>46.956521739130402</v>
      </c>
      <c r="CU79" s="1">
        <f>(1/112*2240)*2.8125</f>
        <v>56.25</v>
      </c>
      <c r="CV79" s="1"/>
      <c r="CZ79" s="1">
        <v>57.621267825888836</v>
      </c>
      <c r="DA79" s="1">
        <v>49.467507394354492</v>
      </c>
      <c r="DB79" s="1">
        <v>53.130238203936322</v>
      </c>
    </row>
    <row r="80" spans="1:106" x14ac:dyDescent="0.25">
      <c r="A80" s="8">
        <f t="shared" si="5"/>
        <v>1913</v>
      </c>
      <c r="C80" s="1">
        <v>82.506666666666661</v>
      </c>
      <c r="D80" s="1"/>
      <c r="E80" s="1"/>
      <c r="F80" s="1"/>
      <c r="G80" s="1"/>
      <c r="H80" s="1"/>
      <c r="I80" s="3"/>
      <c r="J80" s="1"/>
      <c r="K80" s="1"/>
      <c r="L80" s="1"/>
      <c r="M80" s="1"/>
      <c r="N80" s="1"/>
      <c r="O80" s="1">
        <v>30.734145991682205</v>
      </c>
      <c r="P80" s="1"/>
      <c r="Q80" s="1"/>
      <c r="R80" s="3"/>
      <c r="S80" s="3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N80" s="1"/>
      <c r="AO80" s="1"/>
      <c r="AP80" s="1"/>
      <c r="AQ80" s="1"/>
      <c r="AR80" s="1"/>
      <c r="AS80" s="1"/>
      <c r="AT80" s="1"/>
      <c r="AU80" s="1"/>
      <c r="AV80" s="1"/>
      <c r="AW80" s="1">
        <f>(1/2204.62*2240)*46.3636</f>
        <v>47.107648483638897</v>
      </c>
      <c r="AX80" s="1"/>
      <c r="AY80" s="1">
        <v>44.13134328358209</v>
      </c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K80" s="1">
        <v>37.481481481481481</v>
      </c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Z80" s="1">
        <v>54.101457657858198</v>
      </c>
      <c r="DA80" s="1">
        <v>50.900062145978126</v>
      </c>
      <c r="DB80" s="1">
        <v>55.561888376411112</v>
      </c>
    </row>
    <row r="81" spans="1:106" x14ac:dyDescent="0.25">
      <c r="A81" s="8">
        <f t="shared" si="5"/>
        <v>1914</v>
      </c>
      <c r="C81" s="1">
        <v>76.066666666666663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Z81" s="1">
        <v>64.846193626620533</v>
      </c>
      <c r="DA81" s="1">
        <v>41.257894910832121</v>
      </c>
      <c r="DB81" s="1">
        <v>39.666666666666664</v>
      </c>
    </row>
    <row r="82" spans="1:106" x14ac:dyDescent="0.25">
      <c r="A82" s="8">
        <f t="shared" si="5"/>
        <v>1915</v>
      </c>
      <c r="C82" s="1">
        <v>63.186666666666675</v>
      </c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Z82" s="1">
        <v>45.244909831297264</v>
      </c>
      <c r="DA82" s="1">
        <v>21.964285714285719</v>
      </c>
      <c r="DB82" s="1">
        <v>40.541666666666664</v>
      </c>
    </row>
    <row r="83" spans="1:106" x14ac:dyDescent="0.25">
      <c r="A83" s="8">
        <f t="shared" si="5"/>
        <v>1916</v>
      </c>
      <c r="C83" s="1">
        <v>100.61333333333336</v>
      </c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Z83" s="1">
        <v>51.444856311530948</v>
      </c>
      <c r="DA83" s="1">
        <v>31.285714285714288</v>
      </c>
      <c r="DB83" s="1">
        <v>57.166666666666664</v>
      </c>
    </row>
    <row r="84" spans="1:106" x14ac:dyDescent="0.25">
      <c r="A84" s="8">
        <f t="shared" si="5"/>
        <v>1917</v>
      </c>
      <c r="C84" s="1">
        <v>174.06666666666666</v>
      </c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Z84" s="1">
        <v>87.170590170799557</v>
      </c>
      <c r="DA84" s="1">
        <v>49.392857142857146</v>
      </c>
      <c r="DB84" s="1">
        <v>91.956018311111109</v>
      </c>
    </row>
    <row r="85" spans="1:106" x14ac:dyDescent="0.25">
      <c r="A85" s="8">
        <f t="shared" si="5"/>
        <v>1918</v>
      </c>
      <c r="C85" s="1">
        <v>237.01999999999998</v>
      </c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Z85" s="1">
        <v>106.46591725396547</v>
      </c>
      <c r="DA85" s="1">
        <v>69.964285714285722</v>
      </c>
      <c r="DB85" s="1">
        <v>137.92534248888887</v>
      </c>
    </row>
    <row r="86" spans="1:106" x14ac:dyDescent="0.25">
      <c r="A86" s="8">
        <f t="shared" si="5"/>
        <v>1919</v>
      </c>
      <c r="C86" s="1">
        <v>239.11999999999998</v>
      </c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Z86" s="1">
        <v>172.01157370197717</v>
      </c>
      <c r="DA86" s="1">
        <v>68.035714285714292</v>
      </c>
      <c r="DB86" s="1">
        <v>120.48563084870447</v>
      </c>
    </row>
    <row r="87" spans="1:106" x14ac:dyDescent="0.25">
      <c r="A87" s="8">
        <f t="shared" si="5"/>
        <v>1920</v>
      </c>
      <c r="C87" s="1">
        <v>374.22</v>
      </c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Z87" s="1">
        <v>205.260146232913</v>
      </c>
      <c r="DA87" s="1">
        <v>53.866071428571438</v>
      </c>
      <c r="DB87" s="1">
        <v>120.32973756542037</v>
      </c>
    </row>
    <row r="88" spans="1:106" x14ac:dyDescent="0.25">
      <c r="A88" s="8">
        <f t="shared" si="5"/>
        <v>1921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DA88" s="1">
        <v>34.607142857142861</v>
      </c>
    </row>
    <row r="89" spans="1:106" x14ac:dyDescent="0.25">
      <c r="A89" s="8">
        <f t="shared" si="5"/>
        <v>1922</v>
      </c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DA89" s="1">
        <v>54.937500000000007</v>
      </c>
    </row>
    <row r="90" spans="1:106" x14ac:dyDescent="0.25">
      <c r="A90" s="8">
        <f t="shared" si="5"/>
        <v>1923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DA90" s="1">
        <v>53.517857142857153</v>
      </c>
    </row>
    <row r="91" spans="1:106" x14ac:dyDescent="0.25">
      <c r="A91" s="8">
        <f t="shared" si="5"/>
        <v>1924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DA91" s="1">
        <v>62.383928571428577</v>
      </c>
    </row>
    <row r="92" spans="1:106" x14ac:dyDescent="0.25">
      <c r="A92" s="8">
        <f t="shared" si="5"/>
        <v>1925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DA92" s="1">
        <v>49.232142857142868</v>
      </c>
    </row>
    <row r="93" spans="1:106" x14ac:dyDescent="0.25">
      <c r="A93" s="8">
        <f t="shared" si="5"/>
        <v>1926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DA93" s="1">
        <v>37.098214285714292</v>
      </c>
    </row>
    <row r="94" spans="1:106" x14ac:dyDescent="0.25">
      <c r="A94" s="8">
        <f t="shared" si="5"/>
        <v>1927</v>
      </c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DA94" s="1">
        <v>31.714285714285719</v>
      </c>
    </row>
    <row r="95" spans="1:106" x14ac:dyDescent="0.25">
      <c r="A95" s="8">
        <f t="shared" si="5"/>
        <v>1928</v>
      </c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DA95" s="1">
        <v>42.589285714285722</v>
      </c>
    </row>
    <row r="96" spans="1:106" x14ac:dyDescent="0.25">
      <c r="A96" s="8">
        <f t="shared" si="5"/>
        <v>1929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DA96" s="1">
        <v>36.375000000000007</v>
      </c>
    </row>
    <row r="97" spans="1:105" x14ac:dyDescent="0.25">
      <c r="A97" s="8">
        <f t="shared" si="5"/>
        <v>1930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DA97" s="1">
        <v>25.046218487394956</v>
      </c>
    </row>
    <row r="98" spans="1:105" x14ac:dyDescent="0.25">
      <c r="A98" s="8">
        <f t="shared" si="5"/>
        <v>1931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DA98" s="1">
        <v>18.025210084033613</v>
      </c>
    </row>
    <row r="99" spans="1:105" hidden="1" x14ac:dyDescent="0.25">
      <c r="A99" s="8">
        <f t="shared" si="5"/>
        <v>1932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</row>
    <row r="100" spans="1:105" hidden="1" x14ac:dyDescent="0.25">
      <c r="A100" s="8">
        <f t="shared" si="5"/>
        <v>1933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</row>
    <row r="101" spans="1:105" hidden="1" x14ac:dyDescent="0.25">
      <c r="A101" s="8">
        <f t="shared" si="5"/>
        <v>1934</v>
      </c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</row>
    <row r="102" spans="1:105" hidden="1" x14ac:dyDescent="0.25">
      <c r="A102" s="8">
        <f t="shared" si="5"/>
        <v>1935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</row>
    <row r="103" spans="1:105" hidden="1" x14ac:dyDescent="0.25">
      <c r="A103" s="8">
        <f t="shared" si="5"/>
        <v>1936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</row>
    <row r="104" spans="1:105" hidden="1" x14ac:dyDescent="0.25">
      <c r="A104" s="8">
        <f t="shared" ref="A104:A135" si="6">A103+1</f>
        <v>1937</v>
      </c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</row>
    <row r="105" spans="1:105" hidden="1" x14ac:dyDescent="0.25">
      <c r="A105" s="8">
        <f t="shared" si="6"/>
        <v>1938</v>
      </c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</row>
    <row r="106" spans="1:105" hidden="1" x14ac:dyDescent="0.25">
      <c r="A106" s="8">
        <f t="shared" si="6"/>
        <v>1939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</row>
    <row r="107" spans="1:105" hidden="1" x14ac:dyDescent="0.25">
      <c r="A107" s="8">
        <f t="shared" si="6"/>
        <v>1940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</row>
    <row r="108" spans="1:105" hidden="1" x14ac:dyDescent="0.25">
      <c r="A108" s="8">
        <f t="shared" si="6"/>
        <v>1941</v>
      </c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</row>
    <row r="109" spans="1:105" hidden="1" x14ac:dyDescent="0.25">
      <c r="A109" s="8">
        <f t="shared" si="6"/>
        <v>1942</v>
      </c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</row>
    <row r="110" spans="1:105" hidden="1" x14ac:dyDescent="0.25">
      <c r="A110" s="8">
        <f t="shared" si="6"/>
        <v>1943</v>
      </c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</row>
    <row r="111" spans="1:105" hidden="1" x14ac:dyDescent="0.25">
      <c r="A111" s="8">
        <f t="shared" si="6"/>
        <v>1944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</row>
    <row r="112" spans="1:105" hidden="1" x14ac:dyDescent="0.25">
      <c r="A112" s="8">
        <f t="shared" si="6"/>
        <v>1945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</row>
    <row r="113" spans="1:100" hidden="1" x14ac:dyDescent="0.25">
      <c r="A113" s="8">
        <f t="shared" si="6"/>
        <v>1946</v>
      </c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</row>
    <row r="114" spans="1:100" hidden="1" x14ac:dyDescent="0.25">
      <c r="A114" s="8">
        <f t="shared" si="6"/>
        <v>1947</v>
      </c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</row>
    <row r="115" spans="1:100" hidden="1" x14ac:dyDescent="0.25">
      <c r="A115" s="8">
        <f t="shared" si="6"/>
        <v>1948</v>
      </c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</row>
    <row r="116" spans="1:100" hidden="1" x14ac:dyDescent="0.25">
      <c r="A116" s="8">
        <f t="shared" si="6"/>
        <v>1949</v>
      </c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</row>
    <row r="117" spans="1:100" hidden="1" x14ac:dyDescent="0.25">
      <c r="A117" s="8">
        <f t="shared" si="6"/>
        <v>1950</v>
      </c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</row>
    <row r="118" spans="1:100" hidden="1" x14ac:dyDescent="0.25">
      <c r="A118" s="8">
        <f t="shared" si="6"/>
        <v>1951</v>
      </c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</row>
    <row r="119" spans="1:100" hidden="1" x14ac:dyDescent="0.25">
      <c r="A119" s="8">
        <f t="shared" si="6"/>
        <v>1952</v>
      </c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</row>
    <row r="120" spans="1:100" hidden="1" x14ac:dyDescent="0.25">
      <c r="A120" s="8">
        <f t="shared" si="6"/>
        <v>1953</v>
      </c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</row>
    <row r="121" spans="1:100" hidden="1" x14ac:dyDescent="0.25">
      <c r="A121" s="8">
        <f t="shared" si="6"/>
        <v>1954</v>
      </c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</row>
    <row r="122" spans="1:100" hidden="1" x14ac:dyDescent="0.25">
      <c r="A122" s="8">
        <f t="shared" si="6"/>
        <v>1955</v>
      </c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</row>
    <row r="123" spans="1:100" hidden="1" x14ac:dyDescent="0.25">
      <c r="A123" s="8">
        <f t="shared" si="6"/>
        <v>1956</v>
      </c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</row>
    <row r="124" spans="1:100" hidden="1" x14ac:dyDescent="0.25">
      <c r="A124" s="8">
        <f t="shared" si="6"/>
        <v>1957</v>
      </c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</row>
    <row r="125" spans="1:100" hidden="1" x14ac:dyDescent="0.25">
      <c r="A125" s="8">
        <f t="shared" si="6"/>
        <v>1958</v>
      </c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</row>
    <row r="126" spans="1:100" hidden="1" x14ac:dyDescent="0.25">
      <c r="A126" s="8">
        <f t="shared" si="6"/>
        <v>1959</v>
      </c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</row>
    <row r="127" spans="1:100" hidden="1" x14ac:dyDescent="0.25">
      <c r="A127" s="8">
        <f t="shared" si="6"/>
        <v>1960</v>
      </c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</row>
    <row r="128" spans="1:100" hidden="1" x14ac:dyDescent="0.25">
      <c r="A128" s="8">
        <f t="shared" si="6"/>
        <v>1961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</row>
    <row r="129" spans="1:100" hidden="1" x14ac:dyDescent="0.25">
      <c r="A129" s="8">
        <f t="shared" si="6"/>
        <v>1962</v>
      </c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</row>
    <row r="130" spans="1:100" hidden="1" x14ac:dyDescent="0.25">
      <c r="A130" s="8">
        <f t="shared" si="6"/>
        <v>1963</v>
      </c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</row>
    <row r="131" spans="1:100" hidden="1" x14ac:dyDescent="0.25">
      <c r="A131" s="8">
        <f t="shared" si="6"/>
        <v>1964</v>
      </c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</row>
    <row r="132" spans="1:100" hidden="1" x14ac:dyDescent="0.25">
      <c r="A132" s="8">
        <f t="shared" si="6"/>
        <v>1965</v>
      </c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</row>
    <row r="133" spans="1:100" hidden="1" x14ac:dyDescent="0.25">
      <c r="A133" s="8">
        <f t="shared" si="6"/>
        <v>1966</v>
      </c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</row>
    <row r="134" spans="1:100" hidden="1" x14ac:dyDescent="0.25">
      <c r="A134" s="8">
        <f t="shared" si="6"/>
        <v>1967</v>
      </c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</row>
    <row r="135" spans="1:100" hidden="1" x14ac:dyDescent="0.25">
      <c r="A135" s="8">
        <f t="shared" si="6"/>
        <v>1968</v>
      </c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</row>
    <row r="136" spans="1:100" hidden="1" x14ac:dyDescent="0.25">
      <c r="A136" s="8">
        <f t="shared" ref="A136:A145" si="7">A135+1</f>
        <v>1969</v>
      </c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</row>
    <row r="137" spans="1:100" hidden="1" x14ac:dyDescent="0.25">
      <c r="A137" s="8">
        <f t="shared" si="7"/>
        <v>1970</v>
      </c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</row>
    <row r="138" spans="1:100" hidden="1" x14ac:dyDescent="0.25">
      <c r="A138" s="8">
        <f t="shared" si="7"/>
        <v>1971</v>
      </c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</row>
    <row r="139" spans="1:100" hidden="1" x14ac:dyDescent="0.25">
      <c r="A139" s="8">
        <f t="shared" si="7"/>
        <v>1972</v>
      </c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</row>
    <row r="140" spans="1:100" hidden="1" x14ac:dyDescent="0.25">
      <c r="A140" s="8">
        <f t="shared" si="7"/>
        <v>1973</v>
      </c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</row>
    <row r="141" spans="1:100" hidden="1" x14ac:dyDescent="0.25">
      <c r="A141" s="8">
        <f t="shared" si="7"/>
        <v>1974</v>
      </c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</row>
    <row r="142" spans="1:100" hidden="1" x14ac:dyDescent="0.25">
      <c r="A142" s="8">
        <f t="shared" si="7"/>
        <v>1975</v>
      </c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</row>
    <row r="143" spans="1:100" hidden="1" x14ac:dyDescent="0.25">
      <c r="A143" s="8">
        <f t="shared" si="7"/>
        <v>1976</v>
      </c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</row>
    <row r="144" spans="1:100" hidden="1" x14ac:dyDescent="0.25">
      <c r="A144" s="8">
        <f t="shared" si="7"/>
        <v>1977</v>
      </c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</row>
    <row r="145" spans="1:100" hidden="1" x14ac:dyDescent="0.25">
      <c r="A145" s="8">
        <f t="shared" si="7"/>
        <v>1978</v>
      </c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</row>
    <row r="146" spans="1:100" x14ac:dyDescent="0.25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</row>
    <row r="147" spans="1:100" x14ac:dyDescent="0.25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</row>
    <row r="148" spans="1:100" x14ac:dyDescent="0.25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</row>
    <row r="149" spans="1:100" x14ac:dyDescent="0.25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</row>
    <row r="150" spans="1:100" x14ac:dyDescent="0.25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</row>
    <row r="151" spans="1:100" x14ac:dyDescent="0.25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</row>
    <row r="152" spans="1:100" x14ac:dyDescent="0.25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</row>
    <row r="153" spans="1:100" x14ac:dyDescent="0.25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</row>
    <row r="154" spans="1:100" x14ac:dyDescent="0.25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</row>
    <row r="155" spans="1:100" x14ac:dyDescent="0.25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</row>
    <row r="156" spans="1:100" x14ac:dyDescent="0.25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</row>
    <row r="157" spans="1:100" x14ac:dyDescent="0.25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</row>
    <row r="158" spans="1:100" x14ac:dyDescent="0.25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</row>
    <row r="159" spans="1:100" x14ac:dyDescent="0.25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</row>
    <row r="160" spans="1:100" x14ac:dyDescent="0.25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</row>
    <row r="161" spans="3:100" x14ac:dyDescent="0.25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</row>
    <row r="162" spans="3:100" x14ac:dyDescent="0.25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</row>
    <row r="163" spans="3:100" x14ac:dyDescent="0.25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</row>
    <row r="164" spans="3:100" x14ac:dyDescent="0.25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</row>
    <row r="165" spans="3:100" x14ac:dyDescent="0.25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</row>
    <row r="166" spans="3:100" x14ac:dyDescent="0.25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</row>
    <row r="167" spans="3:100" x14ac:dyDescent="0.25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</row>
    <row r="168" spans="3:100" x14ac:dyDescent="0.25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</row>
    <row r="169" spans="3:100" x14ac:dyDescent="0.25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</row>
    <row r="170" spans="3:100" x14ac:dyDescent="0.25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</row>
    <row r="171" spans="3:100" x14ac:dyDescent="0.25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</row>
    <row r="172" spans="3:100" x14ac:dyDescent="0.25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</row>
    <row r="173" spans="3:100" x14ac:dyDescent="0.25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</row>
    <row r="174" spans="3:100" x14ac:dyDescent="0.25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</row>
    <row r="175" spans="3:100" x14ac:dyDescent="0.25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</row>
    <row r="176" spans="3:100" x14ac:dyDescent="0.25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</row>
    <row r="177" spans="3:100" x14ac:dyDescent="0.25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</row>
    <row r="178" spans="3:100" x14ac:dyDescent="0.25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</row>
    <row r="179" spans="3:100" x14ac:dyDescent="0.25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</row>
    <row r="180" spans="3:100" x14ac:dyDescent="0.25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</row>
    <row r="181" spans="3:100" x14ac:dyDescent="0.25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</row>
    <row r="182" spans="3:100" x14ac:dyDescent="0.25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</row>
    <row r="183" spans="3:100" x14ac:dyDescent="0.25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</row>
    <row r="184" spans="3:100" x14ac:dyDescent="0.25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</row>
    <row r="185" spans="3:100" x14ac:dyDescent="0.25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</row>
    <row r="186" spans="3:100" x14ac:dyDescent="0.25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</row>
    <row r="187" spans="3:100" x14ac:dyDescent="0.25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</row>
    <row r="188" spans="3:100" x14ac:dyDescent="0.25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</row>
    <row r="189" spans="3:100" x14ac:dyDescent="0.25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</row>
    <row r="190" spans="3:100" x14ac:dyDescent="0.25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</row>
    <row r="191" spans="3:100" x14ac:dyDescent="0.25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</row>
    <row r="192" spans="3:100" x14ac:dyDescent="0.25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</row>
    <row r="193" spans="3:100" x14ac:dyDescent="0.25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</row>
    <row r="194" spans="3:100" x14ac:dyDescent="0.25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</row>
    <row r="195" spans="3:100" x14ac:dyDescent="0.25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</row>
    <row r="196" spans="3:100" x14ac:dyDescent="0.25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</row>
    <row r="197" spans="3:100" x14ac:dyDescent="0.25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</row>
    <row r="198" spans="3:100" x14ac:dyDescent="0.25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</row>
    <row r="199" spans="3:100" x14ac:dyDescent="0.25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</row>
    <row r="200" spans="3:100" x14ac:dyDescent="0.25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</row>
    <row r="201" spans="3:100" x14ac:dyDescent="0.25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</row>
    <row r="202" spans="3:100" x14ac:dyDescent="0.25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</row>
    <row r="203" spans="3:100" x14ac:dyDescent="0.25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</row>
    <row r="204" spans="3:100" x14ac:dyDescent="0.25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</row>
    <row r="205" spans="3:100" x14ac:dyDescent="0.25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</row>
    <row r="206" spans="3:100" x14ac:dyDescent="0.25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</row>
    <row r="207" spans="3:100" x14ac:dyDescent="0.25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</row>
    <row r="208" spans="3:100" x14ac:dyDescent="0.25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</row>
    <row r="209" spans="3:100" x14ac:dyDescent="0.25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</row>
    <row r="210" spans="3:100" x14ac:dyDescent="0.25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</row>
    <row r="211" spans="3:100" x14ac:dyDescent="0.25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</row>
    <row r="212" spans="3:100" x14ac:dyDescent="0.25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</row>
    <row r="213" spans="3:100" x14ac:dyDescent="0.25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</row>
    <row r="214" spans="3:100" x14ac:dyDescent="0.25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</row>
    <row r="215" spans="3:100" x14ac:dyDescent="0.25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</row>
    <row r="216" spans="3:100" x14ac:dyDescent="0.25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</row>
    <row r="217" spans="3:100" x14ac:dyDescent="0.25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</row>
    <row r="218" spans="3:100" x14ac:dyDescent="0.25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</row>
    <row r="219" spans="3:100" x14ac:dyDescent="0.25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</row>
    <row r="220" spans="3:100" x14ac:dyDescent="0.25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</row>
    <row r="221" spans="3:100" x14ac:dyDescent="0.25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</row>
    <row r="222" spans="3:100" x14ac:dyDescent="0.25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</row>
    <row r="223" spans="3:100" x14ac:dyDescent="0.25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</row>
    <row r="224" spans="3:100" x14ac:dyDescent="0.25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</row>
    <row r="225" spans="3:100" x14ac:dyDescent="0.25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</row>
    <row r="226" spans="3:100" x14ac:dyDescent="0.25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</row>
    <row r="227" spans="3:100" x14ac:dyDescent="0.25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</row>
    <row r="228" spans="3:100" x14ac:dyDescent="0.25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</row>
    <row r="229" spans="3:100" x14ac:dyDescent="0.25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</row>
    <row r="230" spans="3:100" x14ac:dyDescent="0.25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</row>
    <row r="231" spans="3:100" x14ac:dyDescent="0.25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</row>
    <row r="232" spans="3:100" x14ac:dyDescent="0.25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</row>
    <row r="233" spans="3:100" x14ac:dyDescent="0.25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</row>
    <row r="234" spans="3:100" x14ac:dyDescent="0.25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</row>
    <row r="235" spans="3:100" x14ac:dyDescent="0.25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</row>
    <row r="236" spans="3:100" x14ac:dyDescent="0.25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</row>
    <row r="237" spans="3:100" x14ac:dyDescent="0.25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</row>
    <row r="238" spans="3:100" x14ac:dyDescent="0.25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</row>
    <row r="239" spans="3:100" x14ac:dyDescent="0.25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</row>
    <row r="240" spans="3:100" x14ac:dyDescent="0.25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</row>
    <row r="241" spans="3:100" x14ac:dyDescent="0.25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</row>
    <row r="242" spans="3:100" x14ac:dyDescent="0.25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</row>
    <row r="243" spans="3:100" x14ac:dyDescent="0.25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</row>
    <row r="244" spans="3:100" x14ac:dyDescent="0.25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</row>
    <row r="245" spans="3:100" x14ac:dyDescent="0.25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</row>
    <row r="246" spans="3:100" x14ac:dyDescent="0.25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</row>
    <row r="247" spans="3:100" x14ac:dyDescent="0.25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</row>
    <row r="248" spans="3:100" x14ac:dyDescent="0.25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</row>
    <row r="249" spans="3:100" x14ac:dyDescent="0.25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</row>
    <row r="250" spans="3:100" x14ac:dyDescent="0.25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</row>
    <row r="251" spans="3:100" x14ac:dyDescent="0.25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</row>
    <row r="252" spans="3:100" x14ac:dyDescent="0.25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</row>
    <row r="253" spans="3:100" x14ac:dyDescent="0.25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</row>
    <row r="254" spans="3:100" x14ac:dyDescent="0.25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</row>
    <row r="255" spans="3:100" x14ac:dyDescent="0.25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</row>
  </sheetData>
  <sortState ref="AX21:AY30">
    <sortCondition ref="AX154:AX163"/>
  </sortState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topLeftCell="A927" zoomScale="40" zoomScaleNormal="40" zoomScaleSheetLayoutView="30" workbookViewId="0">
      <selection activeCell="V995" sqref="V995"/>
    </sheetView>
  </sheetViews>
  <sheetFormatPr defaultRowHeight="13.2" x14ac:dyDescent="0.25"/>
  <sheetData/>
  <pageMargins left="0.7" right="0.7" top="0.75" bottom="0.75" header="0.3" footer="0.3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"/>
  <sheetViews>
    <sheetView showZeros="0" zoomScale="50" zoomScaleNormal="50" workbookViewId="0">
      <selection activeCell="X72" sqref="X72"/>
    </sheetView>
  </sheetViews>
  <sheetFormatPr defaultRowHeight="13.2" x14ac:dyDescent="0.25"/>
  <sheetData/>
  <pageMargins left="0.7" right="0.7" top="0.75" bottom="0.75" header="0.3" footer="0.3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O255"/>
  <sheetViews>
    <sheetView zoomScale="60" zoomScaleNormal="60" workbookViewId="0">
      <pane xSplit="2" ySplit="5" topLeftCell="T28" activePane="bottomRight" state="frozen"/>
      <selection activeCell="CE20" sqref="CE20"/>
      <selection pane="topRight" activeCell="CE20" sqref="CE20"/>
      <selection pane="bottomLeft" activeCell="CE20" sqref="CE20"/>
      <selection pane="bottomRight" activeCell="AN28" sqref="AN28"/>
    </sheetView>
  </sheetViews>
  <sheetFormatPr defaultRowHeight="13.2" x14ac:dyDescent="0.25"/>
  <cols>
    <col min="2" max="2" width="12.33203125" bestFit="1" customWidth="1"/>
    <col min="3" max="10" width="12" customWidth="1"/>
    <col min="11" max="11" width="11.33203125" customWidth="1"/>
    <col min="12" max="14" width="12" customWidth="1"/>
    <col min="15" max="15" width="14.88671875" customWidth="1"/>
    <col min="16" max="16" width="13.44140625" customWidth="1"/>
    <col min="17" max="34" width="12" customWidth="1"/>
    <col min="35" max="35" width="13.33203125" customWidth="1"/>
    <col min="36" max="37" width="12" customWidth="1"/>
    <col min="38" max="38" width="13.5546875" customWidth="1"/>
    <col min="39" max="39" width="10.77734375" customWidth="1"/>
    <col min="40" max="40" width="10.6640625" customWidth="1"/>
    <col min="41" max="41" width="12.109375" customWidth="1"/>
  </cols>
  <sheetData>
    <row r="1" spans="1:41" s="14" customFormat="1" x14ac:dyDescent="0.25"/>
    <row r="2" spans="1:41" s="2" customFormat="1" ht="39" customHeight="1" x14ac:dyDescent="0.25">
      <c r="B2" s="5" t="s">
        <v>29</v>
      </c>
      <c r="C2" s="7" t="s">
        <v>1</v>
      </c>
      <c r="D2" s="7" t="s">
        <v>0</v>
      </c>
      <c r="E2" s="7" t="s">
        <v>0</v>
      </c>
      <c r="F2" s="7" t="s">
        <v>0</v>
      </c>
      <c r="G2" s="7" t="s">
        <v>24</v>
      </c>
      <c r="H2" s="7" t="s">
        <v>25</v>
      </c>
      <c r="I2" s="7" t="s">
        <v>41</v>
      </c>
      <c r="J2" s="7" t="s">
        <v>26</v>
      </c>
      <c r="K2" s="7" t="s">
        <v>26</v>
      </c>
      <c r="L2" s="7" t="s">
        <v>2</v>
      </c>
      <c r="M2" s="7" t="s">
        <v>4</v>
      </c>
      <c r="N2" s="7" t="s">
        <v>11</v>
      </c>
      <c r="O2" s="7" t="s">
        <v>12</v>
      </c>
      <c r="P2" s="7" t="s">
        <v>28</v>
      </c>
      <c r="Q2" s="7" t="s">
        <v>37</v>
      </c>
      <c r="R2" s="7" t="s">
        <v>48</v>
      </c>
      <c r="S2" s="7" t="s">
        <v>3</v>
      </c>
      <c r="T2" s="7" t="s">
        <v>3</v>
      </c>
      <c r="U2" s="7" t="s">
        <v>3</v>
      </c>
      <c r="V2" s="7" t="s">
        <v>9</v>
      </c>
      <c r="W2" s="7" t="s">
        <v>20</v>
      </c>
      <c r="X2" s="7" t="s">
        <v>34</v>
      </c>
      <c r="Y2" s="7" t="s">
        <v>15</v>
      </c>
      <c r="Z2" s="7" t="s">
        <v>15</v>
      </c>
      <c r="AA2" s="7" t="s">
        <v>15</v>
      </c>
      <c r="AB2" s="7" t="s">
        <v>17</v>
      </c>
      <c r="AC2" s="7" t="s">
        <v>50</v>
      </c>
      <c r="AD2" s="7" t="s">
        <v>52</v>
      </c>
      <c r="AE2" s="7" t="s">
        <v>21</v>
      </c>
      <c r="AF2" s="7" t="s">
        <v>22</v>
      </c>
      <c r="AG2" s="7" t="s">
        <v>5</v>
      </c>
      <c r="AH2" s="7" t="s">
        <v>51</v>
      </c>
      <c r="AI2" s="7" t="s">
        <v>13</v>
      </c>
      <c r="AJ2" s="7" t="s">
        <v>14</v>
      </c>
      <c r="AK2" s="7" t="s">
        <v>14</v>
      </c>
      <c r="AL2" s="7" t="s">
        <v>36</v>
      </c>
      <c r="AM2" s="7" t="s">
        <v>54</v>
      </c>
      <c r="AN2" s="7" t="s">
        <v>54</v>
      </c>
      <c r="AO2" s="7" t="s">
        <v>54</v>
      </c>
    </row>
    <row r="3" spans="1:41" x14ac:dyDescent="0.25">
      <c r="B3" s="5" t="s">
        <v>31</v>
      </c>
      <c r="C3" s="7" t="s">
        <v>49</v>
      </c>
      <c r="D3" s="7" t="s">
        <v>49</v>
      </c>
      <c r="E3" s="7" t="s">
        <v>49</v>
      </c>
      <c r="F3" s="7" t="s">
        <v>49</v>
      </c>
      <c r="G3" s="7" t="s">
        <v>49</v>
      </c>
      <c r="H3" s="7" t="s">
        <v>49</v>
      </c>
      <c r="I3" s="7" t="s">
        <v>49</v>
      </c>
      <c r="J3" s="7" t="s">
        <v>49</v>
      </c>
      <c r="K3" s="7" t="s">
        <v>49</v>
      </c>
      <c r="L3" s="7" t="s">
        <v>49</v>
      </c>
      <c r="M3" s="7" t="s">
        <v>49</v>
      </c>
      <c r="N3" s="7" t="s">
        <v>49</v>
      </c>
      <c r="O3" s="7" t="s">
        <v>49</v>
      </c>
      <c r="P3" s="7" t="s">
        <v>49</v>
      </c>
      <c r="Q3" s="7" t="s">
        <v>49</v>
      </c>
      <c r="R3" s="7" t="s">
        <v>49</v>
      </c>
      <c r="S3" s="7" t="s">
        <v>49</v>
      </c>
      <c r="T3" s="7" t="s">
        <v>49</v>
      </c>
      <c r="U3" s="7" t="s">
        <v>49</v>
      </c>
      <c r="V3" s="7" t="s">
        <v>49</v>
      </c>
      <c r="W3" s="7" t="s">
        <v>49</v>
      </c>
      <c r="X3" s="7" t="s">
        <v>49</v>
      </c>
      <c r="Y3" s="7" t="s">
        <v>49</v>
      </c>
      <c r="Z3" s="7" t="s">
        <v>49</v>
      </c>
      <c r="AA3" s="7" t="s">
        <v>49</v>
      </c>
      <c r="AB3" s="7" t="s">
        <v>49</v>
      </c>
      <c r="AC3" s="7" t="s">
        <v>49</v>
      </c>
      <c r="AD3" s="7" t="s">
        <v>49</v>
      </c>
      <c r="AE3" s="7" t="s">
        <v>49</v>
      </c>
      <c r="AF3" s="7" t="s">
        <v>49</v>
      </c>
      <c r="AG3" s="7" t="s">
        <v>49</v>
      </c>
      <c r="AH3" s="7" t="s">
        <v>49</v>
      </c>
      <c r="AI3" s="7" t="s">
        <v>49</v>
      </c>
      <c r="AJ3" s="7" t="s">
        <v>49</v>
      </c>
      <c r="AK3" s="7" t="s">
        <v>49</v>
      </c>
      <c r="AL3" s="7" t="s">
        <v>49</v>
      </c>
      <c r="AM3" s="7" t="s">
        <v>49</v>
      </c>
      <c r="AN3" s="7" t="s">
        <v>49</v>
      </c>
      <c r="AO3" s="7" t="s">
        <v>49</v>
      </c>
    </row>
    <row r="4" spans="1:41" s="2" customFormat="1" ht="27" customHeight="1" x14ac:dyDescent="0.25">
      <c r="B4" s="5" t="s">
        <v>30</v>
      </c>
      <c r="C4" s="5" t="s">
        <v>8</v>
      </c>
      <c r="D4" s="5" t="s">
        <v>8</v>
      </c>
      <c r="E4" s="7" t="s">
        <v>7</v>
      </c>
      <c r="F4" s="5" t="s">
        <v>10</v>
      </c>
      <c r="G4" s="5" t="s">
        <v>10</v>
      </c>
      <c r="H4" s="5" t="s">
        <v>8</v>
      </c>
      <c r="I4" s="5" t="s">
        <v>7</v>
      </c>
      <c r="J4" s="5" t="s">
        <v>7</v>
      </c>
      <c r="K4" s="5" t="s">
        <v>10</v>
      </c>
      <c r="L4" s="5" t="s">
        <v>8</v>
      </c>
      <c r="M4" s="5" t="s">
        <v>7</v>
      </c>
      <c r="N4" s="5" t="s">
        <v>7</v>
      </c>
      <c r="O4" s="5" t="s">
        <v>8</v>
      </c>
      <c r="P4" s="5" t="s">
        <v>8</v>
      </c>
      <c r="Q4" s="5" t="s">
        <v>7</v>
      </c>
      <c r="R4" s="5"/>
      <c r="S4" s="5"/>
      <c r="T4" s="5" t="s">
        <v>7</v>
      </c>
      <c r="U4" s="5"/>
      <c r="V4" s="5" t="s">
        <v>7</v>
      </c>
      <c r="W4" s="5" t="s">
        <v>7</v>
      </c>
      <c r="X4" s="5" t="s">
        <v>7</v>
      </c>
      <c r="Y4" s="5" t="s">
        <v>8</v>
      </c>
      <c r="Z4" s="5" t="s">
        <v>7</v>
      </c>
      <c r="AA4" s="5" t="s">
        <v>10</v>
      </c>
      <c r="AB4" s="5" t="s">
        <v>7</v>
      </c>
      <c r="AC4" s="5" t="s">
        <v>7</v>
      </c>
      <c r="AD4" s="5" t="s">
        <v>10</v>
      </c>
      <c r="AE4" s="5" t="s">
        <v>7</v>
      </c>
      <c r="AF4" s="5" t="s">
        <v>7</v>
      </c>
      <c r="AG4" s="5" t="s">
        <v>8</v>
      </c>
      <c r="AH4" s="5" t="s">
        <v>7</v>
      </c>
      <c r="AI4" s="5" t="s">
        <v>7</v>
      </c>
      <c r="AJ4" s="5" t="s">
        <v>8</v>
      </c>
      <c r="AK4" s="5" t="s">
        <v>7</v>
      </c>
      <c r="AL4" s="5" t="s">
        <v>7</v>
      </c>
      <c r="AM4" s="5" t="s">
        <v>8</v>
      </c>
      <c r="AN4" s="5" t="s">
        <v>7</v>
      </c>
      <c r="AO4" s="5" t="s">
        <v>55</v>
      </c>
    </row>
    <row r="5" spans="1:41" s="9" customFormat="1" x14ac:dyDescent="0.25">
      <c r="A5" s="4" t="s">
        <v>33</v>
      </c>
      <c r="B5" s="4" t="s">
        <v>32</v>
      </c>
      <c r="C5" s="6" t="s">
        <v>47</v>
      </c>
      <c r="D5" s="6" t="s">
        <v>47</v>
      </c>
      <c r="E5" s="6" t="s">
        <v>47</v>
      </c>
      <c r="F5" s="6" t="s">
        <v>47</v>
      </c>
      <c r="G5" s="6" t="s">
        <v>47</v>
      </c>
      <c r="H5" s="6" t="s">
        <v>47</v>
      </c>
      <c r="I5" s="6" t="s">
        <v>47</v>
      </c>
      <c r="J5" s="6" t="s">
        <v>47</v>
      </c>
      <c r="K5" s="6" t="s">
        <v>47</v>
      </c>
      <c r="L5" s="6" t="s">
        <v>47</v>
      </c>
      <c r="M5" s="6" t="s">
        <v>47</v>
      </c>
      <c r="N5" s="6" t="s">
        <v>47</v>
      </c>
      <c r="O5" s="6" t="s">
        <v>47</v>
      </c>
      <c r="P5" s="6" t="s">
        <v>47</v>
      </c>
      <c r="Q5" s="6" t="s">
        <v>47</v>
      </c>
      <c r="R5" s="6" t="s">
        <v>47</v>
      </c>
      <c r="S5" s="6" t="s">
        <v>47</v>
      </c>
      <c r="T5" s="6" t="s">
        <v>47</v>
      </c>
      <c r="U5" s="6" t="s">
        <v>47</v>
      </c>
      <c r="V5" s="6" t="s">
        <v>47</v>
      </c>
      <c r="W5" s="6" t="s">
        <v>47</v>
      </c>
      <c r="X5" s="6" t="s">
        <v>47</v>
      </c>
      <c r="Y5" s="6" t="s">
        <v>47</v>
      </c>
      <c r="Z5" s="6" t="s">
        <v>47</v>
      </c>
      <c r="AA5" s="6" t="s">
        <v>47</v>
      </c>
      <c r="AB5" s="6" t="s">
        <v>47</v>
      </c>
      <c r="AC5" s="6" t="s">
        <v>47</v>
      </c>
      <c r="AD5" s="6" t="s">
        <v>47</v>
      </c>
      <c r="AE5" s="6" t="s">
        <v>47</v>
      </c>
      <c r="AF5" s="6" t="s">
        <v>47</v>
      </c>
      <c r="AG5" s="6" t="s">
        <v>47</v>
      </c>
      <c r="AH5" s="6" t="s">
        <v>47</v>
      </c>
      <c r="AI5" s="6" t="s">
        <v>47</v>
      </c>
      <c r="AJ5" s="6" t="s">
        <v>47</v>
      </c>
      <c r="AK5" s="6" t="s">
        <v>47</v>
      </c>
      <c r="AL5" s="6" t="s">
        <v>47</v>
      </c>
      <c r="AM5" s="6" t="s">
        <v>47</v>
      </c>
      <c r="AN5" s="6" t="s">
        <v>47</v>
      </c>
      <c r="AO5" s="6" t="s">
        <v>47</v>
      </c>
    </row>
    <row r="6" spans="1:41" s="2" customFormat="1" ht="54.6" hidden="1" customHeight="1" x14ac:dyDescent="0.25">
      <c r="A6" s="4" t="s">
        <v>33</v>
      </c>
      <c r="B6" s="5" t="s">
        <v>29</v>
      </c>
      <c r="C6" s="7" t="str">
        <f t="shared" ref="C6:AB6" si="0">CONCATENATE(C2,", ",C4,", ","in ",C5)</f>
        <v>UK, Imports, in pound/ton</v>
      </c>
      <c r="D6" s="7" t="str">
        <f t="shared" si="0"/>
        <v>Baghdad, Imports, in pound/ton</v>
      </c>
      <c r="E6" s="7" t="str">
        <f t="shared" si="0"/>
        <v>Baghdad, Exports, in pound/ton</v>
      </c>
      <c r="F6" s="7" t="str">
        <f t="shared" si="0"/>
        <v>Baghdad, Bazaar (Local), in pound/ton</v>
      </c>
      <c r="G6" s="7" t="str">
        <f t="shared" si="0"/>
        <v>Basrah, Bazaar (Local), in pound/ton</v>
      </c>
      <c r="H6" s="7" t="str">
        <f t="shared" si="0"/>
        <v>Mosul, Imports, in pound/ton</v>
      </c>
      <c r="I6" s="7" t="str">
        <f t="shared" si="0"/>
        <v>Egypt, Exports, in pound/ton</v>
      </c>
      <c r="J6" s="7" t="str">
        <f t="shared" si="0"/>
        <v>Palestine, Exports, in pound/ton</v>
      </c>
      <c r="K6" s="7" t="str">
        <f t="shared" si="0"/>
        <v>Palestine, Bazaar (Local), in pound/ton</v>
      </c>
      <c r="L6" s="7" t="str">
        <f t="shared" si="0"/>
        <v>Damascus, Imports, in pound/ton</v>
      </c>
      <c r="M6" s="7" t="str">
        <f t="shared" si="0"/>
        <v>Beirut, Exports, in pound/ton</v>
      </c>
      <c r="N6" s="7" t="str">
        <f t="shared" si="0"/>
        <v>Turkey, Exports, in pound/ton</v>
      </c>
      <c r="O6" s="7" t="str">
        <f t="shared" si="0"/>
        <v>Constantinople, Imports, in pound/ton</v>
      </c>
      <c r="P6" s="7" t="str">
        <f t="shared" si="0"/>
        <v>Trebizond (Anatolia), Imports, in pound/ton</v>
      </c>
      <c r="Q6" s="7" t="str">
        <f t="shared" si="0"/>
        <v>Trebizond (Persia), Exports, in pound/ton</v>
      </c>
      <c r="R6" s="7" t="str">
        <f t="shared" si="0"/>
        <v>Adana, , in pound/ton</v>
      </c>
      <c r="S6" s="7" t="str">
        <f t="shared" si="0"/>
        <v>Izmir, , in pound/ton</v>
      </c>
      <c r="T6" s="7" t="str">
        <f t="shared" si="0"/>
        <v>Izmir, Exports, in pound/ton</v>
      </c>
      <c r="U6" s="7" t="str">
        <f t="shared" si="0"/>
        <v>Izmir, , in pound/ton</v>
      </c>
      <c r="V6" s="7" t="str">
        <f t="shared" si="0"/>
        <v>Alexandretta, Exports, in pound/ton</v>
      </c>
      <c r="W6" s="7" t="str">
        <f t="shared" si="0"/>
        <v>Ispahan, Exports, in pound/ton</v>
      </c>
      <c r="X6" s="7" t="str">
        <f t="shared" si="0"/>
        <v>Yezd, Exports, in pound/ton</v>
      </c>
      <c r="Y6" s="7" t="str">
        <f t="shared" si="0"/>
        <v>Khorasan, Imports, in pound/ton</v>
      </c>
      <c r="Z6" s="7" t="str">
        <f t="shared" si="0"/>
        <v>Khorasan, Exports, in pound/ton</v>
      </c>
      <c r="AA6" s="7" t="str">
        <f t="shared" si="0"/>
        <v>Khorasan, Bazaar (Local), in pound/ton</v>
      </c>
      <c r="AB6" s="7" t="str">
        <f t="shared" si="0"/>
        <v>Kerman, Exports, in pound/ton</v>
      </c>
      <c r="AC6" s="7" t="str">
        <f t="shared" ref="AC6:AO6" si="1">CONCATENATE(AC2,", ",AC4,", ","in ",AC5)</f>
        <v>Resht &amp; Mazandaran, Exports, in pound/ton</v>
      </c>
      <c r="AD6" s="7" t="str">
        <f t="shared" si="1"/>
        <v>Resht and Ghilan &amp; Tunekabun, Bazaar (Local), in pound/ton</v>
      </c>
      <c r="AE6" s="7" t="str">
        <f t="shared" si="1"/>
        <v>Ghilan &amp; Tunekabun, Exports, in pound/ton</v>
      </c>
      <c r="AF6" s="7" t="str">
        <f t="shared" si="1"/>
        <v>Bender Gez &amp; Astarabad, Exports, in pound/ton</v>
      </c>
      <c r="AG6" s="7" t="str">
        <f t="shared" si="1"/>
        <v>Bahrain, Imports, in pound/ton</v>
      </c>
      <c r="AH6" s="7" t="str">
        <f t="shared" si="1"/>
        <v>Bahrain &amp; Muscat, Exports, in pound/ton</v>
      </c>
      <c r="AI6" s="7" t="str">
        <f t="shared" si="1"/>
        <v>Mohammerah, Exports, in pound/ton</v>
      </c>
      <c r="AJ6" s="7" t="str">
        <f t="shared" si="1"/>
        <v>Lingah, Imports, in pound/ton</v>
      </c>
      <c r="AK6" s="7" t="str">
        <f t="shared" si="1"/>
        <v>Lingah, Exports, in pound/ton</v>
      </c>
      <c r="AL6" s="7" t="str">
        <f t="shared" si="1"/>
        <v>Shiraz, Exports, in pound/ton</v>
      </c>
      <c r="AM6" s="7" t="str">
        <f t="shared" si="1"/>
        <v>India, Imports, in pound/ton</v>
      </c>
      <c r="AN6" s="7" t="str">
        <f t="shared" si="1"/>
        <v>India, Exports, in pound/ton</v>
      </c>
      <c r="AO6" s="7" t="str">
        <f t="shared" si="1"/>
        <v>India, Wholesale, in pound/ton</v>
      </c>
    </row>
    <row r="7" spans="1:41" hidden="1" x14ac:dyDescent="0.25">
      <c r="A7" s="8">
        <v>1840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41" hidden="1" x14ac:dyDescent="0.25">
      <c r="A8" s="8">
        <f t="shared" ref="A8:A71" si="2">A7+1</f>
        <v>1841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41" hidden="1" x14ac:dyDescent="0.25">
      <c r="A9" s="8">
        <f t="shared" si="2"/>
        <v>1842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41" hidden="1" x14ac:dyDescent="0.25">
      <c r="A10" s="8">
        <f t="shared" si="2"/>
        <v>1843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41" hidden="1" x14ac:dyDescent="0.25">
      <c r="A11" s="8">
        <f t="shared" si="2"/>
        <v>1844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1:41" hidden="1" x14ac:dyDescent="0.25">
      <c r="A12" s="8">
        <f t="shared" si="2"/>
        <v>1845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>
        <f>(1/2204.62*2240)*31.8226687499999</f>
        <v>32.333362665674706</v>
      </c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</row>
    <row r="13" spans="1:41" hidden="1" x14ac:dyDescent="0.25">
      <c r="A13" s="8">
        <f t="shared" si="2"/>
        <v>1846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>
        <f>(1/2204.62*2240)*34.6932703125</f>
        <v>35.250031978300107</v>
      </c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</row>
    <row r="14" spans="1:41" hidden="1" x14ac:dyDescent="0.25">
      <c r="A14" s="8">
        <f t="shared" si="2"/>
        <v>1847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>
        <f>(1/2204.62*2240)*39.36825</f>
        <v>40.000036287432756</v>
      </c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</row>
    <row r="15" spans="1:41" hidden="1" x14ac:dyDescent="0.25">
      <c r="A15" s="8">
        <f t="shared" si="2"/>
        <v>1848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>
        <f>(1/2204.62*2240)*32.3147718749999</f>
        <v>32.833363119267617</v>
      </c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41" hidden="1" x14ac:dyDescent="0.25">
      <c r="A16" s="8">
        <f t="shared" si="2"/>
        <v>1849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>
        <f>(1/2204.62*2240)*36.5796656249999</f>
        <v>37.166700383739496</v>
      </c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</row>
    <row r="17" spans="1:40" hidden="1" x14ac:dyDescent="0.25">
      <c r="A17" s="8">
        <f t="shared" si="2"/>
        <v>1850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>
        <f>(1/2204.62*2240)*43.3871</f>
        <v>44.083381262984091</v>
      </c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40" x14ac:dyDescent="0.25">
      <c r="A18" s="8">
        <f t="shared" si="2"/>
        <v>1851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>
        <f>(1/2204.62*2240)*35.4314</f>
        <v>36.000007257486544</v>
      </c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 spans="1:40" x14ac:dyDescent="0.25">
      <c r="A19" s="8">
        <f t="shared" si="2"/>
        <v>1852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>
        <f>(1/2204.62*2240)*36.0876</f>
        <v>36.666738031951084</v>
      </c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40" x14ac:dyDescent="0.25">
      <c r="A20" s="8">
        <f t="shared" si="2"/>
        <v>1853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>
        <f>(1/2204.62*2240)*47.98</f>
        <v>48.749988660177259</v>
      </c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40" x14ac:dyDescent="0.25">
      <c r="A21" s="8">
        <f t="shared" si="2"/>
        <v>1854</v>
      </c>
      <c r="C21" s="1">
        <v>50.931138031789246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>
        <f>(1/2204.62*2240)*43.3051</f>
        <v>44.000065317378962</v>
      </c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40" x14ac:dyDescent="0.25">
      <c r="A22" s="8">
        <f t="shared" si="2"/>
        <v>1855</v>
      </c>
      <c r="C22" s="1">
        <v>52.369578216521809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>
        <f>(1/2204.62*2240)*48.7182</f>
        <v>49.500035380246935</v>
      </c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40" x14ac:dyDescent="0.25">
      <c r="A23" s="8">
        <f t="shared" si="2"/>
        <v>1856</v>
      </c>
      <c r="C23" s="1">
        <v>57.861914480692192</v>
      </c>
      <c r="D23" s="1"/>
      <c r="E23" s="1"/>
      <c r="F23" s="1"/>
      <c r="G23" s="1"/>
      <c r="H23" s="1"/>
      <c r="I23" s="1"/>
      <c r="J23" s="3"/>
      <c r="K23" s="1"/>
      <c r="L23" s="1"/>
      <c r="M23" s="1"/>
      <c r="N23" s="1"/>
      <c r="O23" s="1"/>
      <c r="P23" s="1"/>
      <c r="Q23" s="1"/>
      <c r="R23" s="1"/>
      <c r="S23" s="1"/>
      <c r="T23" s="1"/>
      <c r="U23" s="1">
        <f>(1/2204.62*2240)*53.1061</f>
        <v>53.958352913427255</v>
      </c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40" x14ac:dyDescent="0.25">
      <c r="A24" s="8">
        <f t="shared" si="2"/>
        <v>1857</v>
      </c>
      <c r="C24" s="1">
        <v>67.6835794192544</v>
      </c>
      <c r="D24" s="1"/>
      <c r="E24" s="1"/>
      <c r="F24" s="1"/>
      <c r="G24" s="1"/>
      <c r="H24" s="1"/>
      <c r="I24" s="1"/>
      <c r="J24" s="3"/>
      <c r="K24" s="1"/>
      <c r="L24" s="1"/>
      <c r="M24" s="1"/>
      <c r="N24" s="1"/>
      <c r="O24" s="1"/>
      <c r="P24" s="1"/>
      <c r="Q24" s="1"/>
      <c r="R24" s="1"/>
      <c r="S24" s="1"/>
      <c r="T24" s="1"/>
      <c r="U24" s="1">
        <f>(1/2204.62*2240)*57.494</f>
        <v>58.416670446607576</v>
      </c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40" x14ac:dyDescent="0.25">
      <c r="A25" s="8">
        <f t="shared" si="2"/>
        <v>1858</v>
      </c>
      <c r="C25" s="1">
        <v>65.200481895461252</v>
      </c>
      <c r="D25" s="1"/>
      <c r="E25" s="1"/>
      <c r="F25" s="1"/>
      <c r="G25" s="1"/>
      <c r="H25" s="1"/>
      <c r="I25" s="1"/>
      <c r="J25" s="3"/>
      <c r="K25" s="3"/>
      <c r="L25" s="1"/>
      <c r="M25" s="1"/>
      <c r="N25" s="1"/>
      <c r="O25" s="1"/>
      <c r="P25" s="1"/>
      <c r="Q25" s="1"/>
      <c r="R25" s="1"/>
      <c r="S25" s="1"/>
      <c r="T25" s="1"/>
      <c r="U25" s="1">
        <f>(1/2204.62*2240)*25.4253</f>
        <v>25.833328192613692</v>
      </c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40" x14ac:dyDescent="0.25">
      <c r="A26" s="8">
        <f t="shared" si="2"/>
        <v>1859</v>
      </c>
      <c r="C26" s="1">
        <v>63.143780322374681</v>
      </c>
      <c r="D26" s="1"/>
      <c r="E26" s="1"/>
      <c r="F26" s="1"/>
      <c r="G26" s="1"/>
      <c r="H26" s="1"/>
      <c r="I26" s="1"/>
      <c r="J26" s="3"/>
      <c r="K26" s="1"/>
      <c r="L26" s="1"/>
      <c r="M26" s="1"/>
      <c r="N26" s="1"/>
      <c r="O26" s="1"/>
      <c r="P26" s="1"/>
      <c r="Q26" s="1"/>
      <c r="R26" s="1"/>
      <c r="S26" s="1"/>
      <c r="T26" s="1"/>
      <c r="U26" s="1">
        <f>(1/2204.62*2240)*22.73</f>
        <v>23.094773702497481</v>
      </c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40" x14ac:dyDescent="0.25">
      <c r="A27" s="8">
        <f t="shared" si="2"/>
        <v>1860</v>
      </c>
      <c r="C27" s="1">
        <v>57.58375050023794</v>
      </c>
      <c r="D27" s="1"/>
      <c r="E27" s="1"/>
      <c r="F27" s="1"/>
      <c r="G27" s="1"/>
      <c r="H27" s="1"/>
      <c r="I27" s="1"/>
      <c r="J27" s="3">
        <f>2240*0.0197621227370374</f>
        <v>44.267154930963777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>
        <f>(1/2204.62*2240)*25.01</f>
        <v>25.411363409567183</v>
      </c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40" x14ac:dyDescent="0.25">
      <c r="A28" s="8">
        <f t="shared" si="2"/>
        <v>1861</v>
      </c>
      <c r="C28" s="1">
        <v>68.881991197067322</v>
      </c>
      <c r="D28" s="1"/>
      <c r="E28" s="1"/>
      <c r="F28" s="1"/>
      <c r="G28" s="1"/>
      <c r="H28" s="1"/>
      <c r="I28" s="1"/>
      <c r="J28" s="3">
        <f>2240*0.0228343763966512</f>
        <v>51.149003128498691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>
        <f>(1/2204.62*2240)*27.3</f>
        <v>27.738113597808237</v>
      </c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N28" s="1">
        <v>37.70899959444975</v>
      </c>
    </row>
    <row r="29" spans="1:40" x14ac:dyDescent="0.25">
      <c r="A29" s="8">
        <f t="shared" si="2"/>
        <v>1862</v>
      </c>
      <c r="C29" s="1">
        <v>132.92360761835465</v>
      </c>
      <c r="D29" s="1"/>
      <c r="E29" s="1"/>
      <c r="F29" s="1"/>
      <c r="G29" s="1"/>
      <c r="H29" s="1"/>
      <c r="I29" s="1"/>
      <c r="J29" s="3">
        <f>2240*0.0407186275893708</f>
        <v>91.209725800190597</v>
      </c>
      <c r="K29" s="3">
        <f>2240*0.0411711425580219</f>
        <v>92.223359329969057</v>
      </c>
      <c r="L29" s="1"/>
      <c r="M29" s="1"/>
      <c r="N29" s="1"/>
      <c r="O29" s="1"/>
      <c r="P29" s="1"/>
      <c r="Q29" s="1"/>
      <c r="R29" s="1"/>
      <c r="S29" s="1"/>
      <c r="T29" s="1"/>
      <c r="U29" s="1">
        <f>(1/2204.62*2240)*137.133</f>
        <v>139.33372644718818</v>
      </c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N29" s="1">
        <v>56.322602546276173</v>
      </c>
    </row>
    <row r="30" spans="1:40" x14ac:dyDescent="0.25">
      <c r="A30" s="8">
        <f t="shared" si="2"/>
        <v>1863</v>
      </c>
      <c r="C30" s="1">
        <v>188.14404533993084</v>
      </c>
      <c r="D30" s="1"/>
      <c r="E30" s="1"/>
      <c r="F30" s="1"/>
      <c r="G30" s="1"/>
      <c r="H30" s="1"/>
      <c r="I30" s="1"/>
      <c r="J30" s="3">
        <f>2240*0.0545513675557002</f>
        <v>122.19506332476844</v>
      </c>
      <c r="K30" s="3">
        <f>2240*0.0545513675557002</f>
        <v>122.19506332476844</v>
      </c>
      <c r="L30" s="1"/>
      <c r="M30" s="1"/>
      <c r="N30" s="1"/>
      <c r="O30" s="1"/>
      <c r="P30" s="1"/>
      <c r="Q30" s="1"/>
      <c r="R30" s="1"/>
      <c r="S30" s="1"/>
      <c r="T30" s="1"/>
      <c r="U30" s="1">
        <f>(1/2204.62*2240)*156.161</f>
        <v>158.66709002004879</v>
      </c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N30" s="1">
        <v>100.62043755974622</v>
      </c>
    </row>
    <row r="31" spans="1:40" x14ac:dyDescent="0.25">
      <c r="A31" s="8">
        <f t="shared" si="2"/>
        <v>1864</v>
      </c>
      <c r="C31" s="1">
        <v>195.96352875846935</v>
      </c>
      <c r="D31" s="1">
        <f>2240*0.0331172979615818</f>
        <v>74.18274743394322</v>
      </c>
      <c r="E31" s="1"/>
      <c r="F31" s="1"/>
      <c r="G31" s="1">
        <f>2240*0.0583333333333333</f>
        <v>130.6666666666666</v>
      </c>
      <c r="H31" s="1"/>
      <c r="I31" s="1"/>
      <c r="J31" s="1"/>
      <c r="K31" s="3"/>
      <c r="L31" s="1"/>
      <c r="M31" s="1"/>
      <c r="N31" s="1"/>
      <c r="O31" s="1"/>
      <c r="P31" s="1"/>
      <c r="Q31" s="1"/>
      <c r="R31" s="1"/>
      <c r="S31" s="1"/>
      <c r="T31" s="3"/>
      <c r="U31" s="1">
        <f>(1/2204.62*2240)*159.852</f>
        <v>162.41732362039716</v>
      </c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N31" s="1">
        <v>160.17130876857561</v>
      </c>
    </row>
    <row r="32" spans="1:40" x14ac:dyDescent="0.25">
      <c r="A32" s="8">
        <f t="shared" si="2"/>
        <v>1865</v>
      </c>
      <c r="C32" s="1">
        <v>151.19999999999999</v>
      </c>
      <c r="D32" s="1"/>
      <c r="E32" s="1"/>
      <c r="F32" s="1"/>
      <c r="G32" s="1">
        <f>2240*0.0583333333333333</f>
        <v>130.6666666666666</v>
      </c>
      <c r="H32" s="1"/>
      <c r="I32" s="1"/>
      <c r="J32" s="1"/>
      <c r="K32" s="3">
        <f>2240*0.0499935302490266</f>
        <v>111.98550775781958</v>
      </c>
      <c r="L32" s="1"/>
      <c r="M32" s="1"/>
      <c r="N32" s="1"/>
      <c r="O32" s="1"/>
      <c r="P32" s="1"/>
      <c r="Q32" s="1"/>
      <c r="R32" s="1"/>
      <c r="S32" s="1"/>
      <c r="T32" s="3">
        <v>128.65232424203094</v>
      </c>
      <c r="U32" s="1">
        <f>(1/2204.62*2240)*119.417</f>
        <v>121.33341800400976</v>
      </c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N32" s="1">
        <v>93.298037788592438</v>
      </c>
    </row>
    <row r="33" spans="1:41" x14ac:dyDescent="0.25">
      <c r="A33" s="8">
        <f t="shared" si="2"/>
        <v>1866</v>
      </c>
      <c r="C33" s="1">
        <v>126</v>
      </c>
      <c r="D33" s="1">
        <f>2240*0.0299514825987258</f>
        <v>67.091321021145788</v>
      </c>
      <c r="E33" s="1"/>
      <c r="F33" s="1">
        <f>2240*0.0329544951351476</f>
        <v>73.818069102730632</v>
      </c>
      <c r="G33" s="3">
        <f>2240*0.0319444444444444</f>
        <v>71.555555555555458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3">
        <v>77.587866366058606</v>
      </c>
      <c r="U33" s="1">
        <f>(1/2204.62*2240)*91.8593</f>
        <v>93.333468806415624</v>
      </c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N33" s="1">
        <v>111.45870448422698</v>
      </c>
    </row>
    <row r="34" spans="1:41" x14ac:dyDescent="0.25">
      <c r="A34" s="8">
        <f t="shared" si="2"/>
        <v>1867</v>
      </c>
      <c r="C34" s="1">
        <v>92.2</v>
      </c>
      <c r="D34" s="1">
        <f>2240*0.020564297200313</f>
        <v>46.064025728701125</v>
      </c>
      <c r="E34" s="1"/>
      <c r="F34" s="1"/>
      <c r="G34" s="3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3"/>
      <c r="U34" s="1">
        <f>(1/2204.62*2240)*80.3768</f>
        <v>81.66669630140342</v>
      </c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N34" s="1">
        <v>72.946575997219071</v>
      </c>
    </row>
    <row r="35" spans="1:41" x14ac:dyDescent="0.25">
      <c r="A35" s="8">
        <f t="shared" si="2"/>
        <v>1868</v>
      </c>
      <c r="C35" s="1">
        <v>93.000000000000014</v>
      </c>
      <c r="D35" s="1">
        <f>2240*0.0176114832532677</f>
        <v>39.449722487319647</v>
      </c>
      <c r="E35" s="1"/>
      <c r="F35" s="1"/>
      <c r="G35" s="3">
        <f>2240*0.0333333333333333</f>
        <v>74.666666666666586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3">
        <v>35.288499462715478</v>
      </c>
      <c r="U35" s="1">
        <f>(1/2204.62*2240)*73.4874</f>
        <v>74.666734403207798</v>
      </c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N35" s="1">
        <v>62.354972385053273</v>
      </c>
    </row>
    <row r="36" spans="1:41" x14ac:dyDescent="0.25">
      <c r="A36" s="8">
        <f t="shared" si="2"/>
        <v>1869</v>
      </c>
      <c r="C36" s="1">
        <v>104.2</v>
      </c>
      <c r="D36" s="1">
        <f>2240*0.020344706582448</f>
        <v>45.572142744683518</v>
      </c>
      <c r="E36" s="1">
        <f>2240*0.0224656733982459</f>
        <v>50.323108412070816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>
        <v>40</v>
      </c>
      <c r="R36" s="1"/>
      <c r="S36" s="1"/>
      <c r="T36" s="3">
        <v>70.669324130361346</v>
      </c>
      <c r="U36" s="1">
        <f>(1/2204.62*2240)*91.8593</f>
        <v>93.333468806415624</v>
      </c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N36" s="1">
        <v>65.242224828628878</v>
      </c>
    </row>
    <row r="37" spans="1:41" x14ac:dyDescent="0.25">
      <c r="A37" s="8">
        <f t="shared" si="2"/>
        <v>1870</v>
      </c>
      <c r="C37" s="1">
        <v>89.4</v>
      </c>
      <c r="D37" s="1">
        <f>2240*0.00447930062677763</f>
        <v>10.033633403981892</v>
      </c>
      <c r="E37" s="1">
        <f>2240*0.0264122748134911</f>
        <v>59.163495582220065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>
        <v>40</v>
      </c>
      <c r="R37" s="1"/>
      <c r="S37" s="1"/>
      <c r="T37" s="14"/>
      <c r="U37" s="1">
        <f>(1/2204.62*2240)*64.2195</f>
        <v>65.250102058404622</v>
      </c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N37" s="1">
        <v>79.3095805844371</v>
      </c>
    </row>
    <row r="38" spans="1:41" x14ac:dyDescent="0.25">
      <c r="A38" s="8">
        <f t="shared" si="2"/>
        <v>1871</v>
      </c>
      <c r="C38" s="1">
        <v>70.400000000000006</v>
      </c>
      <c r="D38" s="1"/>
      <c r="E38" s="1"/>
      <c r="F38" s="1"/>
      <c r="H38" s="1"/>
      <c r="I38" s="1"/>
      <c r="J38" s="1"/>
      <c r="K38" s="1"/>
      <c r="L38" s="1"/>
      <c r="M38" s="1">
        <f>2240*0.021875</f>
        <v>49</v>
      </c>
      <c r="N38" s="1"/>
      <c r="O38" s="1"/>
      <c r="P38" s="1"/>
      <c r="Q38" s="1">
        <v>40</v>
      </c>
      <c r="R38" s="1"/>
      <c r="S38" s="1"/>
      <c r="T38" s="3">
        <v>20.735714285714284</v>
      </c>
      <c r="U38" s="1">
        <f>(1/2204.62*2240)*82.6733</f>
        <v>84.000050802405852</v>
      </c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N38" s="1">
        <v>64.725131759869257</v>
      </c>
    </row>
    <row r="39" spans="1:41" x14ac:dyDescent="0.25">
      <c r="A39" s="8">
        <f t="shared" si="2"/>
        <v>1872</v>
      </c>
      <c r="C39" s="1">
        <v>84.800000000000011</v>
      </c>
      <c r="D39" s="1"/>
      <c r="E39" s="1"/>
      <c r="F39" s="1"/>
      <c r="G39" s="1"/>
      <c r="H39" s="1"/>
      <c r="I39" s="1"/>
      <c r="J39" s="1"/>
      <c r="K39" s="1"/>
      <c r="L39" s="1"/>
      <c r="M39" s="1">
        <f>2240*0.0234375</f>
        <v>52.5</v>
      </c>
      <c r="N39" s="1"/>
      <c r="O39" s="1"/>
      <c r="P39" s="1"/>
      <c r="Q39" s="1">
        <v>40</v>
      </c>
      <c r="R39" s="1"/>
      <c r="S39" s="1"/>
      <c r="T39" s="3">
        <v>72.443284936479131</v>
      </c>
      <c r="U39" s="1">
        <f>(1/2204.62*2240)*73.4874</f>
        <v>74.666734403207798</v>
      </c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N39" s="1">
        <v>62.13158962889414</v>
      </c>
    </row>
    <row r="40" spans="1:41" x14ac:dyDescent="0.25">
      <c r="A40" s="8">
        <f t="shared" si="2"/>
        <v>1873</v>
      </c>
      <c r="C40" s="1">
        <v>80.2</v>
      </c>
      <c r="D40" s="1"/>
      <c r="E40" s="1"/>
      <c r="F40" s="1"/>
      <c r="G40" s="1"/>
      <c r="H40" s="1"/>
      <c r="I40" s="1"/>
      <c r="J40" s="3">
        <f>2240*0.0210056849785826</f>
        <v>47.052734352025027</v>
      </c>
      <c r="K40" s="1"/>
      <c r="L40" s="1"/>
      <c r="M40" s="1">
        <f>2240*0.021875</f>
        <v>49</v>
      </c>
      <c r="N40" s="1"/>
      <c r="O40" s="1"/>
      <c r="P40" s="1"/>
      <c r="Q40" s="1">
        <v>40</v>
      </c>
      <c r="R40" s="1"/>
      <c r="S40" s="1"/>
      <c r="T40" s="14"/>
      <c r="U40" s="1">
        <f>(1/2204.62*2240)*63.3173</f>
        <v>64.333423447124673</v>
      </c>
      <c r="W40" s="1"/>
      <c r="X40" s="1"/>
      <c r="Y40" s="1"/>
      <c r="Z40" s="1"/>
      <c r="AA40" s="1"/>
      <c r="AB40" s="1"/>
      <c r="AC40" s="1">
        <f>2240*0.0219459459459459</f>
        <v>49.158918918918815</v>
      </c>
      <c r="AD40" s="1"/>
      <c r="AE40" s="1"/>
      <c r="AF40" s="1"/>
      <c r="AG40" s="1"/>
      <c r="AH40" s="1"/>
      <c r="AI40" s="1"/>
      <c r="AJ40" s="1"/>
      <c r="AK40" s="1"/>
      <c r="AN40" s="1">
        <v>67.133429452399582</v>
      </c>
      <c r="AO40" s="1">
        <v>64.005187005186997</v>
      </c>
    </row>
    <row r="41" spans="1:41" x14ac:dyDescent="0.25">
      <c r="A41" s="8">
        <f t="shared" si="2"/>
        <v>1874</v>
      </c>
      <c r="C41" s="1">
        <v>72.400000000000006</v>
      </c>
      <c r="D41" s="1">
        <f>2240*0.0162275046684994</f>
        <v>36.349610457438651</v>
      </c>
      <c r="E41" s="1"/>
      <c r="F41" s="1"/>
      <c r="G41" s="1"/>
      <c r="H41" s="1"/>
      <c r="I41" s="1"/>
      <c r="J41" s="3">
        <f>2240*0.0220559692275117</f>
        <v>49.405371069626206</v>
      </c>
      <c r="K41" s="1"/>
      <c r="L41" s="1"/>
      <c r="M41" s="1"/>
      <c r="N41" s="1"/>
      <c r="O41" s="1"/>
      <c r="P41" s="1"/>
      <c r="Q41" s="1">
        <v>53.333333333333329</v>
      </c>
      <c r="R41" s="1"/>
      <c r="S41" s="1"/>
      <c r="T41" s="3">
        <v>57.023214285714282</v>
      </c>
      <c r="U41" s="1">
        <f>(1/2204.62*2240)*55.1156</f>
        <v>56.000101604811711</v>
      </c>
      <c r="W41" s="1"/>
      <c r="X41" s="1"/>
      <c r="Y41" s="1"/>
      <c r="Z41" s="1"/>
      <c r="AA41" s="1"/>
      <c r="AB41" s="1"/>
      <c r="AC41" s="1">
        <f>2240*0.0173343605546995</f>
        <v>38.828967642526884</v>
      </c>
      <c r="AD41" s="3">
        <f>2240*0.0172549019607843</f>
        <v>38.650980392156832</v>
      </c>
      <c r="AE41" s="1"/>
      <c r="AF41" s="1"/>
      <c r="AG41" s="1"/>
      <c r="AH41" s="1">
        <v>32.923704954954999</v>
      </c>
      <c r="AI41" s="1"/>
      <c r="AJ41" s="1"/>
      <c r="AK41" s="1"/>
      <c r="AN41" s="1">
        <v>58.017297260756493</v>
      </c>
      <c r="AO41" s="1"/>
    </row>
    <row r="42" spans="1:41" x14ac:dyDescent="0.25">
      <c r="A42" s="8">
        <f t="shared" si="2"/>
        <v>1875</v>
      </c>
      <c r="C42" s="1">
        <v>69.400000000000006</v>
      </c>
      <c r="D42" s="1">
        <f>2240*0.0179508076068342</f>
        <v>40.20980903930861</v>
      </c>
      <c r="E42" s="1"/>
      <c r="F42" s="1"/>
      <c r="G42" s="1"/>
      <c r="H42" s="1"/>
      <c r="I42" s="1"/>
      <c r="J42" s="3">
        <f>2240*0.0179204749973533</f>
        <v>40.141863994071393</v>
      </c>
      <c r="K42" s="1"/>
      <c r="L42" s="1"/>
      <c r="M42" s="1"/>
      <c r="N42" s="1"/>
      <c r="O42" s="1"/>
      <c r="P42" s="1"/>
      <c r="Q42" s="1">
        <v>53.333333333333329</v>
      </c>
      <c r="R42" s="1"/>
      <c r="S42" s="1"/>
      <c r="T42" s="3">
        <v>43.930882109855723</v>
      </c>
      <c r="U42" s="1">
        <f>(1/2204.62*2240)*45.9296</f>
        <v>46.666683600801953</v>
      </c>
      <c r="W42" s="1"/>
      <c r="X42" s="1"/>
      <c r="Y42" s="1"/>
      <c r="Z42" s="1"/>
      <c r="AA42" s="1"/>
      <c r="AB42" s="1"/>
      <c r="AC42" s="1">
        <f>2240*0.0181008403361345</f>
        <v>40.545882352941277</v>
      </c>
      <c r="AD42" s="3">
        <f>2240*0.0205357142857143</f>
        <v>46.000000000000028</v>
      </c>
      <c r="AE42" s="1"/>
      <c r="AF42" s="1"/>
      <c r="AG42" s="1"/>
      <c r="AH42" s="1">
        <v>26.974147982387603</v>
      </c>
      <c r="AI42" s="1"/>
      <c r="AJ42" s="1"/>
      <c r="AK42" s="1"/>
      <c r="AN42" s="1">
        <v>54.461256135023739</v>
      </c>
      <c r="AO42" s="1"/>
    </row>
    <row r="43" spans="1:41" x14ac:dyDescent="0.25">
      <c r="A43" s="8">
        <f t="shared" si="2"/>
        <v>1876</v>
      </c>
      <c r="C43" s="1">
        <v>60.4</v>
      </c>
      <c r="D43" s="1"/>
      <c r="E43" s="1"/>
      <c r="F43" s="1"/>
      <c r="G43" s="1"/>
      <c r="H43" s="1"/>
      <c r="I43" s="1"/>
      <c r="J43" s="3"/>
      <c r="K43" s="1"/>
      <c r="L43" s="1"/>
      <c r="M43" s="1"/>
      <c r="N43" s="1"/>
      <c r="O43" s="1"/>
      <c r="P43" s="1"/>
      <c r="Q43" s="1"/>
      <c r="R43" s="3">
        <v>39.478343779265451</v>
      </c>
      <c r="S43" s="3">
        <v>45.424616056577165</v>
      </c>
      <c r="T43" s="3">
        <v>48.363827544132548</v>
      </c>
      <c r="U43" s="1">
        <f>(1/2204.62*2240)*52.6278</f>
        <v>53.472377099001186</v>
      </c>
      <c r="W43" s="1"/>
      <c r="X43" s="1"/>
      <c r="Y43" s="1"/>
      <c r="Z43" s="1"/>
      <c r="AA43" s="1"/>
      <c r="AB43" s="1"/>
      <c r="AC43" s="1"/>
      <c r="AD43" s="3">
        <f>2240*0.0147321428571429</f>
        <v>33.000000000000099</v>
      </c>
      <c r="AE43" s="1"/>
      <c r="AF43" s="1"/>
      <c r="AG43" s="1"/>
      <c r="AH43" s="1">
        <v>25.017781205643001</v>
      </c>
      <c r="AI43" s="1"/>
      <c r="AJ43" s="1"/>
      <c r="AK43" s="1"/>
      <c r="AN43" s="1">
        <v>50.019138274550848</v>
      </c>
      <c r="AO43" s="1"/>
    </row>
    <row r="44" spans="1:41" x14ac:dyDescent="0.25">
      <c r="A44" s="8">
        <f t="shared" si="2"/>
        <v>1877</v>
      </c>
      <c r="C44" s="1">
        <v>58.6</v>
      </c>
      <c r="D44" s="1">
        <f>2240*0.0152169202414256</f>
        <v>34.085901340793342</v>
      </c>
      <c r="E44" s="1"/>
      <c r="G44" s="1"/>
      <c r="H44" s="1"/>
      <c r="I44" s="1"/>
      <c r="J44" s="3"/>
      <c r="K44" s="1"/>
      <c r="L44" s="1"/>
      <c r="M44" s="1"/>
      <c r="N44" s="1"/>
      <c r="O44" s="1"/>
      <c r="P44" s="1"/>
      <c r="Q44" s="1"/>
      <c r="R44" s="3">
        <v>46.221539145289043</v>
      </c>
      <c r="S44" s="3">
        <v>49.654438604355605</v>
      </c>
      <c r="T44" s="3"/>
      <c r="U44" s="1">
        <f>(1/2204.62*2240)*57.5284</f>
        <v>58.451622501837043</v>
      </c>
      <c r="V44" s="1"/>
      <c r="W44" s="1"/>
      <c r="X44" s="1"/>
      <c r="Y44" s="1"/>
      <c r="Z44" s="1"/>
      <c r="AA44" s="1"/>
      <c r="AB44" s="1"/>
      <c r="AC44" s="1"/>
      <c r="AE44" s="1"/>
      <c r="AF44" s="1"/>
      <c r="AG44" s="1"/>
      <c r="AH44" s="1">
        <v>24.758061518109802</v>
      </c>
      <c r="AI44" s="1"/>
      <c r="AJ44" s="1"/>
      <c r="AK44" s="1"/>
      <c r="AN44" s="1">
        <v>52.673788614885112</v>
      </c>
      <c r="AO44" s="1"/>
    </row>
    <row r="45" spans="1:41" x14ac:dyDescent="0.25">
      <c r="A45" s="8">
        <f t="shared" si="2"/>
        <v>1878</v>
      </c>
      <c r="C45" s="1">
        <v>55.999999999999993</v>
      </c>
      <c r="D45" s="1">
        <f>2240*0.00301020408163265</f>
        <v>6.7428571428571367</v>
      </c>
      <c r="E45" s="1"/>
      <c r="G45" s="1"/>
      <c r="H45" s="1"/>
      <c r="I45" s="1"/>
      <c r="J45" s="3"/>
      <c r="K45" s="1"/>
      <c r="L45" s="1"/>
      <c r="M45" s="1"/>
      <c r="N45" s="1"/>
      <c r="O45" s="1"/>
      <c r="P45" s="1"/>
      <c r="Q45" s="1"/>
      <c r="R45" s="3">
        <v>44.355088421834061</v>
      </c>
      <c r="S45" s="3">
        <v>47.064695417058978</v>
      </c>
      <c r="T45" s="3"/>
      <c r="U45" s="1">
        <f>(1/2204.62*2240)*56.7472</f>
        <v>57.657885712730533</v>
      </c>
      <c r="V45" s="1">
        <v>51.99999999999995</v>
      </c>
      <c r="W45" s="1"/>
      <c r="X45" s="1"/>
      <c r="Y45" s="1"/>
      <c r="Z45" s="1"/>
      <c r="AA45" s="1"/>
      <c r="AB45" s="1"/>
      <c r="AE45" s="1"/>
      <c r="AF45" s="1"/>
      <c r="AG45" s="1"/>
      <c r="AH45" s="1">
        <v>23.741767088631999</v>
      </c>
      <c r="AI45" s="1"/>
      <c r="AJ45" s="1"/>
      <c r="AK45" s="1"/>
      <c r="AN45" s="1">
        <v>48.723339719647981</v>
      </c>
      <c r="AO45" s="1"/>
    </row>
    <row r="46" spans="1:41" x14ac:dyDescent="0.25">
      <c r="A46" s="8">
        <f t="shared" si="2"/>
        <v>1879</v>
      </c>
      <c r="C46" s="1">
        <v>55.199999999999996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">
        <v>43.757207747887684</v>
      </c>
      <c r="S46" s="3">
        <v>45.573102580798697</v>
      </c>
      <c r="T46" s="3"/>
      <c r="U46" s="1">
        <f>(1/2204.62*2240)*55.2557</f>
        <v>56.142449946022438</v>
      </c>
      <c r="V46" s="1">
        <v>56.119047619047571</v>
      </c>
      <c r="W46" s="1"/>
      <c r="X46" s="1"/>
      <c r="Y46" s="1"/>
      <c r="Z46" s="1"/>
      <c r="AA46" s="1"/>
      <c r="AB46" s="1"/>
      <c r="AE46" s="1"/>
      <c r="AF46" s="1"/>
      <c r="AG46" s="1"/>
      <c r="AH46" s="1">
        <v>33.852890118396203</v>
      </c>
      <c r="AI46" s="1"/>
      <c r="AJ46" s="1"/>
      <c r="AK46" s="1"/>
      <c r="AN46" s="1">
        <v>48.868662062639274</v>
      </c>
      <c r="AO46" s="1"/>
    </row>
    <row r="47" spans="1:41" x14ac:dyDescent="0.25">
      <c r="A47" s="8">
        <f t="shared" si="2"/>
        <v>1880</v>
      </c>
      <c r="C47" s="1">
        <v>58.8</v>
      </c>
      <c r="D47" s="1"/>
      <c r="E47" s="1"/>
      <c r="F47" s="1"/>
      <c r="G47" s="1"/>
      <c r="H47" s="1"/>
      <c r="I47" s="1"/>
      <c r="J47" s="3"/>
      <c r="K47" s="3"/>
      <c r="L47" s="1"/>
      <c r="M47" s="1"/>
      <c r="N47" s="1"/>
      <c r="O47" s="1"/>
      <c r="P47" s="1"/>
      <c r="Q47" s="1"/>
      <c r="R47" s="3">
        <v>59.926279625667441</v>
      </c>
      <c r="S47" s="3">
        <v>65.833501964064581</v>
      </c>
      <c r="T47" s="3"/>
      <c r="U47" s="1">
        <f>(1/2204.62*2240)*65.696</f>
        <v>66.750297103355678</v>
      </c>
      <c r="V47" s="1">
        <v>49.99999999999995</v>
      </c>
      <c r="W47" s="1"/>
      <c r="X47" s="1"/>
      <c r="Y47" s="1"/>
      <c r="Z47" s="1"/>
      <c r="AA47" s="1"/>
      <c r="AB47" s="1"/>
      <c r="AD47" s="1"/>
      <c r="AE47" s="1"/>
      <c r="AF47" s="1"/>
      <c r="AG47" s="1"/>
      <c r="AH47" s="1">
        <v>29.500768855672401</v>
      </c>
      <c r="AI47" s="1"/>
      <c r="AJ47" s="1"/>
      <c r="AK47" s="1"/>
      <c r="AN47" s="1">
        <v>54.846983567403811</v>
      </c>
      <c r="AO47" s="1"/>
    </row>
    <row r="48" spans="1:41" x14ac:dyDescent="0.25">
      <c r="A48" s="8">
        <f t="shared" si="2"/>
        <v>1881</v>
      </c>
      <c r="C48" s="1">
        <v>58.4</v>
      </c>
      <c r="D48" s="1"/>
      <c r="E48" s="1"/>
      <c r="F48" s="1"/>
      <c r="G48" s="1"/>
      <c r="H48" s="1"/>
      <c r="I48" s="1"/>
      <c r="J48" s="3"/>
      <c r="K48" s="1"/>
      <c r="L48" s="1"/>
      <c r="M48" s="1"/>
      <c r="N48" s="1"/>
      <c r="O48" s="1"/>
      <c r="P48" s="1"/>
      <c r="Q48" s="1"/>
      <c r="R48" s="3">
        <v>48.040663595398485</v>
      </c>
      <c r="S48" s="3">
        <v>52.524458864302346</v>
      </c>
      <c r="T48" s="3"/>
      <c r="U48" s="1">
        <f>(1/2204.62*2240)*52.4148</f>
        <v>53.25595885005125</v>
      </c>
      <c r="V48" s="1">
        <v>49.99999999999995</v>
      </c>
      <c r="W48" s="1"/>
      <c r="X48" s="1"/>
      <c r="Y48" s="1"/>
      <c r="Z48" s="1"/>
      <c r="AA48" s="1"/>
      <c r="AB48" s="1"/>
      <c r="AD48" s="1"/>
      <c r="AE48" s="1"/>
      <c r="AF48" s="1"/>
      <c r="AG48" s="1"/>
      <c r="AH48" s="1">
        <v>35.0198122157528</v>
      </c>
      <c r="AI48" s="1"/>
      <c r="AJ48" s="1"/>
      <c r="AK48" s="1"/>
      <c r="AN48" s="1">
        <v>54.076030695455401</v>
      </c>
      <c r="AO48" s="1"/>
    </row>
    <row r="49" spans="1:41" x14ac:dyDescent="0.25">
      <c r="A49" s="8">
        <f t="shared" si="2"/>
        <v>1882</v>
      </c>
      <c r="C49" s="1">
        <v>58.6</v>
      </c>
      <c r="D49" s="1"/>
      <c r="E49" s="1"/>
      <c r="F49" s="1"/>
      <c r="G49" s="1"/>
      <c r="H49" s="1"/>
      <c r="I49" s="1"/>
      <c r="J49" s="3"/>
      <c r="K49" s="1"/>
      <c r="L49" s="1"/>
      <c r="M49" s="1"/>
      <c r="N49" s="1"/>
      <c r="O49" s="1"/>
      <c r="P49" s="1"/>
      <c r="Q49" s="1"/>
      <c r="R49" s="3">
        <v>52.524458864302346</v>
      </c>
      <c r="S49" s="3">
        <v>58.716366616598151</v>
      </c>
      <c r="T49" s="3">
        <v>51.933156853281858</v>
      </c>
      <c r="U49" s="1">
        <f>(1/2204.62*2240)*58.5938</f>
        <v>59.534120165833563</v>
      </c>
      <c r="V49" s="1">
        <v>49.019607843137209</v>
      </c>
      <c r="W49" s="1"/>
      <c r="X49" s="1"/>
      <c r="Y49" s="1"/>
      <c r="Z49" s="1"/>
      <c r="AA49" s="1"/>
      <c r="AB49" s="1"/>
      <c r="AD49" s="1"/>
      <c r="AE49" s="1"/>
      <c r="AF49" s="1"/>
      <c r="AG49" s="1"/>
      <c r="AH49" s="1">
        <v>8.0717230648902607</v>
      </c>
      <c r="AI49" s="1"/>
      <c r="AJ49" s="1"/>
      <c r="AK49" s="1"/>
      <c r="AN49" s="1">
        <v>50.107432185228362</v>
      </c>
      <c r="AO49" s="1"/>
    </row>
    <row r="50" spans="1:41" x14ac:dyDescent="0.25">
      <c r="A50" s="8">
        <f t="shared" si="2"/>
        <v>1883</v>
      </c>
      <c r="C50" s="1">
        <v>58.20000000000001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>
        <v>40</v>
      </c>
      <c r="Q50" s="1"/>
      <c r="R50" s="3"/>
      <c r="S50" s="3"/>
      <c r="T50" s="3">
        <v>46.674163953488367</v>
      </c>
      <c r="U50" s="1">
        <f>(1/2204.62*2240)*56.1072</f>
        <v>57.007614917763604</v>
      </c>
      <c r="V50" s="1">
        <v>50.026490066225115</v>
      </c>
      <c r="W50" s="1"/>
      <c r="X50" s="1"/>
      <c r="Y50" s="1"/>
      <c r="Z50" s="1"/>
      <c r="AA50" s="1"/>
      <c r="AB50" s="1"/>
      <c r="AD50" s="1"/>
      <c r="AE50" s="1"/>
      <c r="AF50" s="1"/>
      <c r="AG50" s="1"/>
      <c r="AH50" s="1">
        <v>9.3494676511821204</v>
      </c>
      <c r="AI50" s="1"/>
      <c r="AJ50" s="1"/>
      <c r="AK50" s="1"/>
      <c r="AN50" s="1">
        <v>44.889346113824601</v>
      </c>
      <c r="AO50" s="1"/>
    </row>
    <row r="51" spans="1:41" x14ac:dyDescent="0.25">
      <c r="A51" s="8">
        <f t="shared" si="2"/>
        <v>1884</v>
      </c>
      <c r="C51" s="1">
        <v>57</v>
      </c>
      <c r="D51" s="1"/>
      <c r="E51" s="1">
        <f>2240*0.015707671957672</f>
        <v>35.185185185185283</v>
      </c>
      <c r="F51" s="1"/>
      <c r="G51" s="1"/>
      <c r="H51" s="3">
        <f>20*0.381818181818182</f>
        <v>7.6363636363636402</v>
      </c>
      <c r="I51" s="3"/>
      <c r="J51" s="1"/>
      <c r="K51" s="1"/>
      <c r="L51" s="1"/>
      <c r="M51" s="3"/>
      <c r="N51" s="1"/>
      <c r="O51" s="1"/>
      <c r="P51" s="1">
        <v>40</v>
      </c>
      <c r="Q51" s="3">
        <v>40</v>
      </c>
      <c r="R51" s="3"/>
      <c r="S51" s="3"/>
      <c r="T51" s="3">
        <v>47.296060568316044</v>
      </c>
      <c r="U51" s="1">
        <f>(1/2204.62*2240)*53.6222</f>
        <v>54.482735346681054</v>
      </c>
      <c r="V51" s="1"/>
      <c r="W51" s="3"/>
      <c r="X51" s="1"/>
      <c r="Y51" s="1"/>
      <c r="Z51" s="1"/>
      <c r="AA51" s="1"/>
      <c r="AB51" s="3"/>
      <c r="AD51" s="1"/>
      <c r="AE51" s="3"/>
      <c r="AF51" s="1"/>
      <c r="AG51" s="1"/>
      <c r="AH51" s="1">
        <v>32.013274528547797</v>
      </c>
      <c r="AI51" s="1"/>
      <c r="AJ51" s="1"/>
      <c r="AK51" s="3"/>
      <c r="AN51" s="1">
        <v>45.534567705318757</v>
      </c>
      <c r="AO51" s="1">
        <v>43.960737320112329</v>
      </c>
    </row>
    <row r="52" spans="1:41" x14ac:dyDescent="0.25">
      <c r="A52" s="8">
        <f t="shared" si="2"/>
        <v>1885</v>
      </c>
      <c r="C52" s="1">
        <v>57.199999999999996</v>
      </c>
      <c r="D52" s="1"/>
      <c r="E52" s="1"/>
      <c r="F52" s="1"/>
      <c r="G52" s="1"/>
      <c r="H52" s="1"/>
      <c r="I52" s="1">
        <v>20.298024459078082</v>
      </c>
      <c r="J52" s="1"/>
      <c r="K52" s="1"/>
      <c r="L52" s="1"/>
      <c r="M52" s="1"/>
      <c r="N52" s="1"/>
      <c r="O52" s="1"/>
      <c r="P52" s="1">
        <v>41.428571428571431</v>
      </c>
      <c r="Q52" s="1">
        <v>40</v>
      </c>
      <c r="R52" s="3">
        <v>43.699211033443966</v>
      </c>
      <c r="S52" s="3"/>
      <c r="T52" s="3">
        <v>46.01674651360544</v>
      </c>
      <c r="U52" s="1">
        <f>(1/2204.62*2240)*51.1364</f>
        <v>51.957042937104809</v>
      </c>
      <c r="V52" s="1"/>
      <c r="W52" s="1"/>
      <c r="X52" s="1"/>
      <c r="Y52" s="1"/>
      <c r="Z52" s="1"/>
      <c r="AA52" s="1"/>
      <c r="AB52" s="1"/>
      <c r="AD52" s="1"/>
      <c r="AE52" s="1"/>
      <c r="AF52" s="1"/>
      <c r="AG52" s="1"/>
      <c r="AH52" s="3">
        <f>(1/112*2240)*0.297036748615577</f>
        <v>5.9407349723115397</v>
      </c>
      <c r="AI52" s="1"/>
      <c r="AJ52" s="1"/>
      <c r="AK52" s="1"/>
      <c r="AN52" s="1">
        <v>46.883211521405293</v>
      </c>
      <c r="AO52" s="1">
        <v>44.295691287878789</v>
      </c>
    </row>
    <row r="53" spans="1:41" x14ac:dyDescent="0.25">
      <c r="A53" s="8">
        <f t="shared" si="2"/>
        <v>1886</v>
      </c>
      <c r="C53" s="1">
        <v>49.800000000000004</v>
      </c>
      <c r="D53" s="1"/>
      <c r="E53" s="1"/>
      <c r="F53" s="1"/>
      <c r="G53" s="1"/>
      <c r="H53" s="1"/>
      <c r="I53" s="1">
        <v>19.669976981256166</v>
      </c>
      <c r="J53" s="3"/>
      <c r="K53" s="1"/>
      <c r="L53" s="1"/>
      <c r="M53" s="1"/>
      <c r="N53" s="1"/>
      <c r="P53" s="1">
        <v>40</v>
      </c>
      <c r="Q53" s="1">
        <v>40</v>
      </c>
      <c r="R53" s="3">
        <v>44.411494739815019</v>
      </c>
      <c r="S53" s="3"/>
      <c r="T53" s="3">
        <v>42.645048018677436</v>
      </c>
      <c r="U53" s="1">
        <f>(1/2204.62*2240)*46.1648</f>
        <v>46.905658117952299</v>
      </c>
      <c r="V53" s="1"/>
      <c r="W53" s="1"/>
      <c r="X53" s="1"/>
      <c r="Y53" s="1"/>
      <c r="Z53" s="1"/>
      <c r="AA53" s="1"/>
      <c r="AB53" s="1"/>
      <c r="AD53" s="1"/>
      <c r="AE53" s="1"/>
      <c r="AF53" s="1"/>
      <c r="AG53" s="1"/>
      <c r="AH53" s="1">
        <v>14.63947928176224</v>
      </c>
      <c r="AI53" s="1"/>
      <c r="AJ53" s="1"/>
      <c r="AK53" s="1"/>
      <c r="AN53" s="1">
        <v>41.920012454000762</v>
      </c>
      <c r="AO53" s="1">
        <v>37.586872586872595</v>
      </c>
    </row>
    <row r="54" spans="1:41" x14ac:dyDescent="0.25">
      <c r="A54" s="8">
        <f t="shared" si="2"/>
        <v>1887</v>
      </c>
      <c r="C54" s="1">
        <v>50.199999999999996</v>
      </c>
      <c r="D54" s="1"/>
      <c r="E54" s="1">
        <f>2240*0.0223214285714286</f>
        <v>50.000000000000064</v>
      </c>
      <c r="F54" s="1"/>
      <c r="G54" s="1"/>
      <c r="H54" s="1"/>
      <c r="I54" s="1">
        <v>20.659015324421258</v>
      </c>
      <c r="J54" s="3"/>
      <c r="K54" s="1"/>
      <c r="L54" s="1"/>
      <c r="M54" s="1"/>
      <c r="N54" s="1"/>
      <c r="O54" s="1"/>
      <c r="P54" s="1">
        <v>39.677419354838712</v>
      </c>
      <c r="Q54" s="1">
        <v>40</v>
      </c>
      <c r="R54" s="3">
        <v>44.857046164483954</v>
      </c>
      <c r="S54" s="3"/>
      <c r="T54" s="14"/>
      <c r="U54" s="1">
        <f>(1/2204.62*2240)*50.4261</f>
        <v>51.235343959503219</v>
      </c>
      <c r="V54" s="1">
        <v>41.999999999999964</v>
      </c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>
        <v>16.14778926836804</v>
      </c>
      <c r="AI54" s="1"/>
      <c r="AJ54" s="1">
        <f>(1/112*2240)*2.07960199004975</f>
        <v>41.592039800994996</v>
      </c>
      <c r="AL54" s="1">
        <f>(1/112*2240)*1.27823754005063</f>
        <v>25.5647508010126</v>
      </c>
      <c r="AN54" s="1">
        <v>40.837894338652362</v>
      </c>
      <c r="AO54" s="1">
        <v>40.141369047619051</v>
      </c>
    </row>
    <row r="55" spans="1:41" x14ac:dyDescent="0.25">
      <c r="A55" s="8">
        <f t="shared" si="2"/>
        <v>1888</v>
      </c>
      <c r="C55" s="1">
        <v>51.8</v>
      </c>
      <c r="D55" s="1"/>
      <c r="E55" s="1">
        <f>2240*0.0106026785714286</f>
        <v>23.750000000000064</v>
      </c>
      <c r="F55" s="1"/>
      <c r="G55" s="1"/>
      <c r="H55" s="1"/>
      <c r="I55" s="1">
        <v>21.290193164933136</v>
      </c>
      <c r="J55" s="1"/>
      <c r="K55" s="1"/>
      <c r="L55" s="1"/>
      <c r="M55" s="1"/>
      <c r="N55" s="1"/>
      <c r="O55" s="1"/>
      <c r="P55" s="1">
        <v>40</v>
      </c>
      <c r="Q55" s="1">
        <v>39.928057553956833</v>
      </c>
      <c r="R55" s="3">
        <v>41.989004129543581</v>
      </c>
      <c r="S55" s="3"/>
      <c r="T55" s="3">
        <v>41.471428571428568</v>
      </c>
      <c r="U55" s="1">
        <f>(1/2204.62*2240)*48.2955</f>
        <v>49.070551841133614</v>
      </c>
      <c r="V55" s="1">
        <v>42.210256410256378</v>
      </c>
      <c r="W55" s="1"/>
      <c r="X55" s="1"/>
      <c r="Y55" s="1"/>
      <c r="Z55" s="1"/>
      <c r="AA55" s="3"/>
      <c r="AB55" s="1"/>
      <c r="AC55" s="1"/>
      <c r="AD55" s="1"/>
      <c r="AE55" s="1"/>
      <c r="AF55" s="1"/>
      <c r="AG55" s="1">
        <v>33.079166666666666</v>
      </c>
      <c r="AH55" s="1">
        <v>20.334357709799804</v>
      </c>
      <c r="AI55" s="1"/>
      <c r="AJ55" s="1">
        <f>(1/112*2240)*1.49230769230769</f>
        <v>29.846153846153797</v>
      </c>
      <c r="AL55" s="1">
        <f>(1/112*2240)*1.13559322519771</f>
        <v>22.711864503954203</v>
      </c>
      <c r="AN55" s="1">
        <v>43.212732775731311</v>
      </c>
      <c r="AO55" s="1">
        <v>39.785118925743937</v>
      </c>
    </row>
    <row r="56" spans="1:41" x14ac:dyDescent="0.25">
      <c r="A56" s="8">
        <f t="shared" si="2"/>
        <v>1889</v>
      </c>
      <c r="C56" s="1">
        <v>52.8</v>
      </c>
      <c r="D56" s="1"/>
      <c r="E56" s="1">
        <f>2240*0.015625</f>
        <v>35</v>
      </c>
      <c r="F56" s="1"/>
      <c r="G56" s="1"/>
      <c r="H56" s="1"/>
      <c r="I56" s="1">
        <v>22.396506550218341</v>
      </c>
      <c r="J56" s="3"/>
      <c r="K56" s="1"/>
      <c r="L56" s="1"/>
      <c r="M56" s="1"/>
      <c r="N56" s="1"/>
      <c r="O56" s="1"/>
      <c r="P56" s="1">
        <v>36.721311475409834</v>
      </c>
      <c r="Q56" s="1"/>
      <c r="R56" s="3">
        <v>47.663245460322351</v>
      </c>
      <c r="S56" s="3"/>
      <c r="T56" s="3">
        <v>48.72883308554588</v>
      </c>
      <c r="U56" s="1">
        <f>(1/2204.62*2240)*46.1648</f>
        <v>46.905658117952299</v>
      </c>
      <c r="V56" s="1">
        <v>41.485049833887004</v>
      </c>
      <c r="W56" s="1"/>
      <c r="X56" s="1"/>
      <c r="Y56" s="1"/>
      <c r="Z56" s="1"/>
      <c r="AA56" s="1">
        <f>2240*0.0437500520297756</f>
        <v>98.000116546697356</v>
      </c>
      <c r="AB56" s="1"/>
      <c r="AC56" s="1"/>
      <c r="AD56" s="1"/>
      <c r="AE56" s="1"/>
      <c r="AF56" s="1"/>
      <c r="AG56" s="1">
        <v>35.940067665538905</v>
      </c>
      <c r="AH56" s="1">
        <v>20.157789384678399</v>
      </c>
      <c r="AI56" s="1"/>
      <c r="AJ56" s="1">
        <f>(1/112*2240)*1.36777777777778</f>
        <v>27.3555555555556</v>
      </c>
      <c r="AL56" s="1">
        <f>(1/112*2240)*1.20444975678829</f>
        <v>24.088995135765799</v>
      </c>
      <c r="AN56" s="1">
        <v>43.155922860875648</v>
      </c>
      <c r="AO56" s="1">
        <v>45.788309402939042</v>
      </c>
    </row>
    <row r="57" spans="1:41" x14ac:dyDescent="0.25">
      <c r="A57" s="8">
        <f t="shared" si="2"/>
        <v>1890</v>
      </c>
      <c r="C57" s="1">
        <v>53.399999999999991</v>
      </c>
      <c r="D57" s="1"/>
      <c r="E57" s="1"/>
      <c r="F57" s="1"/>
      <c r="G57" s="1"/>
      <c r="H57" s="1"/>
      <c r="I57" s="1">
        <v>20.878846153846155</v>
      </c>
      <c r="J57" s="1"/>
      <c r="K57" s="1"/>
      <c r="L57" s="1"/>
      <c r="M57" s="1"/>
      <c r="N57" s="1"/>
      <c r="O57" s="1"/>
      <c r="P57" s="1">
        <v>40</v>
      </c>
      <c r="Q57" s="1"/>
      <c r="R57" s="3">
        <v>43.781171169436369</v>
      </c>
      <c r="S57" s="3"/>
      <c r="T57" s="3">
        <v>50.802345846402197</v>
      </c>
      <c r="U57" s="1">
        <f>(1/2204.62*2240)*45.8807</f>
        <v>46.616998847874008</v>
      </c>
      <c r="V57" s="1">
        <v>40.01515151515148</v>
      </c>
      <c r="W57" s="1"/>
      <c r="X57" s="1"/>
      <c r="Y57" s="1"/>
      <c r="Z57" s="1"/>
      <c r="AA57" s="1"/>
      <c r="AB57" s="1"/>
      <c r="AC57" s="1"/>
      <c r="AE57" s="1"/>
      <c r="AF57" s="1"/>
      <c r="AG57" s="1"/>
      <c r="AH57" s="1">
        <v>22.646427536861601</v>
      </c>
      <c r="AI57" s="1">
        <f>(1/112*2240)*1.53333333333333</f>
        <v>30.6666666666666</v>
      </c>
      <c r="AJ57" s="1">
        <f>(1/112*2240)*1.39925373134328</f>
        <v>27.9850746268656</v>
      </c>
      <c r="AL57" s="1">
        <f>(1/112*2240)*1.03339581245371</f>
        <v>20.667916249074199</v>
      </c>
      <c r="AN57" s="1">
        <v>49.185332178642042</v>
      </c>
      <c r="AO57" s="1">
        <v>45.672900579150586</v>
      </c>
    </row>
    <row r="58" spans="1:41" x14ac:dyDescent="0.25">
      <c r="A58" s="8">
        <f t="shared" si="2"/>
        <v>1891</v>
      </c>
      <c r="C58" s="1">
        <v>51.8</v>
      </c>
      <c r="D58" s="1"/>
      <c r="E58" s="1"/>
      <c r="F58" s="1"/>
      <c r="G58" s="1"/>
      <c r="H58" s="1"/>
      <c r="I58" s="1">
        <v>17.71231527093596</v>
      </c>
      <c r="J58" s="1"/>
      <c r="K58" s="1"/>
      <c r="L58" s="1"/>
      <c r="M58" s="1"/>
      <c r="N58" s="1"/>
      <c r="O58" s="1"/>
      <c r="P58" s="1">
        <v>40</v>
      </c>
      <c r="Q58" s="1"/>
      <c r="R58" s="3">
        <v>39.392101347455736</v>
      </c>
      <c r="S58" s="3"/>
      <c r="T58" s="3">
        <v>81.986016351118764</v>
      </c>
      <c r="U58" s="1">
        <f>(1/2204.62*2240)*47.9403</f>
        <v>48.709651549926967</v>
      </c>
      <c r="V58" s="1">
        <v>31.999999999999972</v>
      </c>
      <c r="W58" s="1"/>
      <c r="X58" s="1"/>
      <c r="Y58" s="1"/>
      <c r="Z58" s="1"/>
      <c r="AA58" s="1"/>
      <c r="AB58" s="1"/>
      <c r="AC58" s="1"/>
      <c r="AD58" s="1">
        <f>2240*0.0156862745098039</f>
        <v>35.137254901960738</v>
      </c>
      <c r="AE58" s="1"/>
      <c r="AF58" s="1">
        <f>2240*0.00958620689655172</f>
        <v>21.473103448275854</v>
      </c>
      <c r="AG58" s="1">
        <v>34.152923538230887</v>
      </c>
      <c r="AH58" s="1">
        <v>20.354118990372999</v>
      </c>
      <c r="AI58" s="1"/>
      <c r="AJ58" s="1">
        <f>(1/112*2240)*1.07230559345157</f>
        <v>21.446111869031398</v>
      </c>
      <c r="AL58" s="1">
        <f>(1/112*2240)*1.3022113022113</f>
        <v>26.044226044226001</v>
      </c>
      <c r="AN58" s="1">
        <v>43.26866260756475</v>
      </c>
      <c r="AO58" s="1">
        <v>38.80188853626354</v>
      </c>
    </row>
    <row r="59" spans="1:41" x14ac:dyDescent="0.25">
      <c r="A59" s="8">
        <f t="shared" si="2"/>
        <v>1892</v>
      </c>
      <c r="C59" s="1">
        <v>47.800000000000004</v>
      </c>
      <c r="D59" s="1"/>
      <c r="E59" s="1"/>
      <c r="F59" s="1"/>
      <c r="G59" s="1"/>
      <c r="H59" s="1"/>
      <c r="I59" s="1">
        <v>14.599646017699115</v>
      </c>
      <c r="J59" s="1"/>
      <c r="K59" s="1"/>
      <c r="L59" s="1"/>
      <c r="M59" s="1"/>
      <c r="N59" s="1"/>
      <c r="O59" s="1"/>
      <c r="P59" s="1">
        <v>40.128205128205124</v>
      </c>
      <c r="Q59" s="1"/>
      <c r="R59" s="3">
        <v>35.104122236334526</v>
      </c>
      <c r="S59" s="3"/>
      <c r="T59" s="3">
        <v>47.692192383545567</v>
      </c>
      <c r="U59" s="1">
        <f>(1/2204.62*2240)*40.554</f>
        <v>41.204815342326569</v>
      </c>
      <c r="V59" s="1">
        <v>28.666666666666639</v>
      </c>
      <c r="W59" s="1"/>
      <c r="X59" s="3">
        <f>2240*0.00769230769230769</f>
        <v>17.230769230769226</v>
      </c>
      <c r="Y59" s="1"/>
      <c r="Z59" s="1"/>
      <c r="AA59" s="1"/>
      <c r="AB59" s="1"/>
      <c r="AC59" s="1"/>
      <c r="AD59" s="1">
        <f>2240*0.0204248366013072</f>
        <v>45.751633986928127</v>
      </c>
      <c r="AE59" s="1"/>
      <c r="AF59" s="1">
        <f>2240*0.009064039408867</f>
        <v>20.303448275862081</v>
      </c>
      <c r="AG59" s="1">
        <v>29.277108433734938</v>
      </c>
      <c r="AH59" s="1">
        <v>19.74998841285014</v>
      </c>
      <c r="AI59" s="1"/>
      <c r="AJ59" s="1">
        <f>(1/112*2240)*1.10677966101695</f>
        <v>22.135593220339</v>
      </c>
      <c r="AL59" s="1">
        <f>(1/112*2240)*0.476189271255061</f>
        <v>9.5237854251012202</v>
      </c>
      <c r="AN59" s="1">
        <v>33.586925534239327</v>
      </c>
      <c r="AO59" s="1">
        <v>34.49369317655318</v>
      </c>
    </row>
    <row r="60" spans="1:41" x14ac:dyDescent="0.25">
      <c r="A60" s="8">
        <f t="shared" si="2"/>
        <v>1893</v>
      </c>
      <c r="C60" s="1">
        <v>48.533333333333331</v>
      </c>
      <c r="D60" s="1"/>
      <c r="E60" s="1"/>
      <c r="F60" s="1"/>
      <c r="G60" s="1"/>
      <c r="H60" s="1"/>
      <c r="I60" s="1">
        <v>15.98625</v>
      </c>
      <c r="J60" s="1"/>
      <c r="K60" s="1"/>
      <c r="L60" s="1"/>
      <c r="M60" s="1"/>
      <c r="N60" s="1"/>
      <c r="O60" s="1"/>
      <c r="P60" s="1">
        <v>40</v>
      </c>
      <c r="Q60" s="1"/>
      <c r="R60" s="3">
        <v>37.694750811994204</v>
      </c>
      <c r="S60" s="3">
        <v>36.586081670464957</v>
      </c>
      <c r="T60" s="14"/>
      <c r="U60" s="1">
        <f>(1/2204.62*2240)*37.5</f>
        <v>38.101804392593735</v>
      </c>
      <c r="V60" s="1">
        <v>30.571428571428548</v>
      </c>
      <c r="W60" s="1"/>
      <c r="X60" s="3">
        <f>2240*0.00736497545008183</f>
        <v>16.497545008183298</v>
      </c>
      <c r="Y60" s="1"/>
      <c r="Z60" s="1"/>
      <c r="AA60" s="1"/>
      <c r="AB60" s="1"/>
      <c r="AC60" s="1"/>
      <c r="AD60" s="1">
        <f>2240*0.0228758169934641</f>
        <v>51.241830065359579</v>
      </c>
      <c r="AE60" s="1"/>
      <c r="AF60" s="1"/>
      <c r="AG60" s="1">
        <v>28.858299595141702</v>
      </c>
      <c r="AH60" s="1">
        <v>20.637962838606001</v>
      </c>
      <c r="AI60" s="1"/>
      <c r="AJ60" s="1">
        <f>(1/112*2240)*1.93428571428571</f>
        <v>38.685714285714198</v>
      </c>
      <c r="AL60" s="1"/>
      <c r="AN60" s="1">
        <v>38.029469549926489</v>
      </c>
      <c r="AO60" s="1">
        <v>37.750710099740132</v>
      </c>
    </row>
    <row r="61" spans="1:41" x14ac:dyDescent="0.25">
      <c r="A61" s="8">
        <f t="shared" si="2"/>
        <v>1894</v>
      </c>
      <c r="C61" s="1">
        <v>41.25333333333333</v>
      </c>
      <c r="D61" s="1"/>
      <c r="E61" s="1"/>
      <c r="F61" s="1"/>
      <c r="G61" s="1"/>
      <c r="H61" s="1"/>
      <c r="I61" s="1">
        <v>12.718933925596891</v>
      </c>
      <c r="J61" s="1"/>
      <c r="K61" s="1"/>
      <c r="L61" s="1"/>
      <c r="M61" s="1"/>
      <c r="N61" s="1"/>
      <c r="O61" s="1"/>
      <c r="P61" s="1">
        <v>40</v>
      </c>
      <c r="Q61" s="3"/>
      <c r="R61" s="3">
        <v>32.488408764621433</v>
      </c>
      <c r="S61" s="3">
        <v>32.949704629433505</v>
      </c>
      <c r="T61" s="3">
        <v>28.511291473110983</v>
      </c>
      <c r="U61" s="1">
        <f>(1/2204.62*2240)*35.5114</f>
        <v>36.081291106857421</v>
      </c>
      <c r="V61" s="1">
        <v>32.307692307692278</v>
      </c>
      <c r="W61" s="1"/>
      <c r="X61" s="1"/>
      <c r="Y61" s="1"/>
      <c r="Z61" s="1"/>
      <c r="AA61" s="1"/>
      <c r="AB61" s="1">
        <f>2240*0.00923076923076923</f>
        <v>20.676923076923075</v>
      </c>
      <c r="AC61" s="1">
        <f>2240*0.00852762405878617</f>
        <v>19.101877891681021</v>
      </c>
      <c r="AE61" s="1"/>
      <c r="AF61" s="1"/>
      <c r="AG61" s="1">
        <v>25.28</v>
      </c>
      <c r="AH61" s="1">
        <v>14.3777431370277</v>
      </c>
      <c r="AI61" s="1"/>
      <c r="AJ61" s="1">
        <f>(1/112*2240)*1.02266666666667</f>
        <v>20.453333333333397</v>
      </c>
      <c r="AL61" s="1">
        <f>(1/112*2240)*0.518555555555556</f>
        <v>10.371111111111119</v>
      </c>
      <c r="AN61" s="1">
        <v>29.271050703460567</v>
      </c>
      <c r="AO61" s="1">
        <v>29.70512333745312</v>
      </c>
    </row>
    <row r="62" spans="1:41" x14ac:dyDescent="0.25">
      <c r="A62" s="8">
        <f t="shared" si="2"/>
        <v>1895</v>
      </c>
      <c r="C62" s="1">
        <v>38.826666666666668</v>
      </c>
      <c r="D62" s="1"/>
      <c r="E62" s="1"/>
      <c r="F62" s="1"/>
      <c r="G62" s="1"/>
      <c r="H62" s="1"/>
      <c r="I62" s="1">
        <v>15.100531914893617</v>
      </c>
      <c r="J62" s="3"/>
      <c r="K62" s="1"/>
      <c r="L62" s="1"/>
      <c r="M62" s="1"/>
      <c r="N62" s="1"/>
      <c r="O62" s="1"/>
      <c r="P62" s="1">
        <v>40</v>
      </c>
      <c r="Q62" s="3"/>
      <c r="R62" s="3">
        <v>27.519363415014876</v>
      </c>
      <c r="S62" s="3">
        <v>26.640366549179017</v>
      </c>
      <c r="T62" s="14"/>
      <c r="U62" s="1">
        <f>(1/2204.62*2240)*27.983</f>
        <v>28.432074461812011</v>
      </c>
      <c r="V62" s="1">
        <v>32.137614678899055</v>
      </c>
      <c r="W62" s="1"/>
      <c r="X62" s="3"/>
      <c r="Y62" s="1"/>
      <c r="Z62" s="1"/>
      <c r="AA62" s="1"/>
      <c r="AB62" s="1"/>
      <c r="AC62" s="1">
        <f>2240*0.00832411836675649</f>
        <v>18.646025141534537</v>
      </c>
      <c r="AD62" s="1"/>
      <c r="AE62" s="1"/>
      <c r="AF62" s="1"/>
      <c r="AG62" s="1">
        <v>31.043137254901964</v>
      </c>
      <c r="AH62" s="1"/>
      <c r="AI62" s="1"/>
      <c r="AJ62" s="1">
        <f>(1/112*2240)*1.10125</f>
        <v>22.025000000000002</v>
      </c>
      <c r="AL62" s="1">
        <f>(1/112*2240)*0.617272727272727</f>
        <v>12.34545454545454</v>
      </c>
      <c r="AM62" s="1">
        <v>26.441727695381072</v>
      </c>
      <c r="AN62" s="1">
        <v>27.517253428424659</v>
      </c>
      <c r="AO62" s="1">
        <v>29.8348502310734</v>
      </c>
    </row>
    <row r="63" spans="1:41" x14ac:dyDescent="0.25">
      <c r="A63" s="8">
        <f t="shared" si="2"/>
        <v>1896</v>
      </c>
      <c r="C63" s="1">
        <v>46.293333333333329</v>
      </c>
      <c r="D63" s="1"/>
      <c r="E63" s="1"/>
      <c r="F63" s="1"/>
      <c r="G63" s="1"/>
      <c r="H63" s="1"/>
      <c r="I63" s="1">
        <v>16.217050067658999</v>
      </c>
      <c r="J63" s="3"/>
      <c r="K63" s="1"/>
      <c r="L63" s="1"/>
      <c r="M63" s="1"/>
      <c r="N63" s="1"/>
      <c r="O63" s="1"/>
      <c r="P63" s="1">
        <v>40.149253731343286</v>
      </c>
      <c r="Q63" s="3"/>
      <c r="R63" s="3">
        <v>31.510440370145325</v>
      </c>
      <c r="S63" s="3">
        <v>32.719644628141879</v>
      </c>
      <c r="T63" s="14"/>
      <c r="U63" s="1">
        <f>(1/2204.62*2240)*32.6705</f>
        <v>33.194800010886226</v>
      </c>
      <c r="V63" s="1">
        <v>32.222836095764237</v>
      </c>
      <c r="X63" s="3"/>
      <c r="AA63" s="1"/>
      <c r="AB63" s="1"/>
      <c r="AC63" s="1"/>
      <c r="AD63" s="1"/>
      <c r="AE63" s="1"/>
      <c r="AF63" s="1"/>
      <c r="AG63" s="1">
        <v>25.342756183745582</v>
      </c>
      <c r="AH63" s="1"/>
      <c r="AI63" s="1"/>
      <c r="AJ63" s="1">
        <f>(1/112*2240)*0.8825</f>
        <v>17.649999999999999</v>
      </c>
      <c r="AL63" s="1">
        <f>(1/112*2240)*0.522866666666667</f>
        <v>10.457333333333342</v>
      </c>
      <c r="AM63" s="1">
        <v>22.227095956327233</v>
      </c>
      <c r="AN63" s="1">
        <v>33.243164452342747</v>
      </c>
      <c r="AO63" s="1">
        <v>33.307096818580185</v>
      </c>
    </row>
    <row r="64" spans="1:41" x14ac:dyDescent="0.25">
      <c r="A64" s="8">
        <f t="shared" si="2"/>
        <v>1897</v>
      </c>
      <c r="C64" s="1">
        <v>41.81333333333334</v>
      </c>
      <c r="D64" s="1"/>
      <c r="E64" s="1"/>
      <c r="F64" s="1"/>
      <c r="G64" s="1"/>
      <c r="H64" s="1"/>
      <c r="I64" s="1">
        <v>13.093426573426575</v>
      </c>
      <c r="J64" s="1"/>
      <c r="K64" s="1"/>
      <c r="L64" s="1"/>
      <c r="M64" s="1"/>
      <c r="O64" s="1"/>
      <c r="P64" s="1">
        <v>40</v>
      </c>
      <c r="Q64" s="3"/>
      <c r="R64" s="3">
        <v>30.003834008404805</v>
      </c>
      <c r="S64" s="3">
        <v>34.888179079540471</v>
      </c>
      <c r="T64" s="14"/>
      <c r="U64" s="1">
        <f>(1/2204.62*2240)*35.5114</f>
        <v>36.081291106857421</v>
      </c>
      <c r="V64" s="1">
        <v>31.983240223463657</v>
      </c>
      <c r="X64" s="1"/>
      <c r="AA64" s="1"/>
      <c r="AB64" s="1"/>
      <c r="AC64" s="1"/>
      <c r="AD64" s="1">
        <f>2240*0.0190136660724896</f>
        <v>42.590612002376702</v>
      </c>
      <c r="AE64" s="1"/>
      <c r="AF64" s="1"/>
      <c r="AG64" s="1">
        <v>28.858638743455497</v>
      </c>
      <c r="AH64" s="1">
        <v>17.333333333333336</v>
      </c>
      <c r="AI64" s="1"/>
      <c r="AJ64" s="1">
        <f>(1/112*2240)*0.9825</f>
        <v>19.650000000000002</v>
      </c>
      <c r="AK64" s="1">
        <f>(1/112*2240)*1.125</f>
        <v>22.5</v>
      </c>
      <c r="AL64" s="3"/>
      <c r="AM64" s="1">
        <v>27.554470625297881</v>
      </c>
      <c r="AN64" s="1">
        <v>32.479581515352351</v>
      </c>
      <c r="AO64" s="1">
        <v>31.924256800790662</v>
      </c>
    </row>
    <row r="65" spans="1:41" x14ac:dyDescent="0.25">
      <c r="A65" s="8">
        <f t="shared" si="2"/>
        <v>1898</v>
      </c>
      <c r="C65" s="1">
        <v>35.93333333333333</v>
      </c>
      <c r="D65" s="1"/>
      <c r="E65" s="1"/>
      <c r="F65" s="1"/>
      <c r="G65" s="1"/>
      <c r="H65" s="1"/>
      <c r="I65" s="1">
        <v>11.848347245409014</v>
      </c>
      <c r="J65" s="1"/>
      <c r="K65" s="1"/>
      <c r="L65" s="1"/>
      <c r="M65" s="1"/>
      <c r="O65" s="1"/>
      <c r="P65" s="1">
        <v>40</v>
      </c>
      <c r="Q65" s="3"/>
      <c r="R65" s="3">
        <v>30.700963259466892</v>
      </c>
      <c r="S65" s="3">
        <v>29.242320208677743</v>
      </c>
      <c r="T65" s="3">
        <v>15.253036437246964</v>
      </c>
      <c r="U65" s="1">
        <f>(1/2204.62*2240)*29.9006</f>
        <v>30.380448331231687</v>
      </c>
      <c r="V65" s="1">
        <v>31.555023923444946</v>
      </c>
      <c r="W65" s="1"/>
      <c r="X65" s="3"/>
      <c r="Y65" s="1"/>
      <c r="Z65" s="1"/>
      <c r="AA65" s="1"/>
      <c r="AC65" s="1"/>
      <c r="AD65" s="1"/>
      <c r="AE65" s="1"/>
      <c r="AF65" s="1"/>
      <c r="AG65" s="1">
        <v>24.903225806451612</v>
      </c>
      <c r="AH65" s="1">
        <v>23.846153846153847</v>
      </c>
      <c r="AI65" s="1"/>
      <c r="AJ65" s="1">
        <f>(1/112*2240)*0.78125</f>
        <v>15.625</v>
      </c>
      <c r="AK65" s="1">
        <f>(1/112*2240)*0.939285714285714</f>
        <v>18.785714285714278</v>
      </c>
      <c r="AL65" s="1">
        <f>(1/112*2240)*0.532462556799029</f>
        <v>10.649251135980579</v>
      </c>
      <c r="AM65" s="1">
        <v>27.267846051859745</v>
      </c>
      <c r="AN65" s="1">
        <v>29.626052566780515</v>
      </c>
      <c r="AO65" s="1">
        <v>27.10253853985056</v>
      </c>
    </row>
    <row r="66" spans="1:41" x14ac:dyDescent="0.25">
      <c r="A66" s="8">
        <f t="shared" si="2"/>
        <v>1899</v>
      </c>
      <c r="C66" s="1">
        <v>38.080000000000005</v>
      </c>
      <c r="D66" s="1"/>
      <c r="E66" s="1"/>
      <c r="F66" s="1"/>
      <c r="G66" s="1"/>
      <c r="H66" s="1"/>
      <c r="I66" s="1">
        <v>14.586494984279085</v>
      </c>
      <c r="J66" s="1"/>
      <c r="K66" s="1"/>
      <c r="L66" s="1"/>
      <c r="M66" s="1"/>
      <c r="O66" s="1"/>
      <c r="P66" s="1">
        <v>40</v>
      </c>
      <c r="Q66" s="3"/>
      <c r="R66" s="3">
        <v>29.08351680636807</v>
      </c>
      <c r="S66" s="3">
        <v>31.936206253882649</v>
      </c>
      <c r="T66" s="3">
        <v>40.39259708737864</v>
      </c>
      <c r="U66" s="1">
        <f>(1/2204.62*2240)*32.5994</f>
        <v>33.12255898975787</v>
      </c>
      <c r="V66" s="1">
        <v>21.999999999999979</v>
      </c>
      <c r="X66" s="1"/>
      <c r="Y66" s="1"/>
      <c r="Z66" s="1"/>
      <c r="AA66" s="1"/>
      <c r="AC66" s="1"/>
      <c r="AD66" s="1"/>
      <c r="AE66" s="1"/>
      <c r="AF66" s="1"/>
      <c r="AG66" s="1">
        <v>30.196078431372548</v>
      </c>
      <c r="AH66" s="1">
        <v>27.878787878787882</v>
      </c>
      <c r="AI66" s="1"/>
      <c r="AJ66" s="1">
        <f>(1/112*2240)*1.03571428571429</f>
        <v>20.714285714285801</v>
      </c>
      <c r="AK66" s="1">
        <f>(1/112*2240)*1</f>
        <v>20</v>
      </c>
      <c r="AL66" s="1">
        <f>(1/112*2240)*0.583038699843974</f>
        <v>11.660773996879481</v>
      </c>
      <c r="AM66" s="1">
        <v>30.717412191736951</v>
      </c>
      <c r="AN66" s="1">
        <v>27.140638062816155</v>
      </c>
      <c r="AO66" s="1">
        <v>29.183052208926451</v>
      </c>
    </row>
    <row r="67" spans="1:41" x14ac:dyDescent="0.25">
      <c r="A67" s="8">
        <f t="shared" si="2"/>
        <v>1900</v>
      </c>
      <c r="C67" s="1">
        <v>52.173333333333332</v>
      </c>
      <c r="D67" s="1"/>
      <c r="E67" s="1"/>
      <c r="F67" s="1"/>
      <c r="G67" s="1"/>
      <c r="H67" s="1"/>
      <c r="I67" s="1">
        <v>20.181978993919291</v>
      </c>
      <c r="J67" s="1"/>
      <c r="K67" s="1"/>
      <c r="L67" s="3"/>
      <c r="M67" s="1"/>
      <c r="N67" s="1"/>
      <c r="O67" s="1">
        <v>35.490605427974948</v>
      </c>
      <c r="P67" s="1">
        <v>48.695652173913047</v>
      </c>
      <c r="Q67" s="3"/>
      <c r="R67" s="3">
        <v>41.329208093259894</v>
      </c>
      <c r="S67" s="3">
        <v>41.746674841676658</v>
      </c>
      <c r="T67" s="3">
        <v>39.099964551577457</v>
      </c>
      <c r="U67" s="1">
        <f>(1/2204.62*2240)*42.6136</f>
        <v>43.297468044379528</v>
      </c>
      <c r="V67" s="1">
        <v>29.979094076655027</v>
      </c>
      <c r="X67" s="1"/>
      <c r="Y67" s="1"/>
      <c r="Z67" s="1"/>
      <c r="AA67" s="1"/>
      <c r="AC67" s="3"/>
      <c r="AD67" s="1"/>
      <c r="AE67" s="1"/>
      <c r="AF67" s="1"/>
      <c r="AG67" s="1">
        <v>28.197325956662059</v>
      </c>
      <c r="AH67" s="1">
        <v>33</v>
      </c>
      <c r="AI67" s="1">
        <f>(1/112*2240)*1.29433272394881</f>
        <v>25.886654478976201</v>
      </c>
      <c r="AJ67" s="1">
        <f>(1/112*2240)*1.15869565217391</f>
        <v>23.173913043478201</v>
      </c>
      <c r="AK67" s="1">
        <f>(1/112*2240)*1</f>
        <v>20</v>
      </c>
      <c r="AL67" s="1">
        <f>(1/112*2240)*0.486822023109934</f>
        <v>9.7364404621986793</v>
      </c>
      <c r="AM67" s="1">
        <v>32.649805344421196</v>
      </c>
      <c r="AN67" s="1">
        <v>34.281129971023475</v>
      </c>
      <c r="AO67" s="1">
        <v>44.153751886413488</v>
      </c>
    </row>
    <row r="68" spans="1:41" x14ac:dyDescent="0.25">
      <c r="A68" s="8">
        <f t="shared" si="2"/>
        <v>1901</v>
      </c>
      <c r="C68" s="1">
        <v>51.426666666666662</v>
      </c>
      <c r="D68" s="1"/>
      <c r="E68" s="1"/>
      <c r="F68" s="1"/>
      <c r="G68" s="1"/>
      <c r="H68" s="1"/>
      <c r="I68" s="1">
        <v>16.233414992650662</v>
      </c>
      <c r="J68" s="1"/>
      <c r="K68" s="1"/>
      <c r="L68" s="3">
        <f>(1/112*2240)*2</f>
        <v>40</v>
      </c>
      <c r="M68" s="1"/>
      <c r="N68" s="1"/>
      <c r="O68" s="1"/>
      <c r="P68" s="1">
        <v>51.981132075471699</v>
      </c>
      <c r="Q68" s="3"/>
      <c r="R68" s="3">
        <v>33.663552278189762</v>
      </c>
      <c r="S68" s="3">
        <v>39.866567087214378</v>
      </c>
      <c r="T68" s="3">
        <v>41.180425205899255</v>
      </c>
      <c r="U68" s="1">
        <f>(1/2204.62*2240)*40.625</f>
        <v>41.276954758643214</v>
      </c>
      <c r="V68" s="1">
        <v>29.999999999999972</v>
      </c>
      <c r="W68" s="1">
        <f>(1/112*2240)*2.01025641025641</f>
        <v>40.205128205128204</v>
      </c>
      <c r="X68" s="1"/>
      <c r="Y68" s="1"/>
      <c r="Z68" s="1"/>
      <c r="AA68" s="1"/>
      <c r="AC68" s="1"/>
      <c r="AD68" s="1"/>
      <c r="AE68" s="1"/>
      <c r="AF68" s="1"/>
      <c r="AG68" s="1">
        <v>30.02290950744559</v>
      </c>
      <c r="AH68" s="1">
        <v>34.883720930232556</v>
      </c>
      <c r="AI68" s="1">
        <f>(1/112*2240)*1.1394422310757</f>
        <v>22.788844621513999</v>
      </c>
      <c r="AJ68" s="1">
        <f>(1/112*2240)*1.04571428571429</f>
        <v>20.9142857142858</v>
      </c>
      <c r="AK68" s="1">
        <f>(1/112*2240)*0.96</f>
        <v>19.2</v>
      </c>
      <c r="AL68" s="1">
        <f>(1/112*2240)*0.444432432432432</f>
        <v>8.8886486486486405</v>
      </c>
      <c r="AM68" s="1">
        <v>41.493868054383832</v>
      </c>
      <c r="AN68" s="1">
        <v>38.506902392765689</v>
      </c>
      <c r="AO68" s="1">
        <v>36.323255966572518</v>
      </c>
    </row>
    <row r="69" spans="1:41" x14ac:dyDescent="0.25">
      <c r="A69" s="8">
        <f t="shared" si="2"/>
        <v>1902</v>
      </c>
      <c r="C69" s="1">
        <v>50.773333333333333</v>
      </c>
      <c r="D69" s="1"/>
      <c r="E69" s="1"/>
      <c r="F69" s="1"/>
      <c r="G69" s="1"/>
      <c r="H69" s="1"/>
      <c r="I69" s="1">
        <v>17.534936861094408</v>
      </c>
      <c r="J69" s="1"/>
      <c r="K69" s="1"/>
      <c r="L69" s="1">
        <f>(1/112*2240)*2.125</f>
        <v>42.5</v>
      </c>
      <c r="M69" s="1"/>
      <c r="N69" s="1"/>
      <c r="O69" s="1"/>
      <c r="P69" s="1">
        <v>48.078817733990149</v>
      </c>
      <c r="Q69" s="3"/>
      <c r="R69" s="3">
        <v>35.910402726571</v>
      </c>
      <c r="S69" s="3">
        <v>39.522280757096517</v>
      </c>
      <c r="T69" s="3">
        <v>53.525356967011327</v>
      </c>
      <c r="U69" s="1">
        <f>(1/2204.62*2240)*40.4119</f>
        <v>41.060434904881568</v>
      </c>
      <c r="V69" s="1">
        <v>29.999999999999972</v>
      </c>
      <c r="W69" s="1">
        <f>(1/112*2240)*1.34615384615385</f>
        <v>26.923076923077002</v>
      </c>
      <c r="X69" s="1"/>
      <c r="Y69" s="3">
        <f>2240*0.0149141809698384</f>
        <v>33.407765372438014</v>
      </c>
      <c r="Z69" s="1">
        <f>2240*0.0179915510285525</f>
        <v>40.301074303957598</v>
      </c>
      <c r="AC69" s="1">
        <f>2240*0.0146328742880653</f>
        <v>32.777638405266273</v>
      </c>
      <c r="AD69" s="1"/>
      <c r="AE69" s="1"/>
      <c r="AF69" s="1"/>
      <c r="AG69" s="1">
        <v>33.297872340425535</v>
      </c>
      <c r="AH69" s="1">
        <v>30.434782608695656</v>
      </c>
      <c r="AI69" s="1">
        <f>(1/112*2240)*1.14783347493628</f>
        <v>22.956669498725599</v>
      </c>
      <c r="AJ69" s="1"/>
      <c r="AK69" s="1"/>
      <c r="AM69" s="1">
        <v>34.557332789975042</v>
      </c>
      <c r="AN69" s="1">
        <v>35.630626878015036</v>
      </c>
      <c r="AO69" s="1">
        <v>34.203217503217502</v>
      </c>
    </row>
    <row r="70" spans="1:41" x14ac:dyDescent="0.25">
      <c r="A70" s="8">
        <f t="shared" si="2"/>
        <v>1903</v>
      </c>
      <c r="C70" s="1">
        <v>56</v>
      </c>
      <c r="D70" s="3"/>
      <c r="E70" s="1"/>
      <c r="F70" s="1"/>
      <c r="G70" s="1"/>
      <c r="H70" s="1"/>
      <c r="I70" s="1">
        <v>23.561782071926999</v>
      </c>
      <c r="J70" s="1">
        <f>2240*0.0208333333333333</f>
        <v>46.666666666666593</v>
      </c>
      <c r="K70" s="1"/>
      <c r="L70" s="1">
        <f>(1/112*2240)*2.5</f>
        <v>50</v>
      </c>
      <c r="M70" s="1"/>
      <c r="N70" s="1"/>
      <c r="O70" s="1"/>
      <c r="P70" s="1">
        <v>51.980198019801982</v>
      </c>
      <c r="Q70" s="3"/>
      <c r="R70" s="3">
        <v>45.896435258491174</v>
      </c>
      <c r="S70" s="3">
        <v>51.517859111856765</v>
      </c>
      <c r="T70" s="3">
        <v>39.013746273600532</v>
      </c>
      <c r="U70" s="1">
        <f>(1/2204.62*2240)*51.4205</f>
        <v>52.245702207183093</v>
      </c>
      <c r="V70" s="1">
        <v>36.218637992831511</v>
      </c>
      <c r="X70" s="1"/>
      <c r="Y70" s="3">
        <f>2240*0.0185980195537729</f>
        <v>41.659563800451295</v>
      </c>
      <c r="Z70" s="1">
        <f>2240*0.0180893389961557</f>
        <v>40.520119351388765</v>
      </c>
      <c r="AC70" s="1"/>
      <c r="AD70" s="1"/>
      <c r="AE70" s="1"/>
      <c r="AF70" s="1"/>
      <c r="AG70" s="1">
        <v>37.599999999999994</v>
      </c>
      <c r="AH70" s="1">
        <v>40</v>
      </c>
      <c r="AI70" s="1"/>
      <c r="AK70" s="1"/>
      <c r="AM70" s="1">
        <v>33.476361805771482</v>
      </c>
      <c r="AN70" s="1">
        <v>33.49689387469067</v>
      </c>
      <c r="AO70" s="1">
        <v>42.621307673240395</v>
      </c>
    </row>
    <row r="71" spans="1:41" x14ac:dyDescent="0.25">
      <c r="A71" s="8">
        <f t="shared" si="2"/>
        <v>1904</v>
      </c>
      <c r="C71" s="1">
        <v>62.626666666666665</v>
      </c>
      <c r="D71" s="1"/>
      <c r="E71" s="1">
        <f>2240*0.026840490797546</f>
        <v>60.122699386503037</v>
      </c>
      <c r="F71" s="1"/>
      <c r="G71" s="1"/>
      <c r="H71" s="1"/>
      <c r="I71" s="1">
        <v>23.728259766615931</v>
      </c>
      <c r="J71" s="3"/>
      <c r="K71" s="1"/>
      <c r="L71" s="1">
        <f>(1/112*2240)*2.5</f>
        <v>50</v>
      </c>
      <c r="M71" s="1"/>
      <c r="N71" s="1"/>
      <c r="O71" s="1"/>
      <c r="P71" s="1">
        <v>60.111111111111114</v>
      </c>
      <c r="Q71" s="1"/>
      <c r="R71" s="3">
        <v>47.501334622798559</v>
      </c>
      <c r="S71" s="3">
        <v>51.495440837328168</v>
      </c>
      <c r="T71" s="3">
        <v>39.041346721795627</v>
      </c>
      <c r="U71" s="1">
        <f>(1/2204.62*2240)*51.2784</f>
        <v>52.101321769738092</v>
      </c>
      <c r="V71" s="1">
        <v>35.92401215805468</v>
      </c>
      <c r="X71" s="1"/>
      <c r="Y71" s="3">
        <f>2240*0.00709052233514536</f>
        <v>15.882770030725608</v>
      </c>
      <c r="Z71" s="1">
        <f>2240*0.0193999491852886</f>
        <v>43.455886175046466</v>
      </c>
      <c r="AB71" s="12"/>
      <c r="AC71" s="1"/>
      <c r="AD71" s="1"/>
      <c r="AE71" s="1"/>
      <c r="AF71" s="1"/>
      <c r="AG71" s="1">
        <v>25.699958211450063</v>
      </c>
      <c r="AH71" s="1">
        <v>37.209302325581397</v>
      </c>
      <c r="AI71" s="1"/>
      <c r="AK71" s="1"/>
      <c r="AM71" s="1">
        <v>36.686908474205367</v>
      </c>
      <c r="AN71" s="1">
        <v>42.008924410792218</v>
      </c>
      <c r="AO71" s="1">
        <v>52.067436585563151</v>
      </c>
    </row>
    <row r="72" spans="1:41" x14ac:dyDescent="0.25">
      <c r="A72" s="8">
        <f t="shared" ref="A72:A135" si="3">A71+1</f>
        <v>1905</v>
      </c>
      <c r="C72" s="1">
        <v>53.013333333333328</v>
      </c>
      <c r="D72" s="1"/>
      <c r="E72" s="1"/>
      <c r="F72" s="1"/>
      <c r="G72" s="1"/>
      <c r="H72" s="1"/>
      <c r="I72" s="1">
        <v>20.34171901332925</v>
      </c>
      <c r="J72" s="3"/>
      <c r="K72" s="1"/>
      <c r="L72" s="1">
        <f>(1/112*2240)*2.08333333333333</f>
        <v>41.6666666666666</v>
      </c>
      <c r="M72" s="1"/>
      <c r="N72" s="1"/>
      <c r="O72" s="1"/>
      <c r="P72" s="1">
        <v>60.08620689655173</v>
      </c>
      <c r="Q72" s="1"/>
      <c r="R72" s="3">
        <v>43.212655273317111</v>
      </c>
      <c r="S72" s="3">
        <v>47.576148151078776</v>
      </c>
      <c r="T72" s="3">
        <v>39.075633773308191</v>
      </c>
      <c r="U72" s="1">
        <f>(1/2204.62*2240)*48.0114</f>
        <v>48.78189257105533</v>
      </c>
      <c r="V72" s="1">
        <v>36.01801801801799</v>
      </c>
      <c r="W72" s="1">
        <f>(1/112*2240)*1.41043901173561</f>
        <v>28.208780234712201</v>
      </c>
      <c r="X72" s="1"/>
      <c r="Y72" s="3">
        <f>2240*0.0110017371163868</f>
        <v>24.643891140706433</v>
      </c>
      <c r="Z72" s="1">
        <f>2240*0.0174734145570008</f>
        <v>39.14044860768179</v>
      </c>
      <c r="AB72" s="1"/>
      <c r="AC72" s="1"/>
      <c r="AD72" s="1"/>
      <c r="AE72" s="1"/>
      <c r="AF72" s="1"/>
      <c r="AG72" s="1">
        <v>29.467330016583748</v>
      </c>
      <c r="AH72" s="1">
        <v>36.028368794326241</v>
      </c>
      <c r="AI72" s="1"/>
      <c r="AK72" s="1"/>
      <c r="AM72" s="1">
        <v>44.215440863342231</v>
      </c>
      <c r="AN72" s="1">
        <v>39.07758067546952</v>
      </c>
      <c r="AO72" s="1">
        <v>39.306850683425246</v>
      </c>
    </row>
    <row r="73" spans="1:41" x14ac:dyDescent="0.25">
      <c r="A73" s="8">
        <f t="shared" si="3"/>
        <v>1906</v>
      </c>
      <c r="C73" s="1">
        <v>70.14</v>
      </c>
      <c r="D73" s="1"/>
      <c r="E73" s="1"/>
      <c r="F73" s="1"/>
      <c r="G73" s="1"/>
      <c r="H73" s="1"/>
      <c r="I73" s="1">
        <v>25.748126026579065</v>
      </c>
      <c r="J73" s="3">
        <f>2240*0.0291666666666667</f>
        <v>65.3333333333334</v>
      </c>
      <c r="K73" s="1"/>
      <c r="L73" s="1">
        <f>(1/112*2240)*2.0625</f>
        <v>41.25</v>
      </c>
      <c r="M73" s="1"/>
      <c r="N73" s="1"/>
      <c r="O73" s="1"/>
      <c r="P73" s="1">
        <v>72.173913043478265</v>
      </c>
      <c r="Q73" s="1"/>
      <c r="R73" s="3">
        <v>45.675143987034431</v>
      </c>
      <c r="S73" s="3">
        <v>51.402213124727616</v>
      </c>
      <c r="T73" s="3">
        <v>43.011929460580916</v>
      </c>
      <c r="U73" s="1">
        <f>(1/2204.62*2240)*51.6335</f>
        <v>52.462120456133022</v>
      </c>
      <c r="V73" s="1">
        <v>37.182680901542078</v>
      </c>
      <c r="X73" s="1"/>
      <c r="Y73" s="3">
        <f>2240*0.0155454301795765</f>
        <v>34.821763602251359</v>
      </c>
      <c r="Z73" s="1">
        <f>2240*0.0207543172895385</f>
        <v>46.489670728566239</v>
      </c>
      <c r="AB73" s="1"/>
      <c r="AC73" s="1">
        <f>2240*0.0205987826114888</f>
        <v>46.141273049734913</v>
      </c>
      <c r="AD73" s="1"/>
      <c r="AE73" s="1">
        <f>2240*0.0216740266848633</f>
        <v>48.549819774093791</v>
      </c>
      <c r="AF73" s="1">
        <f>2240*0.0231306415715893</f>
        <v>51.81263712036003</v>
      </c>
      <c r="AG73" s="1">
        <v>23.108851518706818</v>
      </c>
      <c r="AH73" s="1">
        <v>28.000000000000004</v>
      </c>
      <c r="AI73" s="1"/>
      <c r="AK73" s="1">
        <f>(1/112*2240)*1.83771929824561</f>
        <v>36.754385964912203</v>
      </c>
      <c r="AM73" s="1">
        <v>44.615794297604594</v>
      </c>
      <c r="AN73" s="1">
        <v>41.075471274282258</v>
      </c>
      <c r="AO73" s="1">
        <v>45.149619749591032</v>
      </c>
    </row>
    <row r="74" spans="1:41" x14ac:dyDescent="0.25">
      <c r="A74" s="8">
        <f t="shared" si="3"/>
        <v>1907</v>
      </c>
      <c r="C74" s="1">
        <v>77.513333333333335</v>
      </c>
      <c r="D74" s="1"/>
      <c r="E74" s="1"/>
      <c r="F74" s="1"/>
      <c r="G74" s="3"/>
      <c r="H74" s="1"/>
      <c r="I74" s="1">
        <v>28.899722991689753</v>
      </c>
      <c r="J74" s="1"/>
      <c r="K74" s="3"/>
      <c r="L74" s="1">
        <f>(1/112*2240)*2</f>
        <v>40</v>
      </c>
      <c r="M74" s="1"/>
      <c r="N74" s="1"/>
      <c r="O74" s="1"/>
      <c r="P74" s="1">
        <v>79.941348973607035</v>
      </c>
      <c r="Q74" s="1"/>
      <c r="R74" s="3">
        <v>46.842760367131802</v>
      </c>
      <c r="S74" s="3">
        <v>49.984652830780881</v>
      </c>
      <c r="T74" s="3">
        <v>44.257885681514054</v>
      </c>
      <c r="U74" s="1">
        <f>(1/2204.62*2240)*49.7159</f>
        <v>50.513746586713353</v>
      </c>
      <c r="V74" s="1">
        <v>35.999999999999964</v>
      </c>
      <c r="X74" s="1"/>
      <c r="Y74" s="3">
        <f>2240*0.0120206194729592</f>
        <v>26.926187619428607</v>
      </c>
      <c r="Z74" s="3">
        <f>2240*0.0195043389282524</f>
        <v>43.689719199285378</v>
      </c>
      <c r="AB74" s="1">
        <f>2240*0.0142857142857143</f>
        <v>32.000000000000028</v>
      </c>
      <c r="AC74" s="1">
        <f>2240*0.0238960403878761</f>
        <v>53.527130468842465</v>
      </c>
      <c r="AD74" s="1"/>
      <c r="AE74" s="1">
        <f>2240*0.0199098431779222</f>
        <v>44.598048718545733</v>
      </c>
      <c r="AF74" s="1">
        <f>2240*0.0236494604760054</f>
        <v>52.974791466252093</v>
      </c>
      <c r="AG74" s="1">
        <v>27.986798679867988</v>
      </c>
      <c r="AH74" s="1"/>
      <c r="AI74" s="1"/>
      <c r="AJ74" s="1">
        <f>(1/112*2240)*1.71875</f>
        <v>34.375</v>
      </c>
      <c r="AK74" s="1">
        <f>(1/112*2240)*1.95614035087719</f>
        <v>39.122807017543799</v>
      </c>
      <c r="AM74" s="1">
        <v>52.656844351882128</v>
      </c>
      <c r="AN74" s="1">
        <v>42.992426937771562</v>
      </c>
      <c r="AO74" s="1">
        <v>45.880511763116182</v>
      </c>
    </row>
    <row r="75" spans="1:41" x14ac:dyDescent="0.25">
      <c r="A75" s="8">
        <f t="shared" si="3"/>
        <v>1908</v>
      </c>
      <c r="C75" s="1">
        <v>71.586666666666659</v>
      </c>
      <c r="D75" s="1"/>
      <c r="E75" s="1"/>
      <c r="F75" s="1"/>
      <c r="G75" s="3"/>
      <c r="H75" s="1"/>
      <c r="I75" s="1">
        <v>22.617013232514179</v>
      </c>
      <c r="J75" s="3"/>
      <c r="K75" s="1"/>
      <c r="L75" s="1">
        <f>(1/112*2240)*2.10526315789474</f>
        <v>42.105263157894797</v>
      </c>
      <c r="M75" s="1"/>
      <c r="N75" s="1"/>
      <c r="O75" s="1"/>
      <c r="P75" s="1">
        <v>45.453100158982515</v>
      </c>
      <c r="Q75" s="1"/>
      <c r="R75" s="3">
        <v>43.134158787622042</v>
      </c>
      <c r="S75" s="3">
        <v>46.153549902755586</v>
      </c>
      <c r="T75" s="3">
        <v>38.704803493449781</v>
      </c>
      <c r="U75" s="1">
        <f>(1/2204.62*2240)*40.1115</f>
        <v>40.755214050493962</v>
      </c>
      <c r="V75" s="1">
        <v>35.999999999999972</v>
      </c>
      <c r="Y75" s="3">
        <f>2240*0.00971383565240221</f>
        <v>21.758991861380949</v>
      </c>
      <c r="Z75" s="1">
        <f>2240*0.019170151439654</f>
        <v>42.941139224824958</v>
      </c>
      <c r="AB75" s="1">
        <f>2240*0.0142857142857143</f>
        <v>32.000000000000028</v>
      </c>
      <c r="AC75" s="1">
        <f>2240*0.0235145662510062</f>
        <v>52.672628402253885</v>
      </c>
      <c r="AD75" s="1"/>
      <c r="AE75" s="1">
        <f>2240*0.0202744292058229</f>
        <v>45.414721421043296</v>
      </c>
      <c r="AF75" s="1">
        <f>2240*0.024843591358735</f>
        <v>55.649644643566404</v>
      </c>
      <c r="AG75" s="1">
        <v>33.704052780395855</v>
      </c>
      <c r="AH75" s="1"/>
      <c r="AI75" s="1"/>
      <c r="AJ75" s="1"/>
      <c r="AK75" s="1">
        <f>(1/112*2240)*1.65789473684211</f>
        <v>33.157894736842202</v>
      </c>
      <c r="AM75" s="1">
        <v>60.056878416037677</v>
      </c>
      <c r="AN75" s="1">
        <v>41.620566720092008</v>
      </c>
      <c r="AO75" s="1">
        <v>43.233213097821761</v>
      </c>
    </row>
    <row r="76" spans="1:41" x14ac:dyDescent="0.25">
      <c r="A76" s="8">
        <f t="shared" si="3"/>
        <v>1909</v>
      </c>
      <c r="C76" s="1">
        <v>71.213333333333338</v>
      </c>
      <c r="D76" s="1"/>
      <c r="E76" s="1"/>
      <c r="F76" s="1"/>
      <c r="G76" s="1"/>
      <c r="H76" s="1"/>
      <c r="I76" s="1">
        <v>25.951553509781359</v>
      </c>
      <c r="J76" s="3"/>
      <c r="K76" s="1"/>
      <c r="L76" s="1">
        <f>(1/112*2240)*2.5</f>
        <v>50</v>
      </c>
      <c r="M76" s="1"/>
      <c r="N76" s="1"/>
      <c r="O76" s="1"/>
      <c r="P76" s="1">
        <v>26.97674418604651</v>
      </c>
      <c r="Q76" s="1"/>
      <c r="R76" s="1"/>
      <c r="S76" s="1"/>
      <c r="T76" s="14"/>
      <c r="U76" s="1">
        <f>(1/2204.62*2240)*42.5455</f>
        <v>43.228275167602575</v>
      </c>
      <c r="V76" s="1">
        <v>55.824742268041177</v>
      </c>
      <c r="W76" s="1"/>
      <c r="X76" s="1"/>
      <c r="Y76" s="3">
        <f>2240*0.0059951899729436</f>
        <v>13.429225539393665</v>
      </c>
      <c r="Z76" s="1">
        <f>2240*0.0186698184920929</f>
        <v>41.820393422288092</v>
      </c>
      <c r="AB76" s="1">
        <f>2240*0.004165</f>
        <v>9.329600000000001</v>
      </c>
      <c r="AC76" s="1">
        <f>2240*0.0268356135113209</f>
        <v>60.111774265358818</v>
      </c>
      <c r="AD76" s="1"/>
      <c r="AE76" s="1">
        <f>2240*0.0221099342660388</f>
        <v>49.526252755926912</v>
      </c>
      <c r="AF76" s="1">
        <f>2240*0.0264529207139587</f>
        <v>59.254542399267486</v>
      </c>
      <c r="AG76" s="1">
        <v>13.564888384411653</v>
      </c>
      <c r="AH76" s="1"/>
      <c r="AI76" s="1"/>
      <c r="AJ76" s="1"/>
      <c r="AK76" s="1">
        <f>(1/112*2240)*1.68571428571429</f>
        <v>33.714285714285801</v>
      </c>
      <c r="AM76" s="1">
        <v>56.345916310056019</v>
      </c>
      <c r="AN76" s="1">
        <v>40.492000610959579</v>
      </c>
      <c r="AO76" s="1">
        <v>49.973607855304287</v>
      </c>
    </row>
    <row r="77" spans="1:41" x14ac:dyDescent="0.25">
      <c r="A77" s="8">
        <f t="shared" si="3"/>
        <v>1910</v>
      </c>
      <c r="C77" s="1">
        <v>97.486666666666665</v>
      </c>
      <c r="D77" s="1"/>
      <c r="E77" s="1"/>
      <c r="F77" s="1"/>
      <c r="G77" s="1"/>
      <c r="H77" s="1"/>
      <c r="I77" s="1">
        <v>33.887968047928112</v>
      </c>
      <c r="J77" s="1"/>
      <c r="K77" s="3"/>
      <c r="L77" s="1">
        <f>(1/112*2240)*2.5</f>
        <v>50</v>
      </c>
      <c r="M77" s="1"/>
      <c r="N77" s="1"/>
      <c r="O77" s="1">
        <v>22.916666666666668</v>
      </c>
      <c r="P77" s="1"/>
      <c r="Q77" s="1"/>
      <c r="R77" s="1"/>
      <c r="S77" s="1"/>
      <c r="T77" s="3">
        <v>42.214558058925476</v>
      </c>
      <c r="U77" s="1">
        <f>(1/2204.62*2240)*45.0909</f>
        <v>45.814524044960123</v>
      </c>
      <c r="V77" s="1">
        <v>57.879133409350004</v>
      </c>
      <c r="W77" s="1">
        <f>(1/112*2240)*2.56943036691668</f>
        <v>51.3886073383336</v>
      </c>
      <c r="X77" s="1"/>
      <c r="Y77" s="3">
        <f>2240*0.00792086117556746</f>
        <v>17.742729033271107</v>
      </c>
      <c r="Z77" s="1">
        <f>2240*0.023133309613251</f>
        <v>51.818613533682239</v>
      </c>
      <c r="AB77" s="1">
        <f>2240*0.00416428571428571</f>
        <v>9.3279999999999905</v>
      </c>
      <c r="AC77" s="1">
        <f>2240*0.0335061451054332</f>
        <v>75.053765036170361</v>
      </c>
      <c r="AD77" s="1"/>
      <c r="AE77" s="1">
        <f>2240*0.0199999882665171</f>
        <v>44.799973716998302</v>
      </c>
      <c r="AF77" s="1">
        <f>2240*0.0308133781638095</f>
        <v>69.021967086933273</v>
      </c>
      <c r="AG77" s="1">
        <v>53.926701570680621</v>
      </c>
      <c r="AH77" s="1">
        <v>55.490196078431396</v>
      </c>
      <c r="AI77" s="1"/>
      <c r="AJ77" s="1">
        <f>(1/112*2240)*1.09090909090909</f>
        <v>21.818181818181799</v>
      </c>
      <c r="AK77" s="1">
        <f>(1/112*2240)*2.16339869281046</f>
        <v>43.267973856209203</v>
      </c>
      <c r="AM77" s="1">
        <v>47.637083218077755</v>
      </c>
      <c r="AN77" s="1">
        <v>46.913200675754325</v>
      </c>
      <c r="AO77" s="1">
        <v>58.73648672135684</v>
      </c>
    </row>
    <row r="78" spans="1:41" x14ac:dyDescent="0.25">
      <c r="A78" s="8">
        <f t="shared" si="3"/>
        <v>1911</v>
      </c>
      <c r="C78" s="1">
        <v>85.726666666666674</v>
      </c>
      <c r="D78" s="1"/>
      <c r="E78" s="1">
        <f>2240*0.0237135176651306</f>
        <v>53.118279569892543</v>
      </c>
      <c r="F78" s="1"/>
      <c r="G78" s="3"/>
      <c r="H78" s="1"/>
      <c r="I78" s="1">
        <v>29.089966857487198</v>
      </c>
      <c r="J78" s="3"/>
      <c r="K78" s="3"/>
      <c r="L78" s="1">
        <f>(1/112*2240)*3</f>
        <v>60</v>
      </c>
      <c r="M78" s="1"/>
      <c r="N78" s="1">
        <v>49.634710835982375</v>
      </c>
      <c r="O78" s="1"/>
      <c r="P78" s="1"/>
      <c r="Q78" s="1"/>
      <c r="R78" s="1"/>
      <c r="S78" s="1"/>
      <c r="T78" s="1"/>
      <c r="U78" s="1">
        <f>(1/2204.62*2240)*54.3636</f>
        <v>55.236033420725562</v>
      </c>
      <c r="V78" s="1">
        <v>56.379721669980121</v>
      </c>
      <c r="W78" s="1">
        <f>(1/112*2240)*1.80930499712809</f>
        <v>36.186099942561796</v>
      </c>
      <c r="X78" s="1">
        <f>2240*0.0148660714285714</f>
        <v>33.29999999999994</v>
      </c>
      <c r="Y78" s="1">
        <f>2240*0.00761478163493841</f>
        <v>17.057110862262039</v>
      </c>
      <c r="Z78" s="1">
        <f>2240*0.0284720145337993</f>
        <v>63.777312555710431</v>
      </c>
      <c r="AB78" s="1"/>
      <c r="AC78" s="1"/>
      <c r="AD78" s="1"/>
      <c r="AE78" s="1"/>
      <c r="AG78" s="1">
        <v>27.318489835430782</v>
      </c>
      <c r="AH78" s="1">
        <v>63.8888888888888</v>
      </c>
      <c r="AI78" s="1"/>
      <c r="AJ78" s="1">
        <f>(1/112*2240)*2.12658227848101</f>
        <v>42.531645569620196</v>
      </c>
      <c r="AK78" s="1">
        <f>(1/112*2240)*2.54700854700855</f>
        <v>50.940170940171001</v>
      </c>
      <c r="AM78" s="1">
        <v>56.748139807025673</v>
      </c>
      <c r="AN78" s="1">
        <v>55.310472808964064</v>
      </c>
      <c r="AO78" s="1">
        <v>56.264084492018846</v>
      </c>
    </row>
    <row r="79" spans="1:41" x14ac:dyDescent="0.25">
      <c r="A79" s="8">
        <f t="shared" si="3"/>
        <v>1912</v>
      </c>
      <c r="C79" s="1">
        <v>75.88000000000001</v>
      </c>
      <c r="D79" s="1"/>
      <c r="E79" s="1"/>
      <c r="F79" s="1"/>
      <c r="G79" s="3"/>
      <c r="H79" s="1"/>
      <c r="I79" s="1">
        <v>27.8371975442398</v>
      </c>
      <c r="J79" s="3"/>
      <c r="K79" s="3"/>
      <c r="L79" s="1"/>
      <c r="M79" s="1"/>
      <c r="O79" s="1"/>
      <c r="P79" s="1"/>
      <c r="Q79" s="1"/>
      <c r="R79" s="1"/>
      <c r="S79" s="1"/>
      <c r="T79" s="1"/>
      <c r="U79" s="1">
        <f>(1/2204.62*2240)*49.7273</f>
        <v>50.525329535248702</v>
      </c>
      <c r="V79" s="1">
        <v>52.494366197183098</v>
      </c>
      <c r="W79" s="1">
        <f>(1/112*2240)*2.07796623891835</f>
        <v>41.559324778366999</v>
      </c>
      <c r="X79" s="3">
        <f>2240*AVERAGE(0.0197802197802198,0.0117216117216117,0.0142857142857143)</f>
        <v>34.188034188034194</v>
      </c>
      <c r="Y79" s="1">
        <f>2240*0.00924140858522436</f>
        <v>20.700755230902566</v>
      </c>
      <c r="Z79" s="1">
        <f>2240*0.0304657353451822</f>
        <v>68.243247173208132</v>
      </c>
      <c r="AB79" s="1"/>
      <c r="AC79" s="1"/>
      <c r="AD79" s="1"/>
      <c r="AE79" s="1"/>
      <c r="AF79" s="1"/>
      <c r="AG79" s="1">
        <v>26.064516129032256</v>
      </c>
      <c r="AH79" s="1"/>
      <c r="AI79" s="1"/>
      <c r="AJ79" s="1">
        <f>(1/112*2240)*2.34782608695652</f>
        <v>46.956521739130402</v>
      </c>
      <c r="AK79" s="1">
        <f>(1/112*2240)*2.8125</f>
        <v>56.25</v>
      </c>
      <c r="AM79" s="1">
        <v>57.621267825888836</v>
      </c>
      <c r="AN79" s="1">
        <v>49.467507394354492</v>
      </c>
      <c r="AO79" s="1">
        <v>53.130238203936322</v>
      </c>
    </row>
    <row r="80" spans="1:41" x14ac:dyDescent="0.25">
      <c r="A80" s="8">
        <f t="shared" si="3"/>
        <v>1913</v>
      </c>
      <c r="C80" s="1">
        <v>82.506666666666661</v>
      </c>
      <c r="D80" s="1"/>
      <c r="E80" s="1"/>
      <c r="F80" s="1"/>
      <c r="G80" s="1"/>
      <c r="H80" s="1"/>
      <c r="I80" s="1">
        <v>30.734145991682205</v>
      </c>
      <c r="J80" s="3"/>
      <c r="K80" s="3"/>
      <c r="L80" s="1"/>
      <c r="M80" s="1"/>
      <c r="N80" s="1"/>
      <c r="O80" s="1"/>
      <c r="P80" s="1"/>
      <c r="Q80" s="1"/>
      <c r="R80" s="1"/>
      <c r="S80" s="1"/>
      <c r="T80" s="1"/>
      <c r="U80" s="1">
        <f>(1/2204.62*2240)*46.3636</f>
        <v>47.107648483638897</v>
      </c>
      <c r="V80" s="1">
        <v>44.13134328358209</v>
      </c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>
        <v>37.481481481481481</v>
      </c>
      <c r="AH80" s="1"/>
      <c r="AI80" s="1"/>
      <c r="AJ80" s="1"/>
      <c r="AK80" s="1"/>
      <c r="AM80" s="1">
        <v>54.101457657858198</v>
      </c>
      <c r="AN80" s="1">
        <v>50.900062145978126</v>
      </c>
      <c r="AO80" s="1">
        <v>55.561888376411112</v>
      </c>
    </row>
    <row r="81" spans="1:41" x14ac:dyDescent="0.25">
      <c r="A81" s="8">
        <f t="shared" si="3"/>
        <v>1914</v>
      </c>
      <c r="C81" s="1">
        <v>76.066666666666663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M81" s="1">
        <v>64.846193626620533</v>
      </c>
      <c r="AN81" s="1">
        <v>41.257894910832121</v>
      </c>
      <c r="AO81" s="1">
        <v>39.666666666666664</v>
      </c>
    </row>
    <row r="82" spans="1:41" x14ac:dyDescent="0.25">
      <c r="A82" s="8">
        <f t="shared" si="3"/>
        <v>1915</v>
      </c>
      <c r="C82" s="1">
        <v>63.186666666666675</v>
      </c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M82" s="1">
        <v>45.244909831297264</v>
      </c>
      <c r="AN82" s="1">
        <v>21.964285714285719</v>
      </c>
      <c r="AO82" s="1">
        <v>40.541666666666664</v>
      </c>
    </row>
    <row r="83" spans="1:41" x14ac:dyDescent="0.25">
      <c r="A83" s="8">
        <f t="shared" si="3"/>
        <v>1916</v>
      </c>
      <c r="C83" s="1">
        <v>100.61333333333336</v>
      </c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M83" s="1">
        <v>51.444856311530948</v>
      </c>
      <c r="AN83" s="1">
        <v>31.285714285714288</v>
      </c>
      <c r="AO83" s="1">
        <v>57.166666666666664</v>
      </c>
    </row>
    <row r="84" spans="1:41" x14ac:dyDescent="0.25">
      <c r="A84" s="8">
        <f t="shared" si="3"/>
        <v>1917</v>
      </c>
      <c r="C84" s="1">
        <v>174.06666666666666</v>
      </c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M84" s="1">
        <v>87.170590170799557</v>
      </c>
      <c r="AN84" s="1">
        <v>49.392857142857146</v>
      </c>
      <c r="AO84" s="1">
        <v>91.956018311111109</v>
      </c>
    </row>
    <row r="85" spans="1:41" x14ac:dyDescent="0.25">
      <c r="A85" s="8">
        <f t="shared" si="3"/>
        <v>1918</v>
      </c>
      <c r="C85" s="1">
        <v>237.01999999999998</v>
      </c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M85" s="1">
        <v>106.46591725396547</v>
      </c>
      <c r="AN85" s="1">
        <v>69.964285714285722</v>
      </c>
      <c r="AO85" s="1">
        <v>137.92534248888887</v>
      </c>
    </row>
    <row r="86" spans="1:41" x14ac:dyDescent="0.25">
      <c r="A86" s="8">
        <f t="shared" si="3"/>
        <v>1919</v>
      </c>
      <c r="C86" s="1">
        <v>239.11999999999998</v>
      </c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M86" s="1">
        <v>172.01157370197717</v>
      </c>
      <c r="AN86" s="1">
        <v>68.035714285714292</v>
      </c>
      <c r="AO86" s="1">
        <v>120.48563084870447</v>
      </c>
    </row>
    <row r="87" spans="1:41" x14ac:dyDescent="0.25">
      <c r="A87" s="8">
        <f t="shared" si="3"/>
        <v>1920</v>
      </c>
      <c r="C87" s="1">
        <v>374.22</v>
      </c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M87" s="1">
        <v>205.260146232913</v>
      </c>
      <c r="AN87" s="1">
        <v>53.866071428571438</v>
      </c>
      <c r="AO87" s="1">
        <v>120.32973756542037</v>
      </c>
    </row>
    <row r="88" spans="1:41" x14ac:dyDescent="0.25">
      <c r="A88" s="8">
        <f t="shared" si="3"/>
        <v>1921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N88" s="1">
        <v>34.607142857142861</v>
      </c>
    </row>
    <row r="89" spans="1:41" x14ac:dyDescent="0.25">
      <c r="A89" s="8">
        <f t="shared" si="3"/>
        <v>1922</v>
      </c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N89" s="1">
        <v>54.937500000000007</v>
      </c>
    </row>
    <row r="90" spans="1:41" x14ac:dyDescent="0.25">
      <c r="A90" s="8">
        <f t="shared" si="3"/>
        <v>1923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N90" s="1">
        <v>53.517857142857153</v>
      </c>
    </row>
    <row r="91" spans="1:41" x14ac:dyDescent="0.25">
      <c r="A91" s="8">
        <f t="shared" si="3"/>
        <v>1924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N91" s="1">
        <v>62.383928571428577</v>
      </c>
    </row>
    <row r="92" spans="1:41" x14ac:dyDescent="0.25">
      <c r="A92" s="8">
        <f t="shared" si="3"/>
        <v>1925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N92" s="1">
        <v>49.232142857142868</v>
      </c>
    </row>
    <row r="93" spans="1:41" x14ac:dyDescent="0.25">
      <c r="A93" s="8">
        <f t="shared" si="3"/>
        <v>1926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N93" s="1">
        <v>37.098214285714292</v>
      </c>
    </row>
    <row r="94" spans="1:41" x14ac:dyDescent="0.25">
      <c r="A94" s="8">
        <f t="shared" si="3"/>
        <v>1927</v>
      </c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N94" s="1">
        <v>31.714285714285719</v>
      </c>
    </row>
    <row r="95" spans="1:41" x14ac:dyDescent="0.25">
      <c r="A95" s="8">
        <f t="shared" si="3"/>
        <v>1928</v>
      </c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N95" s="1">
        <v>42.589285714285722</v>
      </c>
    </row>
    <row r="96" spans="1:41" x14ac:dyDescent="0.25">
      <c r="A96" s="8">
        <f t="shared" si="3"/>
        <v>1929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N96" s="1">
        <v>36.375000000000007</v>
      </c>
    </row>
    <row r="97" spans="1:40" x14ac:dyDescent="0.25">
      <c r="A97" s="8">
        <f t="shared" si="3"/>
        <v>1930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N97" s="1">
        <v>25.046218487394956</v>
      </c>
    </row>
    <row r="98" spans="1:40" x14ac:dyDescent="0.25">
      <c r="A98" s="8">
        <f t="shared" si="3"/>
        <v>1931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N98" s="1">
        <v>18.025210084033613</v>
      </c>
    </row>
    <row r="99" spans="1:40" hidden="1" x14ac:dyDescent="0.25">
      <c r="A99" s="8">
        <f t="shared" si="3"/>
        <v>1932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spans="1:40" hidden="1" x14ac:dyDescent="0.25">
      <c r="A100" s="8">
        <f t="shared" si="3"/>
        <v>1933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 spans="1:40" hidden="1" x14ac:dyDescent="0.25">
      <c r="A101" s="8">
        <f t="shared" si="3"/>
        <v>1934</v>
      </c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</row>
    <row r="102" spans="1:40" hidden="1" x14ac:dyDescent="0.25">
      <c r="A102" s="8">
        <f t="shared" si="3"/>
        <v>1935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 spans="1:40" hidden="1" x14ac:dyDescent="0.25">
      <c r="A103" s="8">
        <f t="shared" si="3"/>
        <v>1936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 spans="1:40" hidden="1" x14ac:dyDescent="0.25">
      <c r="A104" s="8">
        <f t="shared" si="3"/>
        <v>1937</v>
      </c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  <row r="105" spans="1:40" hidden="1" x14ac:dyDescent="0.25">
      <c r="A105" s="8">
        <f t="shared" si="3"/>
        <v>1938</v>
      </c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</row>
    <row r="106" spans="1:40" hidden="1" x14ac:dyDescent="0.25">
      <c r="A106" s="8">
        <f t="shared" si="3"/>
        <v>1939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 spans="1:40" hidden="1" x14ac:dyDescent="0.25">
      <c r="A107" s="8">
        <f t="shared" si="3"/>
        <v>1940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spans="1:40" hidden="1" x14ac:dyDescent="0.25">
      <c r="A108" s="8">
        <f t="shared" si="3"/>
        <v>1941</v>
      </c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 spans="1:40" hidden="1" x14ac:dyDescent="0.25">
      <c r="A109" s="8">
        <f t="shared" si="3"/>
        <v>1942</v>
      </c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spans="1:40" hidden="1" x14ac:dyDescent="0.25">
      <c r="A110" s="8">
        <f t="shared" si="3"/>
        <v>1943</v>
      </c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 spans="1:40" hidden="1" x14ac:dyDescent="0.25">
      <c r="A111" s="8">
        <f t="shared" si="3"/>
        <v>1944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spans="1:40" hidden="1" x14ac:dyDescent="0.25">
      <c r="A112" s="8">
        <f t="shared" si="3"/>
        <v>1945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 spans="1:37" hidden="1" x14ac:dyDescent="0.25">
      <c r="A113" s="8">
        <f t="shared" si="3"/>
        <v>1946</v>
      </c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7" hidden="1" x14ac:dyDescent="0.25">
      <c r="A114" s="8">
        <f t="shared" si="3"/>
        <v>1947</v>
      </c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7" hidden="1" x14ac:dyDescent="0.25">
      <c r="A115" s="8">
        <f t="shared" si="3"/>
        <v>1948</v>
      </c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 spans="1:37" hidden="1" x14ac:dyDescent="0.25">
      <c r="A116" s="8">
        <f t="shared" si="3"/>
        <v>1949</v>
      </c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 spans="1:37" hidden="1" x14ac:dyDescent="0.25">
      <c r="A117" s="8">
        <f t="shared" si="3"/>
        <v>1950</v>
      </c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spans="1:37" hidden="1" x14ac:dyDescent="0.25">
      <c r="A118" s="8">
        <f t="shared" si="3"/>
        <v>1951</v>
      </c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spans="1:37" hidden="1" x14ac:dyDescent="0.25">
      <c r="A119" s="8">
        <f t="shared" si="3"/>
        <v>1952</v>
      </c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 spans="1:37" hidden="1" x14ac:dyDescent="0.25">
      <c r="A120" s="8">
        <f t="shared" si="3"/>
        <v>1953</v>
      </c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spans="1:37" hidden="1" x14ac:dyDescent="0.25">
      <c r="A121" s="8">
        <f t="shared" si="3"/>
        <v>1954</v>
      </c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 spans="1:37" hidden="1" x14ac:dyDescent="0.25">
      <c r="A122" s="8">
        <f t="shared" si="3"/>
        <v>1955</v>
      </c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1:37" hidden="1" x14ac:dyDescent="0.25">
      <c r="A123" s="8">
        <f t="shared" si="3"/>
        <v>1956</v>
      </c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 spans="1:37" hidden="1" x14ac:dyDescent="0.25">
      <c r="A124" s="8">
        <f t="shared" si="3"/>
        <v>1957</v>
      </c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</row>
    <row r="125" spans="1:37" hidden="1" x14ac:dyDescent="0.25">
      <c r="A125" s="8">
        <f t="shared" si="3"/>
        <v>1958</v>
      </c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</row>
    <row r="126" spans="1:37" hidden="1" x14ac:dyDescent="0.25">
      <c r="A126" s="8">
        <f t="shared" si="3"/>
        <v>1959</v>
      </c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 spans="1:37" hidden="1" x14ac:dyDescent="0.25">
      <c r="A127" s="8">
        <f t="shared" si="3"/>
        <v>1960</v>
      </c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spans="1:37" hidden="1" x14ac:dyDescent="0.25">
      <c r="A128" s="8">
        <f t="shared" si="3"/>
        <v>1961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1:37" hidden="1" x14ac:dyDescent="0.25">
      <c r="A129" s="8">
        <f t="shared" si="3"/>
        <v>1962</v>
      </c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  <row r="130" spans="1:37" hidden="1" x14ac:dyDescent="0.25">
      <c r="A130" s="8">
        <f t="shared" si="3"/>
        <v>1963</v>
      </c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 spans="1:37" hidden="1" x14ac:dyDescent="0.25">
      <c r="A131" s="8">
        <f t="shared" si="3"/>
        <v>1964</v>
      </c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 spans="1:37" hidden="1" x14ac:dyDescent="0.25">
      <c r="A132" s="8">
        <f t="shared" si="3"/>
        <v>1965</v>
      </c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</row>
    <row r="133" spans="1:37" hidden="1" x14ac:dyDescent="0.25">
      <c r="A133" s="8">
        <f t="shared" si="3"/>
        <v>1966</v>
      </c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 spans="1:37" hidden="1" x14ac:dyDescent="0.25">
      <c r="A134" s="8">
        <f t="shared" si="3"/>
        <v>1967</v>
      </c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</row>
    <row r="135" spans="1:37" hidden="1" x14ac:dyDescent="0.25">
      <c r="A135" s="8">
        <f t="shared" si="3"/>
        <v>1968</v>
      </c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spans="1:37" hidden="1" x14ac:dyDescent="0.25">
      <c r="A136" s="8">
        <f t="shared" ref="A136:A145" si="4">A135+1</f>
        <v>1969</v>
      </c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 spans="1:37" hidden="1" x14ac:dyDescent="0.25">
      <c r="A137" s="8">
        <f t="shared" si="4"/>
        <v>1970</v>
      </c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 spans="1:37" hidden="1" x14ac:dyDescent="0.25">
      <c r="A138" s="8">
        <f t="shared" si="4"/>
        <v>1971</v>
      </c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  <row r="139" spans="1:37" hidden="1" x14ac:dyDescent="0.25">
      <c r="A139" s="8">
        <f t="shared" si="4"/>
        <v>1972</v>
      </c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</row>
    <row r="140" spans="1:37" hidden="1" x14ac:dyDescent="0.25">
      <c r="A140" s="8">
        <f t="shared" si="4"/>
        <v>1973</v>
      </c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 spans="1:37" hidden="1" x14ac:dyDescent="0.25">
      <c r="A141" s="8">
        <f t="shared" si="4"/>
        <v>1974</v>
      </c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</row>
    <row r="142" spans="1:37" hidden="1" x14ac:dyDescent="0.25">
      <c r="A142" s="8">
        <f t="shared" si="4"/>
        <v>1975</v>
      </c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</row>
    <row r="143" spans="1:37" hidden="1" x14ac:dyDescent="0.25">
      <c r="A143" s="8">
        <f t="shared" si="4"/>
        <v>1976</v>
      </c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</row>
    <row r="144" spans="1:37" hidden="1" x14ac:dyDescent="0.25">
      <c r="A144" s="8">
        <f t="shared" si="4"/>
        <v>1977</v>
      </c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 spans="1:37" hidden="1" x14ac:dyDescent="0.25">
      <c r="A145" s="8">
        <f t="shared" si="4"/>
        <v>1978</v>
      </c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 spans="1:37" x14ac:dyDescent="0.25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</row>
    <row r="147" spans="1:37" x14ac:dyDescent="0.25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</row>
    <row r="148" spans="1:37" x14ac:dyDescent="0.25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 spans="1:37" x14ac:dyDescent="0.25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 spans="1:37" x14ac:dyDescent="0.25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 spans="1:37" x14ac:dyDescent="0.25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spans="1:37" x14ac:dyDescent="0.25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  <row r="153" spans="1:37" x14ac:dyDescent="0.25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 spans="1:37" x14ac:dyDescent="0.25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</row>
    <row r="155" spans="1:37" x14ac:dyDescent="0.25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 spans="1:37" x14ac:dyDescent="0.25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</row>
    <row r="157" spans="1:37" x14ac:dyDescent="0.25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</row>
    <row r="158" spans="1:37" x14ac:dyDescent="0.25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</row>
    <row r="159" spans="1:37" x14ac:dyDescent="0.25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</row>
    <row r="160" spans="1:37" x14ac:dyDescent="0.25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</row>
    <row r="161" spans="3:37" x14ac:dyDescent="0.25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</row>
    <row r="162" spans="3:37" x14ac:dyDescent="0.25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 spans="3:37" x14ac:dyDescent="0.25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 spans="3:37" x14ac:dyDescent="0.25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 spans="3:37" x14ac:dyDescent="0.25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 spans="3:37" x14ac:dyDescent="0.25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 spans="3:37" x14ac:dyDescent="0.25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3:37" x14ac:dyDescent="0.25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3:37" x14ac:dyDescent="0.25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</row>
    <row r="170" spans="3:37" x14ac:dyDescent="0.25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</row>
    <row r="171" spans="3:37" x14ac:dyDescent="0.25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 spans="3:37" x14ac:dyDescent="0.25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</row>
    <row r="173" spans="3:37" x14ac:dyDescent="0.25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</row>
    <row r="174" spans="3:37" x14ac:dyDescent="0.25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</row>
    <row r="175" spans="3:37" x14ac:dyDescent="0.25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</row>
    <row r="176" spans="3:37" x14ac:dyDescent="0.25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</row>
    <row r="177" spans="3:37" x14ac:dyDescent="0.25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</row>
    <row r="178" spans="3:37" x14ac:dyDescent="0.25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</row>
    <row r="179" spans="3:37" x14ac:dyDescent="0.25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3:37" x14ac:dyDescent="0.25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</row>
    <row r="181" spans="3:37" x14ac:dyDescent="0.25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</row>
    <row r="182" spans="3:37" x14ac:dyDescent="0.25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</row>
    <row r="183" spans="3:37" x14ac:dyDescent="0.25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</row>
    <row r="184" spans="3:37" x14ac:dyDescent="0.25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</row>
    <row r="185" spans="3:37" x14ac:dyDescent="0.25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</row>
    <row r="186" spans="3:37" x14ac:dyDescent="0.25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</row>
    <row r="187" spans="3:37" x14ac:dyDescent="0.25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</row>
    <row r="188" spans="3:37" x14ac:dyDescent="0.25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</row>
    <row r="189" spans="3:37" x14ac:dyDescent="0.25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</row>
    <row r="190" spans="3:37" x14ac:dyDescent="0.25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</row>
    <row r="191" spans="3:37" x14ac:dyDescent="0.25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 spans="3:37" x14ac:dyDescent="0.25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</row>
    <row r="193" spans="3:37" x14ac:dyDescent="0.25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 spans="3:37" x14ac:dyDescent="0.25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 spans="3:37" x14ac:dyDescent="0.25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 spans="3:37" x14ac:dyDescent="0.25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</row>
    <row r="197" spans="3:37" x14ac:dyDescent="0.25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</row>
    <row r="198" spans="3:37" x14ac:dyDescent="0.25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</row>
    <row r="199" spans="3:37" x14ac:dyDescent="0.25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</row>
    <row r="200" spans="3:37" x14ac:dyDescent="0.25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 spans="3:37" x14ac:dyDescent="0.25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</row>
    <row r="202" spans="3:37" x14ac:dyDescent="0.25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</row>
    <row r="203" spans="3:37" x14ac:dyDescent="0.25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</row>
    <row r="204" spans="3:37" x14ac:dyDescent="0.25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</row>
    <row r="205" spans="3:37" x14ac:dyDescent="0.25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</row>
    <row r="206" spans="3:37" x14ac:dyDescent="0.25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</row>
    <row r="207" spans="3:37" x14ac:dyDescent="0.25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</row>
    <row r="208" spans="3:37" x14ac:dyDescent="0.25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</row>
    <row r="209" spans="3:37" x14ac:dyDescent="0.25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</row>
    <row r="210" spans="3:37" x14ac:dyDescent="0.25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</row>
    <row r="211" spans="3:37" x14ac:dyDescent="0.25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</row>
    <row r="212" spans="3:37" x14ac:dyDescent="0.25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</row>
    <row r="213" spans="3:37" x14ac:dyDescent="0.25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</row>
    <row r="214" spans="3:37" x14ac:dyDescent="0.25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</row>
    <row r="215" spans="3:37" x14ac:dyDescent="0.25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</row>
    <row r="216" spans="3:37" x14ac:dyDescent="0.25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</row>
    <row r="217" spans="3:37" x14ac:dyDescent="0.25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 spans="3:37" x14ac:dyDescent="0.25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</row>
    <row r="219" spans="3:37" x14ac:dyDescent="0.25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</row>
    <row r="220" spans="3:37" x14ac:dyDescent="0.25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</row>
    <row r="221" spans="3:37" x14ac:dyDescent="0.25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3:37" x14ac:dyDescent="0.25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3:37" x14ac:dyDescent="0.25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</row>
    <row r="224" spans="3:37" x14ac:dyDescent="0.25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</row>
    <row r="225" spans="3:37" x14ac:dyDescent="0.25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 spans="3:37" x14ac:dyDescent="0.25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</row>
    <row r="227" spans="3:37" x14ac:dyDescent="0.25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</row>
    <row r="228" spans="3:37" x14ac:dyDescent="0.25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</row>
    <row r="229" spans="3:37" x14ac:dyDescent="0.25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</row>
    <row r="230" spans="3:37" x14ac:dyDescent="0.25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</row>
    <row r="231" spans="3:37" x14ac:dyDescent="0.25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</row>
    <row r="232" spans="3:37" x14ac:dyDescent="0.25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 spans="3:37" x14ac:dyDescent="0.25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</row>
    <row r="234" spans="3:37" x14ac:dyDescent="0.25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</row>
    <row r="235" spans="3:37" x14ac:dyDescent="0.25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</row>
    <row r="236" spans="3:37" x14ac:dyDescent="0.25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</row>
    <row r="237" spans="3:37" x14ac:dyDescent="0.25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</row>
    <row r="238" spans="3:37" x14ac:dyDescent="0.25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</row>
    <row r="239" spans="3:37" x14ac:dyDescent="0.25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</row>
    <row r="240" spans="3:37" x14ac:dyDescent="0.25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</row>
    <row r="241" spans="3:37" x14ac:dyDescent="0.25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</row>
    <row r="242" spans="3:37" x14ac:dyDescent="0.25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</row>
    <row r="243" spans="3:37" x14ac:dyDescent="0.25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</row>
    <row r="244" spans="3:37" x14ac:dyDescent="0.25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</row>
    <row r="245" spans="3:37" x14ac:dyDescent="0.25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</row>
    <row r="246" spans="3:37" x14ac:dyDescent="0.25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</row>
    <row r="247" spans="3:37" x14ac:dyDescent="0.25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</row>
    <row r="248" spans="3:37" x14ac:dyDescent="0.25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</row>
    <row r="249" spans="3:37" x14ac:dyDescent="0.25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</row>
    <row r="250" spans="3:37" x14ac:dyDescent="0.25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</row>
    <row r="251" spans="3:37" x14ac:dyDescent="0.25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</row>
    <row r="252" spans="3:37" x14ac:dyDescent="0.25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</row>
    <row r="253" spans="3:37" x14ac:dyDescent="0.25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</row>
    <row r="254" spans="3:37" x14ac:dyDescent="0.25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</row>
    <row r="255" spans="3:37" x14ac:dyDescent="0.25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</row>
  </sheetData>
  <pageMargins left="0.75" right="0.75" top="1" bottom="1" header="0.5" footer="0.5"/>
  <pageSetup paperSize="9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>
      <selection activeCell="T3" sqref="T3"/>
    </sheetView>
  </sheetViews>
  <sheetFormatPr defaultRowHeight="13.2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2"/>
  <sheetViews>
    <sheetView workbookViewId="0">
      <selection activeCell="X3" sqref="X3"/>
    </sheetView>
  </sheetViews>
  <sheetFormatPr defaultRowHeight="13.2" x14ac:dyDescent="0.25"/>
  <sheetData>
    <row r="2" spans="2:2" x14ac:dyDescent="0.25">
      <c r="B2" s="13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"/>
  <sheetViews>
    <sheetView workbookViewId="0">
      <selection activeCell="T1" sqref="T1"/>
    </sheetView>
  </sheetViews>
  <sheetFormatPr defaultRowHeight="13.2" x14ac:dyDescent="0.2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"/>
  <sheetViews>
    <sheetView workbookViewId="0">
      <selection activeCell="M34" sqref="M34"/>
    </sheetView>
  </sheetViews>
  <sheetFormatPr defaultRowHeight="13.2" x14ac:dyDescent="0.25"/>
  <sheetData>
    <row r="1" spans="1:1" ht="15" x14ac:dyDescent="0.25">
      <c r="A1" s="1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Intro</vt:lpstr>
      <vt:lpstr>Cotton (All)</vt:lpstr>
      <vt:lpstr>Graphs (All)</vt:lpstr>
      <vt:lpstr>Collective Graph (All)</vt:lpstr>
      <vt:lpstr>Cotton (Adjusted)</vt:lpstr>
      <vt:lpstr>Graph - 1</vt:lpstr>
      <vt:lpstr>Graph - 2</vt:lpstr>
      <vt:lpstr>Graph - 3</vt:lpstr>
      <vt:lpstr>Graph - 4</vt:lpstr>
      <vt:lpstr>Graph - 5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 Ghulam Mustafa</dc:creator>
  <cp:lastModifiedBy>Rai Ghulam Mustafa</cp:lastModifiedBy>
  <dcterms:created xsi:type="dcterms:W3CDTF">2018-10-01T08:45:50Z</dcterms:created>
  <dcterms:modified xsi:type="dcterms:W3CDTF">2018-11-18T13:18:01Z</dcterms:modified>
</cp:coreProperties>
</file>