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4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5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Coffee (All)" sheetId="1" r:id="rId2"/>
    <sheet name="Graphs (All)" sheetId="2" r:id="rId3"/>
    <sheet name="Collective Graph (All)" sheetId="3" r:id="rId4"/>
    <sheet name="Coffee (Adjusted)" sheetId="27" r:id="rId5"/>
    <sheet name="Graph - 1" sheetId="17" r:id="rId6"/>
    <sheet name="Graph - 2" sheetId="18" r:id="rId7"/>
    <sheet name="Graph - 3" sheetId="19" r:id="rId8"/>
  </sheets>
  <calcPr calcId="152511"/>
</workbook>
</file>

<file path=xl/calcChain.xml><?xml version="1.0" encoding="utf-8"?>
<calcChain xmlns="http://schemas.openxmlformats.org/spreadsheetml/2006/main">
  <c r="AE6" i="27" l="1"/>
  <c r="P77" i="27" l="1"/>
  <c r="L80" i="27"/>
  <c r="I80" i="27"/>
  <c r="H80" i="27"/>
  <c r="AB79" i="27"/>
  <c r="W79" i="27"/>
  <c r="V79" i="27"/>
  <c r="U79" i="27"/>
  <c r="L79" i="27"/>
  <c r="I79" i="27"/>
  <c r="H79" i="27"/>
  <c r="E79" i="27"/>
  <c r="AB78" i="27"/>
  <c r="Z78" i="27"/>
  <c r="V78" i="27"/>
  <c r="U78" i="27"/>
  <c r="L78" i="27"/>
  <c r="I78" i="27"/>
  <c r="H78" i="27"/>
  <c r="G78" i="27"/>
  <c r="E78" i="27"/>
  <c r="AB77" i="27"/>
  <c r="Z77" i="27"/>
  <c r="V77" i="27"/>
  <c r="U77" i="27"/>
  <c r="L77" i="27"/>
  <c r="H77" i="27"/>
  <c r="G77" i="27"/>
  <c r="E77" i="27"/>
  <c r="Z76" i="27"/>
  <c r="V76" i="27"/>
  <c r="U76" i="27"/>
  <c r="L76" i="27"/>
  <c r="H76" i="27"/>
  <c r="E76" i="27"/>
  <c r="AB75" i="27"/>
  <c r="Z75" i="27"/>
  <c r="V75" i="27"/>
  <c r="U75" i="27"/>
  <c r="L75" i="27"/>
  <c r="H75" i="27"/>
  <c r="E75" i="27"/>
  <c r="AB74" i="27"/>
  <c r="Z74" i="27"/>
  <c r="V74" i="27"/>
  <c r="U74" i="27"/>
  <c r="L74" i="27"/>
  <c r="H74" i="27"/>
  <c r="E74" i="27"/>
  <c r="Z73" i="27"/>
  <c r="L73" i="27"/>
  <c r="H73" i="27"/>
  <c r="E73" i="27"/>
  <c r="Z72" i="27"/>
  <c r="U72" i="27"/>
  <c r="L72" i="27"/>
  <c r="H72" i="27"/>
  <c r="E72" i="27"/>
  <c r="Z71" i="27"/>
  <c r="U71" i="27"/>
  <c r="L71" i="27"/>
  <c r="H71" i="27"/>
  <c r="E71" i="27"/>
  <c r="Z70" i="27"/>
  <c r="U70" i="27"/>
  <c r="L70" i="27"/>
  <c r="H70" i="27"/>
  <c r="E70" i="27"/>
  <c r="AA69" i="27"/>
  <c r="Z69" i="27"/>
  <c r="U69" i="27"/>
  <c r="L69" i="27"/>
  <c r="H69" i="27"/>
  <c r="E69" i="27"/>
  <c r="AD68" i="27"/>
  <c r="AC68" i="27"/>
  <c r="AB68" i="27"/>
  <c r="AA68" i="27"/>
  <c r="Z68" i="27"/>
  <c r="U68" i="27"/>
  <c r="L68" i="27"/>
  <c r="H68" i="27"/>
  <c r="E68" i="27"/>
  <c r="AD67" i="27"/>
  <c r="AC67" i="27"/>
  <c r="AB67" i="27"/>
  <c r="AA67" i="27"/>
  <c r="Z67" i="27"/>
  <c r="U67" i="27"/>
  <c r="L67" i="27"/>
  <c r="H67" i="27"/>
  <c r="E67" i="27"/>
  <c r="AD66" i="27"/>
  <c r="AC66" i="27"/>
  <c r="AB66" i="27"/>
  <c r="AA66" i="27"/>
  <c r="Z66" i="27"/>
  <c r="L66" i="27"/>
  <c r="H66" i="27"/>
  <c r="G66" i="27"/>
  <c r="E66" i="27"/>
  <c r="AD65" i="27"/>
  <c r="AC65" i="27"/>
  <c r="AB65" i="27"/>
  <c r="AA65" i="27"/>
  <c r="Z65" i="27"/>
  <c r="L65" i="27"/>
  <c r="H65" i="27"/>
  <c r="E65" i="27"/>
  <c r="AD64" i="27"/>
  <c r="AC64" i="27"/>
  <c r="AB64" i="27"/>
  <c r="AA64" i="27"/>
  <c r="Z64" i="27"/>
  <c r="L64" i="27"/>
  <c r="H64" i="27"/>
  <c r="E64" i="27"/>
  <c r="AD63" i="27"/>
  <c r="AC63" i="27"/>
  <c r="AB63" i="27"/>
  <c r="AA63" i="27"/>
  <c r="Z63" i="27"/>
  <c r="L63" i="27"/>
  <c r="H63" i="27"/>
  <c r="AD62" i="27"/>
  <c r="AC62" i="27"/>
  <c r="AB62" i="27"/>
  <c r="AA62" i="27"/>
  <c r="Z62" i="27"/>
  <c r="L62" i="27"/>
  <c r="H62" i="27"/>
  <c r="AD61" i="27"/>
  <c r="AC61" i="27"/>
  <c r="AB61" i="27"/>
  <c r="Z61" i="27"/>
  <c r="V61" i="27"/>
  <c r="L61" i="27"/>
  <c r="H61" i="27"/>
  <c r="AD60" i="27"/>
  <c r="AC60" i="27"/>
  <c r="AB60" i="27"/>
  <c r="AA60" i="27"/>
  <c r="Z60" i="27"/>
  <c r="L60" i="27"/>
  <c r="H60" i="27"/>
  <c r="AD59" i="27"/>
  <c r="AC59" i="27"/>
  <c r="AB59" i="27"/>
  <c r="AA59" i="27"/>
  <c r="Z59" i="27"/>
  <c r="L59" i="27"/>
  <c r="H59" i="27"/>
  <c r="E59" i="27"/>
  <c r="AD58" i="27"/>
  <c r="AC58" i="27"/>
  <c r="AB58" i="27"/>
  <c r="AA58" i="27"/>
  <c r="Z58" i="27"/>
  <c r="L58" i="27"/>
  <c r="H58" i="27"/>
  <c r="E58" i="27"/>
  <c r="AD57" i="27"/>
  <c r="AC57" i="27"/>
  <c r="AB57" i="27"/>
  <c r="AA57" i="27"/>
  <c r="Z57" i="27"/>
  <c r="L57" i="27"/>
  <c r="H57" i="27"/>
  <c r="E57" i="27"/>
  <c r="AD56" i="27"/>
  <c r="AC56" i="27"/>
  <c r="AB56" i="27"/>
  <c r="Z56" i="27"/>
  <c r="L56" i="27"/>
  <c r="H56" i="27"/>
  <c r="E56" i="27"/>
  <c r="AD55" i="27"/>
  <c r="AC55" i="27"/>
  <c r="AB55" i="27"/>
  <c r="Z55" i="27"/>
  <c r="L55" i="27"/>
  <c r="H55" i="27"/>
  <c r="E55" i="27"/>
  <c r="AD54" i="27"/>
  <c r="AC54" i="27"/>
  <c r="AB54" i="27"/>
  <c r="Z54" i="27"/>
  <c r="P54" i="27"/>
  <c r="L54" i="27"/>
  <c r="H54" i="27"/>
  <c r="E54" i="27"/>
  <c r="Z53" i="27"/>
  <c r="L53" i="27"/>
  <c r="Z52" i="27"/>
  <c r="P52" i="27"/>
  <c r="L52" i="27"/>
  <c r="Z51" i="27"/>
  <c r="L51" i="27"/>
  <c r="J51" i="27"/>
  <c r="Z50" i="27"/>
  <c r="L50" i="27"/>
  <c r="Z49" i="27"/>
  <c r="L49" i="27"/>
  <c r="Z48" i="27"/>
  <c r="L48" i="27"/>
  <c r="Z47" i="27"/>
  <c r="M47" i="27"/>
  <c r="L47" i="27"/>
  <c r="Z46" i="27"/>
  <c r="L46" i="27"/>
  <c r="Z45" i="27"/>
  <c r="F45" i="27"/>
  <c r="E45" i="27"/>
  <c r="Z44" i="27"/>
  <c r="L44" i="27"/>
  <c r="F44" i="27"/>
  <c r="E44" i="27"/>
  <c r="Z43" i="27"/>
  <c r="L43" i="27"/>
  <c r="Z42" i="27"/>
  <c r="L42" i="27"/>
  <c r="E42" i="27"/>
  <c r="Z41" i="27"/>
  <c r="L41" i="27"/>
  <c r="I40" i="27"/>
  <c r="I36" i="27"/>
  <c r="E36" i="27"/>
  <c r="E35" i="27"/>
  <c r="E34" i="27"/>
  <c r="I32" i="27"/>
  <c r="I31" i="27"/>
  <c r="I30" i="27"/>
  <c r="I29" i="27"/>
  <c r="I28" i="27"/>
  <c r="M25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W60" i="1"/>
  <c r="CW61" i="1"/>
  <c r="CW59" i="1"/>
  <c r="CW58" i="1"/>
  <c r="BM76" i="1" l="1"/>
  <c r="BM75" i="1"/>
  <c r="BM74" i="1"/>
  <c r="BM79" i="1" l="1"/>
  <c r="BM78" i="1"/>
  <c r="BM77" i="1"/>
  <c r="BM61" i="1"/>
  <c r="CN78" i="1" l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N44" i="1"/>
  <c r="CN43" i="1"/>
  <c r="CN42" i="1"/>
  <c r="CN41" i="1"/>
  <c r="J80" i="1"/>
  <c r="J79" i="1"/>
  <c r="J78" i="1"/>
  <c r="AL54" i="1" l="1"/>
  <c r="AL52" i="1"/>
  <c r="K51" i="1"/>
  <c r="J40" i="1" l="1"/>
  <c r="J36" i="1"/>
  <c r="J32" i="1"/>
  <c r="J31" i="1"/>
  <c r="J30" i="1"/>
  <c r="J29" i="1"/>
  <c r="J28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E79" i="1" l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59" i="1"/>
  <c r="E58" i="1"/>
  <c r="E57" i="1"/>
  <c r="E56" i="1"/>
  <c r="E55" i="1"/>
  <c r="E54" i="1"/>
  <c r="E45" i="1"/>
  <c r="E44" i="1"/>
  <c r="E42" i="1"/>
  <c r="E36" i="1"/>
  <c r="E35" i="1"/>
  <c r="E34" i="1"/>
  <c r="G78" i="1"/>
  <c r="G77" i="1"/>
  <c r="G66" i="1"/>
  <c r="F45" i="1"/>
  <c r="F44" i="1"/>
  <c r="Q80" i="1" l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4" i="1"/>
  <c r="Q43" i="1"/>
  <c r="Q42" i="1"/>
  <c r="Q41" i="1"/>
  <c r="S25" i="1"/>
  <c r="S47" i="1"/>
  <c r="CQ69" i="1" l="1"/>
  <c r="CQ68" i="1"/>
  <c r="CQ67" i="1"/>
  <c r="CQ66" i="1"/>
  <c r="CQ65" i="1"/>
  <c r="CQ64" i="1"/>
  <c r="CQ63" i="1"/>
  <c r="CQ62" i="1"/>
  <c r="CQ60" i="1"/>
  <c r="CQ59" i="1"/>
  <c r="CQ58" i="1"/>
  <c r="CQ57" i="1"/>
  <c r="CU68" i="1" l="1"/>
  <c r="CU67" i="1"/>
  <c r="CU66" i="1"/>
  <c r="CU65" i="1"/>
  <c r="CU64" i="1"/>
  <c r="CU63" i="1"/>
  <c r="CU62" i="1"/>
  <c r="CU61" i="1"/>
  <c r="CU60" i="1"/>
  <c r="CU59" i="1"/>
  <c r="CU58" i="1"/>
  <c r="CU57" i="1"/>
  <c r="CU56" i="1"/>
  <c r="CU55" i="1"/>
  <c r="CU54" i="1"/>
  <c r="CT54" i="1"/>
  <c r="CT79" i="1"/>
  <c r="CT78" i="1"/>
  <c r="CT77" i="1"/>
  <c r="CT75" i="1"/>
  <c r="CT74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W68" i="1" l="1"/>
  <c r="CW67" i="1"/>
  <c r="CW66" i="1"/>
  <c r="CW65" i="1"/>
  <c r="CW64" i="1"/>
  <c r="CW63" i="1"/>
  <c r="CW62" i="1"/>
  <c r="CW57" i="1"/>
  <c r="CW56" i="1"/>
  <c r="CW55" i="1"/>
  <c r="CW54" i="1"/>
  <c r="BJ79" i="1" l="1"/>
  <c r="BJ78" i="1"/>
  <c r="BJ77" i="1"/>
  <c r="BJ76" i="1"/>
  <c r="BJ75" i="1"/>
  <c r="BJ74" i="1"/>
  <c r="BJ72" i="1"/>
  <c r="BJ71" i="1"/>
  <c r="BJ70" i="1"/>
  <c r="BJ69" i="1"/>
  <c r="BJ68" i="1"/>
  <c r="BJ67" i="1"/>
  <c r="BP79" i="1" l="1"/>
  <c r="AF6" i="1" l="1"/>
  <c r="AG6" i="1"/>
  <c r="AH6" i="1"/>
  <c r="C6" i="1" l="1"/>
  <c r="D6" i="1"/>
  <c r="N6" i="1"/>
  <c r="O6" i="1"/>
  <c r="P6" i="1"/>
  <c r="CZ6" i="1"/>
  <c r="DA6" i="1"/>
  <c r="DB6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M6" i="1"/>
  <c r="L6" i="1"/>
  <c r="K6" i="1"/>
  <c r="J6" i="1"/>
  <c r="I6" i="1"/>
  <c r="H6" i="1"/>
  <c r="G6" i="1"/>
  <c r="F6" i="1"/>
  <c r="E6" i="1"/>
</calcChain>
</file>

<file path=xl/comments1.xml><?xml version="1.0" encoding="utf-8"?>
<comments xmlns="http://schemas.openxmlformats.org/spreadsheetml/2006/main">
  <authors>
    <author>Rai Ghulam Mustafa</author>
  </authors>
  <commentList>
    <comment ref="CW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originally as sterling/bundle, taken to be as sterling/package.</t>
        </r>
      </text>
    </comment>
    <comment ref="CW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sterling/package and 1 package asummed to be 1 cwt.</t>
        </r>
      </text>
    </comment>
    <comment ref="CW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sterling/package and 1 package asummed to be 1 cwt.</t>
        </r>
      </text>
    </comment>
    <comment ref="CW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sterling/package and 1 package asummed to be 1 cwt.</t>
        </r>
      </text>
    </comment>
    <comment ref="BJ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140 sterling/load.</t>
        </r>
      </text>
    </comment>
    <comment ref="CQ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but reconfirmed from the reports.</t>
        </r>
      </text>
    </comment>
    <comment ref="BM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0.532 sterling/bag.</t>
        </r>
      </text>
    </comment>
    <comment ref="CT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279.322033898306 sterling/ton. Small quantities, this is for 14.75 cwts. Only, however quantiies are similar for other immediate years as well.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AD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originally as sterling/bundle, taken to be as sterling/package.</t>
        </r>
      </text>
    </comment>
    <comment ref="AD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sterling/package and 1 package asummed to be 1 cwt.</t>
        </r>
      </text>
    </comment>
    <comment ref="AD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sterling/package and 1 package asummed to be 1 cwt.</t>
        </r>
      </text>
    </comment>
    <comment ref="AD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sterling/package and 1 package asummed to be 1 cwt.</t>
        </r>
      </text>
    </comment>
    <comment ref="U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140 sterling/load.</t>
        </r>
      </text>
    </comment>
    <comment ref="AA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but reconfirmed from the reports.</t>
        </r>
      </text>
    </comment>
    <comment ref="V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0.532 sterling/bag.</t>
        </r>
      </text>
    </comment>
    <comment ref="AB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279.322033898306 sterling/ton. Small quantities, this is for 14.75 cwts. Only, however quantiies are similar for other immediate years as well.</t>
        </r>
      </text>
    </comment>
  </commentList>
</comments>
</file>

<file path=xl/sharedStrings.xml><?xml version="1.0" encoding="utf-8"?>
<sst xmlns="http://schemas.openxmlformats.org/spreadsheetml/2006/main" count="548" uniqueCount="54">
  <si>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</si>
  <si>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</si>
  <si>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</si>
  <si>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</si>
  <si>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</si>
  <si>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</si>
  <si>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</si>
  <si>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</si>
  <si>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</si>
  <si>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</si>
  <si>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</si>
  <si>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</si>
  <si>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</si>
  <si>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</si>
  <si>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</si>
  <si>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</si>
  <si>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</si>
  <si>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</si>
  <si>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</si>
  <si>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</si>
  <si>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</si>
  <si>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</si>
  <si>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</si>
  <si>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</si>
  <si>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</si>
  <si>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</si>
  <si>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</si>
  <si>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</si>
  <si>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</si>
  <si>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</si>
  <si>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</si>
  <si>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</si>
  <si>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</si>
  <si>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</si>
  <si>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</si>
  <si>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</si>
  <si>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</si>
  <si>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</si>
  <si>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</si>
  <si>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</si>
  <si>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</si>
  <si>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</si>
  <si>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Istanbul (Malatya)</t>
  </si>
  <si>
    <t>Istanbul (Geyve)</t>
  </si>
  <si>
    <t>Istanbul (Nallrihan)</t>
  </si>
  <si>
    <t>trade and were published in the British House of Commons papers in the diplomatic &amp; consular reports on trade and finance as well as in the administration reports on the Persian Gulf Political Residency.</t>
  </si>
  <si>
    <t>There are important issues regarding the accuracy of the returns in view of their provenance and the incentives to underreport values and evade taxation.</t>
  </si>
  <si>
    <t>pound/ton</t>
  </si>
  <si>
    <t>Adana</t>
  </si>
  <si>
    <t>Coffee</t>
  </si>
  <si>
    <t>Foreign and Colonial Exports</t>
  </si>
  <si>
    <t>Turkey &amp; Constantinople</t>
  </si>
  <si>
    <r>
      <t xml:space="preserve">The spreadsheet shows the Prices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</t>
    </r>
    <r>
      <rPr>
        <b/>
        <i/>
        <sz val="10"/>
        <rFont val="Arial"/>
        <family val="2"/>
      </rPr>
      <t xml:space="preserve"> Exports </t>
    </r>
    <r>
      <rPr>
        <sz val="10"/>
        <rFont val="Arial"/>
        <family val="2"/>
      </rPr>
      <t xml:space="preserve">of </t>
    </r>
    <r>
      <rPr>
        <b/>
        <i/>
        <sz val="10"/>
        <rFont val="Arial"/>
        <family val="2"/>
      </rPr>
      <t>Coffee</t>
    </r>
    <r>
      <rPr>
        <sz val="10"/>
        <rFont val="Arial"/>
        <family val="2"/>
      </rPr>
      <t xml:space="preserve"> in leading cities in the </t>
    </r>
    <r>
      <rPr>
        <b/>
        <i/>
        <sz val="10"/>
        <rFont val="Arial"/>
        <family val="2"/>
      </rPr>
      <t>Middle East,</t>
    </r>
    <r>
      <rPr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United Kingdom </t>
    </r>
    <r>
      <rPr>
        <sz val="10"/>
        <rFont val="Arial"/>
        <family val="2"/>
      </rPr>
      <t xml:space="preserve">&amp; </t>
    </r>
    <r>
      <rPr>
        <b/>
        <i/>
        <sz val="10"/>
        <rFont val="Arial"/>
        <family val="2"/>
      </rPr>
      <t>India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</si>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</sst>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&quot;?&quot;;\-#,##0&quot;?&quot;"/>
    <numFmt numFmtId="165" formatCode="0.0000"/>
    <numFmt numFmtId="167" formatCode="_(* #,##0.0000_);_(* \(#,##0.0000\);_(* &quot;-&quot;??_);_(@_)"/>
  </numFmts>
  <fonts count="35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1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5" fillId="0" borderId="0">
      <alignment vertical="top"/>
    </xf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3" borderId="0" applyNumberFormat="0" applyFont="0" applyFill="0" applyProtection="0"/>
    <xf numFmtId="0" fontId="15" fillId="4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5" borderId="0" applyNumberFormat="0" applyFont="0" applyFill="0" applyProtection="0"/>
    <xf numFmtId="0" fontId="15" fillId="2" borderId="0" applyNumberFormat="0" applyFont="0" applyFill="0" applyProtection="0"/>
    <xf numFmtId="0" fontId="15" fillId="2" borderId="0" applyNumberFormat="0" applyFont="0" applyFill="0" applyProtection="0"/>
    <xf numFmtId="0" fontId="15" fillId="6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5" borderId="0" applyNumberFormat="0" applyFont="0" applyFill="0" applyProtection="0"/>
    <xf numFmtId="0" fontId="17" fillId="7" borderId="0" applyNumberFormat="0" applyFont="0" applyFill="0" applyProtection="0"/>
    <xf numFmtId="0" fontId="17" fillId="8" borderId="0" applyNumberFormat="0" applyFont="0" applyFill="0" applyProtection="0"/>
    <xf numFmtId="0" fontId="17" fillId="9" borderId="0" applyNumberFormat="0" applyFont="0" applyFill="0" applyProtection="0"/>
    <xf numFmtId="0" fontId="17" fillId="4" borderId="0" applyNumberFormat="0" applyFont="0" applyFill="0" applyProtection="0"/>
    <xf numFmtId="0" fontId="17" fillId="4" borderId="0" applyNumberFormat="0" applyFont="0" applyFill="0" applyProtection="0"/>
    <xf numFmtId="0" fontId="17" fillId="10" borderId="0" applyNumberFormat="0" applyFont="0" applyFill="0" applyProtection="0"/>
    <xf numFmtId="0" fontId="17" fillId="7" borderId="0" applyNumberFormat="0" applyFont="0" applyFill="0" applyProtection="0"/>
    <xf numFmtId="0" fontId="17" fillId="8" borderId="0" applyNumberFormat="0" applyFont="0" applyFill="0" applyProtection="0"/>
    <xf numFmtId="0" fontId="17" fillId="11" borderId="0" applyNumberFormat="0" applyFont="0" applyFill="0" applyProtection="0"/>
    <xf numFmtId="0" fontId="18" fillId="2" borderId="0" applyNumberFormat="0" applyFont="0" applyFill="0" applyProtection="0"/>
    <xf numFmtId="0" fontId="19" fillId="8" borderId="2" applyNumberFormat="0" applyFont="0" applyProtection="0"/>
    <xf numFmtId="0" fontId="20" fillId="11" borderId="3" applyNumberFormat="0" applyFont="0" applyProtection="0"/>
    <xf numFmtId="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1" fillId="0" borderId="0" applyNumberFormat="0" applyFont="0" applyFill="0" applyAlignment="0" applyProtection="0"/>
    <xf numFmtId="0" fontId="22" fillId="2" borderId="0" applyNumberFormat="0" applyFont="0" applyFill="0" applyProtection="0"/>
    <xf numFmtId="0" fontId="23" fillId="0" borderId="4" applyNumberFormat="0" applyFont="0" applyAlignment="0" applyProtection="0"/>
    <xf numFmtId="0" fontId="24" fillId="0" borderId="4" applyNumberFormat="0" applyFont="0" applyAlignment="0" applyProtection="0"/>
    <xf numFmtId="0" fontId="25" fillId="0" borderId="5" applyNumberFormat="0" applyFont="0" applyAlignment="0" applyProtection="0"/>
    <xf numFmtId="0" fontId="25" fillId="0" borderId="0" applyNumberFormat="0" applyFont="0" applyFill="0" applyAlignment="0" applyProtection="0"/>
    <xf numFmtId="0" fontId="26" fillId="4" borderId="2" applyNumberFormat="0" applyFont="0" applyProtection="0"/>
    <xf numFmtId="0" fontId="27" fillId="0" borderId="6" applyNumberFormat="0" applyFont="0" applyAlignment="0" applyProtection="0"/>
    <xf numFmtId="0" fontId="28" fillId="2" borderId="0" applyNumberFormat="0" applyFont="0" applyFill="0" applyProtection="0"/>
    <xf numFmtId="0" fontId="15" fillId="4" borderId="7" applyNumberFormat="0" applyFont="0" applyBorder="0" applyProtection="0"/>
    <xf numFmtId="0" fontId="29" fillId="8" borderId="7" applyNumberFormat="0" applyFont="0" applyProtection="0"/>
    <xf numFmtId="0" fontId="30" fillId="0" borderId="0" applyNumberFormat="0" applyFont="0" applyFill="0" applyAlignment="0" applyProtection="0"/>
    <xf numFmtId="0" fontId="16" fillId="0" borderId="8" applyNumberFormat="0" applyFont="0" applyAlignment="0" applyProtection="0"/>
    <xf numFmtId="0" fontId="31" fillId="0" borderId="0" applyNumberFormat="0" applyFont="0" applyFill="0" applyAlignment="0" applyProtection="0"/>
    <xf numFmtId="43" fontId="34" fillId="0" borderId="0" applyFont="0" applyFill="0" applyBorder="0" applyAlignment="0" applyProtection="0"/>
  </cellStyleXfs>
  <cellXfs count="18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12" fillId="0" borderId="0" xfId="0" applyFont="1" applyAlignment="1"/>
    <xf numFmtId="0" fontId="0" fillId="0" borderId="0" xfId="0" applyFill="1" applyAlignment="1"/>
    <xf numFmtId="0" fontId="32" fillId="0" borderId="0" xfId="8" applyFont="1" applyFill="1" applyBorder="1" applyAlignment="1" applyProtection="1">
      <alignment horizontal="right"/>
    </xf>
    <xf numFmtId="165" fontId="6" fillId="0" borderId="0" xfId="0" quotePrefix="1" applyNumberFormat="1" applyFont="1" applyAlignment="1"/>
    <xf numFmtId="165" fontId="13" fillId="0" borderId="0" xfId="8" applyNumberFormat="1" applyFont="1" applyBorder="1" applyAlignment="1" applyProtection="1">
      <alignment horizontal="center"/>
    </xf>
    <xf numFmtId="167" fontId="0" fillId="0" borderId="0" xfId="60" applyNumberFormat="1" applyFont="1" applyAlignment="1"/>
  </cellXfs>
  <cellStyles count="61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60" builtinId="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Foreign and Colonial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(All)'!$D$7:$D$107</c:f>
              <c:numCache>
                <c:formatCode>0.0000</c:formatCode>
                <c:ptCount val="71"/>
                <c:pt idx="4">
                  <c:v>52.516260566372509</c:v>
                </c:pt>
                <c:pt idx="5">
                  <c:v>58.025104732833945</c:v>
                </c:pt>
                <c:pt idx="6">
                  <c:v>57.796774215519015</c:v>
                </c:pt>
                <c:pt idx="7">
                  <c:v>66.265081218624687</c:v>
                </c:pt>
                <c:pt idx="8">
                  <c:v>61.15130901182053</c:v>
                </c:pt>
                <c:pt idx="9">
                  <c:v>66.428757278682724</c:v>
                </c:pt>
                <c:pt idx="10">
                  <c:v>70.645904034732084</c:v>
                </c:pt>
                <c:pt idx="11">
                  <c:v>69.940965631357798</c:v>
                </c:pt>
                <c:pt idx="12">
                  <c:v>77.464470456238615</c:v>
                </c:pt>
                <c:pt idx="13">
                  <c:v>79.410431566427761</c:v>
                </c:pt>
                <c:pt idx="14">
                  <c:v>73.163651884920043</c:v>
                </c:pt>
                <c:pt idx="15">
                  <c:v>72.873967143704533</c:v>
                </c:pt>
                <c:pt idx="16">
                  <c:v>72.377079709742219</c:v>
                </c:pt>
                <c:pt idx="17">
                  <c:v>69.667084389115345</c:v>
                </c:pt>
                <c:pt idx="18">
                  <c:v>62.032026229964941</c:v>
                </c:pt>
                <c:pt idx="19">
                  <c:v>63.660047892887732</c:v>
                </c:pt>
                <c:pt idx="20">
                  <c:v>60.883602838875923</c:v>
                </c:pt>
                <c:pt idx="21">
                  <c:v>60.749889069664249</c:v>
                </c:pt>
                <c:pt idx="22">
                  <c:v>65.034142870655202</c:v>
                </c:pt>
                <c:pt idx="23">
                  <c:v>84.422102319970818</c:v>
                </c:pt>
                <c:pt idx="24">
                  <c:v>96.939461966467363</c:v>
                </c:pt>
                <c:pt idx="25">
                  <c:v>94.221898772325488</c:v>
                </c:pt>
                <c:pt idx="26">
                  <c:v>94.574016074618626</c:v>
                </c:pt>
                <c:pt idx="27">
                  <c:v>95.008361346918974</c:v>
                </c:pt>
                <c:pt idx="28">
                  <c:v>92.3074372266084</c:v>
                </c:pt>
                <c:pt idx="29">
                  <c:v>90.228570278899383</c:v>
                </c:pt>
                <c:pt idx="30">
                  <c:v>88.438630511598802</c:v>
                </c:pt>
                <c:pt idx="31">
                  <c:v>84.514945270911838</c:v>
                </c:pt>
                <c:pt idx="32">
                  <c:v>78.149137893713572</c:v>
                </c:pt>
                <c:pt idx="33">
                  <c:v>69.761657883608208</c:v>
                </c:pt>
                <c:pt idx="34">
                  <c:v>66.855374909251836</c:v>
                </c:pt>
                <c:pt idx="35">
                  <c:v>64.605930406610213</c:v>
                </c:pt>
                <c:pt idx="36">
                  <c:v>66.85539379872354</c:v>
                </c:pt>
                <c:pt idx="37">
                  <c:v>77.156030468214141</c:v>
                </c:pt>
                <c:pt idx="38">
                  <c:v>75.043445623055874</c:v>
                </c:pt>
                <c:pt idx="39">
                  <c:v>86.582511236938885</c:v>
                </c:pt>
                <c:pt idx="40">
                  <c:v>86.329428013668121</c:v>
                </c:pt>
                <c:pt idx="41">
                  <c:v>92.152924934510281</c:v>
                </c:pt>
                <c:pt idx="42">
                  <c:v>90.463671190790649</c:v>
                </c:pt>
                <c:pt idx="43">
                  <c:v>92.956811033636271</c:v>
                </c:pt>
                <c:pt idx="44">
                  <c:v>93.897458936783806</c:v>
                </c:pt>
                <c:pt idx="45">
                  <c:v>93.244922276493753</c:v>
                </c:pt>
                <c:pt idx="46">
                  <c:v>90.488482045873511</c:v>
                </c:pt>
                <c:pt idx="47">
                  <c:v>85.634363907881976</c:v>
                </c:pt>
                <c:pt idx="48">
                  <c:v>76.31619062614061</c:v>
                </c:pt>
                <c:pt idx="49">
                  <c:v>66.869718709857835</c:v>
                </c:pt>
                <c:pt idx="50">
                  <c:v>66.645507169399053</c:v>
                </c:pt>
                <c:pt idx="51">
                  <c:v>57.62536210464085</c:v>
                </c:pt>
                <c:pt idx="52">
                  <c:v>57.451463142045966</c:v>
                </c:pt>
                <c:pt idx="53">
                  <c:v>49.842109623565975</c:v>
                </c:pt>
                <c:pt idx="54">
                  <c:v>51.87104793817219</c:v>
                </c:pt>
                <c:pt idx="55">
                  <c:v>50.245350525442475</c:v>
                </c:pt>
                <c:pt idx="56">
                  <c:v>51.321510222839493</c:v>
                </c:pt>
                <c:pt idx="57">
                  <c:v>50.072924166289361</c:v>
                </c:pt>
                <c:pt idx="58">
                  <c:v>53.385491058981984</c:v>
                </c:pt>
                <c:pt idx="59">
                  <c:v>50.398628566721804</c:v>
                </c:pt>
                <c:pt idx="60">
                  <c:v>49.397338019495002</c:v>
                </c:pt>
                <c:pt idx="61">
                  <c:v>59.308819697300493</c:v>
                </c:pt>
                <c:pt idx="62">
                  <c:v>74.341069929640426</c:v>
                </c:pt>
                <c:pt idx="63">
                  <c:v>71.604003792412072</c:v>
                </c:pt>
                <c:pt idx="64">
                  <c:v>65.544573079248494</c:v>
                </c:pt>
                <c:pt idx="65">
                  <c:v>62.718098350951912</c:v>
                </c:pt>
                <c:pt idx="66">
                  <c:v>62.854779027751064</c:v>
                </c:pt>
                <c:pt idx="67">
                  <c:v>70.262453322060168</c:v>
                </c:pt>
                <c:pt idx="68">
                  <c:v>83.783837513667535</c:v>
                </c:pt>
                <c:pt idx="69">
                  <c:v>124.17743444950273</c:v>
                </c:pt>
                <c:pt idx="70">
                  <c:v>115.36719495201469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(All)'!$D$7:$D$107</c:f>
              <c:numCache>
                <c:formatCode>0.0000</c:formatCode>
                <c:ptCount val="71"/>
                <c:pt idx="4">
                  <c:v>52.516260566372509</c:v>
                </c:pt>
                <c:pt idx="5">
                  <c:v>58.025104732833945</c:v>
                </c:pt>
                <c:pt idx="6">
                  <c:v>57.796774215519015</c:v>
                </c:pt>
                <c:pt idx="7">
                  <c:v>66.265081218624687</c:v>
                </c:pt>
                <c:pt idx="8">
                  <c:v>61.15130901182053</c:v>
                </c:pt>
                <c:pt idx="9">
                  <c:v>66.428757278682724</c:v>
                </c:pt>
                <c:pt idx="10">
                  <c:v>70.645904034732084</c:v>
                </c:pt>
                <c:pt idx="11">
                  <c:v>69.940965631357798</c:v>
                </c:pt>
                <c:pt idx="12">
                  <c:v>77.464470456238615</c:v>
                </c:pt>
                <c:pt idx="13">
                  <c:v>79.410431566427761</c:v>
                </c:pt>
                <c:pt idx="14">
                  <c:v>73.163651884920043</c:v>
                </c:pt>
                <c:pt idx="15">
                  <c:v>72.873967143704533</c:v>
                </c:pt>
                <c:pt idx="16">
                  <c:v>72.377079709742219</c:v>
                </c:pt>
                <c:pt idx="17">
                  <c:v>69.667084389115345</c:v>
                </c:pt>
                <c:pt idx="18">
                  <c:v>62.032026229964941</c:v>
                </c:pt>
                <c:pt idx="19">
                  <c:v>63.660047892887732</c:v>
                </c:pt>
                <c:pt idx="20">
                  <c:v>60.883602838875923</c:v>
                </c:pt>
                <c:pt idx="21">
                  <c:v>60.749889069664249</c:v>
                </c:pt>
                <c:pt idx="22">
                  <c:v>65.034142870655202</c:v>
                </c:pt>
                <c:pt idx="23">
                  <c:v>84.422102319970818</c:v>
                </c:pt>
                <c:pt idx="24">
                  <c:v>96.939461966467363</c:v>
                </c:pt>
                <c:pt idx="25">
                  <c:v>94.221898772325488</c:v>
                </c:pt>
                <c:pt idx="26">
                  <c:v>94.574016074618626</c:v>
                </c:pt>
                <c:pt idx="27">
                  <c:v>95.008361346918974</c:v>
                </c:pt>
                <c:pt idx="28">
                  <c:v>92.3074372266084</c:v>
                </c:pt>
                <c:pt idx="29">
                  <c:v>90.228570278899383</c:v>
                </c:pt>
                <c:pt idx="30">
                  <c:v>88.438630511598802</c:v>
                </c:pt>
                <c:pt idx="31">
                  <c:v>84.514945270911838</c:v>
                </c:pt>
                <c:pt idx="32">
                  <c:v>78.149137893713572</c:v>
                </c:pt>
                <c:pt idx="33">
                  <c:v>69.761657883608208</c:v>
                </c:pt>
                <c:pt idx="34">
                  <c:v>66.855374909251836</c:v>
                </c:pt>
                <c:pt idx="35">
                  <c:v>64.605930406610213</c:v>
                </c:pt>
                <c:pt idx="36">
                  <c:v>66.85539379872354</c:v>
                </c:pt>
                <c:pt idx="37">
                  <c:v>77.156030468214141</c:v>
                </c:pt>
                <c:pt idx="38">
                  <c:v>75.043445623055874</c:v>
                </c:pt>
                <c:pt idx="39">
                  <c:v>86.582511236938885</c:v>
                </c:pt>
                <c:pt idx="40">
                  <c:v>86.329428013668121</c:v>
                </c:pt>
                <c:pt idx="41">
                  <c:v>92.152924934510281</c:v>
                </c:pt>
                <c:pt idx="42">
                  <c:v>90.463671190790649</c:v>
                </c:pt>
                <c:pt idx="43">
                  <c:v>92.956811033636271</c:v>
                </c:pt>
                <c:pt idx="44">
                  <c:v>93.897458936783806</c:v>
                </c:pt>
                <c:pt idx="45">
                  <c:v>93.244922276493753</c:v>
                </c:pt>
                <c:pt idx="46">
                  <c:v>90.488482045873511</c:v>
                </c:pt>
                <c:pt idx="47">
                  <c:v>85.634363907881976</c:v>
                </c:pt>
                <c:pt idx="48">
                  <c:v>76.31619062614061</c:v>
                </c:pt>
                <c:pt idx="49">
                  <c:v>66.869718709857835</c:v>
                </c:pt>
                <c:pt idx="50">
                  <c:v>66.645507169399053</c:v>
                </c:pt>
                <c:pt idx="51">
                  <c:v>57.62536210464085</c:v>
                </c:pt>
                <c:pt idx="52">
                  <c:v>57.451463142045966</c:v>
                </c:pt>
                <c:pt idx="53">
                  <c:v>49.842109623565975</c:v>
                </c:pt>
                <c:pt idx="54">
                  <c:v>51.87104793817219</c:v>
                </c:pt>
                <c:pt idx="55">
                  <c:v>50.245350525442475</c:v>
                </c:pt>
                <c:pt idx="56">
                  <c:v>51.321510222839493</c:v>
                </c:pt>
                <c:pt idx="57">
                  <c:v>50.072924166289361</c:v>
                </c:pt>
                <c:pt idx="58">
                  <c:v>53.385491058981984</c:v>
                </c:pt>
                <c:pt idx="59">
                  <c:v>50.398628566721804</c:v>
                </c:pt>
                <c:pt idx="60">
                  <c:v>49.397338019495002</c:v>
                </c:pt>
                <c:pt idx="61">
                  <c:v>59.308819697300493</c:v>
                </c:pt>
                <c:pt idx="62">
                  <c:v>74.341069929640426</c:v>
                </c:pt>
                <c:pt idx="63">
                  <c:v>71.604003792412072</c:v>
                </c:pt>
                <c:pt idx="64">
                  <c:v>65.544573079248494</c:v>
                </c:pt>
                <c:pt idx="65">
                  <c:v>62.718098350951912</c:v>
                </c:pt>
                <c:pt idx="66">
                  <c:v>62.854779027751064</c:v>
                </c:pt>
                <c:pt idx="67">
                  <c:v>70.262453322060168</c:v>
                </c:pt>
                <c:pt idx="68">
                  <c:v>83.783837513667535</c:v>
                </c:pt>
                <c:pt idx="69">
                  <c:v>124.17743444950273</c:v>
                </c:pt>
                <c:pt idx="70">
                  <c:v>115.36719495201469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05232"/>
        <c:axId val="308403552"/>
      </c:scatterChart>
      <c:valAx>
        <c:axId val="308405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03552"/>
        <c:crosses val="autoZero"/>
        <c:crossBetween val="midCat"/>
        <c:majorUnit val="5"/>
      </c:valAx>
      <c:valAx>
        <c:axId val="30840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05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(All)'!$E$7:$E$107</c:f>
              <c:numCache>
                <c:formatCode>0.0000</c:formatCode>
                <c:ptCount val="71"/>
                <c:pt idx="17">
                  <c:v>55.232900033716604</c:v>
                </c:pt>
                <c:pt idx="18">
                  <c:v>54.007907078033661</c:v>
                </c:pt>
                <c:pt idx="19">
                  <c:v>55.115785403696641</c:v>
                </c:pt>
                <c:pt idx="25">
                  <c:v>50.643946952089564</c:v>
                </c:pt>
                <c:pt idx="27">
                  <c:v>46.125479996996738</c:v>
                </c:pt>
                <c:pt idx="28">
                  <c:v>51.973827699018628</c:v>
                </c:pt>
                <c:pt idx="37">
                  <c:v>73.894736842105317</c:v>
                </c:pt>
                <c:pt idx="38">
                  <c:v>89.998820058997026</c:v>
                </c:pt>
                <c:pt idx="39">
                  <c:v>97.674418604651166</c:v>
                </c:pt>
                <c:pt idx="40">
                  <c:v>99.999999999999915</c:v>
                </c:pt>
                <c:pt idx="41">
                  <c:v>110.00000000000009</c:v>
                </c:pt>
                <c:pt idx="42">
                  <c:v>120.00000000000007</c:v>
                </c:pt>
                <c:pt idx="47">
                  <c:v>79.999999999999972</c:v>
                </c:pt>
                <c:pt idx="48">
                  <c:v>46.984126984126981</c:v>
                </c:pt>
                <c:pt idx="49">
                  <c:v>53.333333333333314</c:v>
                </c:pt>
                <c:pt idx="50">
                  <c:v>53.333333333333314</c:v>
                </c:pt>
                <c:pt idx="51">
                  <c:v>43.333333333333343</c:v>
                </c:pt>
                <c:pt idx="52">
                  <c:v>40.016006402561054</c:v>
                </c:pt>
                <c:pt idx="53">
                  <c:v>43.335412767727135</c:v>
                </c:pt>
                <c:pt idx="54">
                  <c:v>53.333333333333314</c:v>
                </c:pt>
                <c:pt idx="55">
                  <c:v>60.000000000000036</c:v>
                </c:pt>
                <c:pt idx="56">
                  <c:v>46.666666666666593</c:v>
                </c:pt>
                <c:pt idx="57">
                  <c:v>43.332061554114141</c:v>
                </c:pt>
                <c:pt idx="58">
                  <c:v>43.334280743435357</c:v>
                </c:pt>
                <c:pt idx="59">
                  <c:v>49.77372262773725</c:v>
                </c:pt>
                <c:pt idx="60">
                  <c:v>57.449718423169855</c:v>
                </c:pt>
                <c:pt idx="61">
                  <c:v>79.101648925067778</c:v>
                </c:pt>
                <c:pt idx="62">
                  <c:v>86.558940069341148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(All)'!$E$7:$E$107</c:f>
              <c:numCache>
                <c:formatCode>0.0000</c:formatCode>
                <c:ptCount val="71"/>
                <c:pt idx="17">
                  <c:v>55.232900033716604</c:v>
                </c:pt>
                <c:pt idx="18">
                  <c:v>54.007907078033661</c:v>
                </c:pt>
                <c:pt idx="19">
                  <c:v>55.115785403696641</c:v>
                </c:pt>
                <c:pt idx="25">
                  <c:v>50.643946952089564</c:v>
                </c:pt>
                <c:pt idx="27">
                  <c:v>46.125479996996738</c:v>
                </c:pt>
                <c:pt idx="28">
                  <c:v>51.973827699018628</c:v>
                </c:pt>
                <c:pt idx="37">
                  <c:v>73.894736842105317</c:v>
                </c:pt>
                <c:pt idx="38">
                  <c:v>89.998820058997026</c:v>
                </c:pt>
                <c:pt idx="39">
                  <c:v>97.674418604651166</c:v>
                </c:pt>
                <c:pt idx="40">
                  <c:v>99.999999999999915</c:v>
                </c:pt>
                <c:pt idx="41">
                  <c:v>110.00000000000009</c:v>
                </c:pt>
                <c:pt idx="42">
                  <c:v>120.00000000000007</c:v>
                </c:pt>
                <c:pt idx="47">
                  <c:v>79.999999999999972</c:v>
                </c:pt>
                <c:pt idx="48">
                  <c:v>46.984126984126981</c:v>
                </c:pt>
                <c:pt idx="49">
                  <c:v>53.333333333333314</c:v>
                </c:pt>
                <c:pt idx="50">
                  <c:v>53.333333333333314</c:v>
                </c:pt>
                <c:pt idx="51">
                  <c:v>43.333333333333343</c:v>
                </c:pt>
                <c:pt idx="52">
                  <c:v>40.016006402561054</c:v>
                </c:pt>
                <c:pt idx="53">
                  <c:v>43.335412767727135</c:v>
                </c:pt>
                <c:pt idx="54">
                  <c:v>53.333333333333314</c:v>
                </c:pt>
                <c:pt idx="55">
                  <c:v>60.000000000000036</c:v>
                </c:pt>
                <c:pt idx="56">
                  <c:v>46.666666666666593</c:v>
                </c:pt>
                <c:pt idx="57">
                  <c:v>43.332061554114141</c:v>
                </c:pt>
                <c:pt idx="58">
                  <c:v>43.334280743435357</c:v>
                </c:pt>
                <c:pt idx="59">
                  <c:v>49.77372262773725</c:v>
                </c:pt>
                <c:pt idx="60">
                  <c:v>57.449718423169855</c:v>
                </c:pt>
                <c:pt idx="61">
                  <c:v>79.101648925067778</c:v>
                </c:pt>
                <c:pt idx="62">
                  <c:v>86.558940069341148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66224"/>
        <c:axId val="604065664"/>
      </c:scatterChart>
      <c:valAx>
        <c:axId val="604066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65664"/>
        <c:crosses val="autoZero"/>
        <c:crossBetween val="midCat"/>
        <c:majorUnit val="5"/>
      </c:valAx>
      <c:valAx>
        <c:axId val="6040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66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(All)'!$DA$7:$DA$107</c:f>
              <c:numCache>
                <c:formatCode>General</c:formatCode>
                <c:ptCount val="71"/>
                <c:pt idx="18" formatCode="_(* #,##0.0000_);_(* \(#,##0.0000\);_(* &quot;-&quot;??_);_(@_)">
                  <c:v>51.384595656223425</c:v>
                </c:pt>
                <c:pt idx="19" formatCode="_(* #,##0.0000_);_(* \(#,##0.0000\);_(* &quot;-&quot;??_);_(@_)">
                  <c:v>52.546117159028327</c:v>
                </c:pt>
                <c:pt idx="20" formatCode="_(* #,##0.0000_);_(* \(#,##0.0000\);_(* &quot;-&quot;??_);_(@_)">
                  <c:v>54.023504432690153</c:v>
                </c:pt>
                <c:pt idx="21" formatCode="_(* #,##0.0000_);_(* \(#,##0.0000\);_(* &quot;-&quot;??_);_(@_)">
                  <c:v>53.634126550416482</c:v>
                </c:pt>
                <c:pt idx="22" formatCode="_(* #,##0.0000_);_(* \(#,##0.0000\);_(* &quot;-&quot;??_);_(@_)">
                  <c:v>54.422270232763516</c:v>
                </c:pt>
                <c:pt idx="23" formatCode="_(* #,##0.0000_);_(* \(#,##0.0000\);_(* &quot;-&quot;??_);_(@_)">
                  <c:v>60.987424412123858</c:v>
                </c:pt>
                <c:pt idx="24" formatCode="_(* #,##0.0000_);_(* \(#,##0.0000\);_(* &quot;-&quot;??_);_(@_)">
                  <c:v>81.6870226512535</c:v>
                </c:pt>
                <c:pt idx="25" formatCode="_(* #,##0.0000_);_(* \(#,##0.0000\);_(* &quot;-&quot;??_);_(@_)">
                  <c:v>83.60675543509528</c:v>
                </c:pt>
                <c:pt idx="26" formatCode="_(* #,##0.0000_);_(* \(#,##0.0000\);_(* &quot;-&quot;??_);_(@_)">
                  <c:v>87.46449120345703</c:v>
                </c:pt>
                <c:pt idx="27" formatCode="_(* #,##0.0000_);_(* \(#,##0.0000\);_(* &quot;-&quot;??_);_(@_)">
                  <c:v>89.005582624819993</c:v>
                </c:pt>
                <c:pt idx="28" formatCode="_(* #,##0.0000_);_(* \(#,##0.0000\);_(* &quot;-&quot;??_);_(@_)">
                  <c:v>77.545183075731956</c:v>
                </c:pt>
                <c:pt idx="29" formatCode="_(* #,##0.0000_);_(* \(#,##0.0000\);_(* &quot;-&quot;??_);_(@_)">
                  <c:v>75.95874504116</c:v>
                </c:pt>
                <c:pt idx="30" formatCode="_(* #,##0.0000_);_(* \(#,##0.0000\);_(* &quot;-&quot;??_);_(@_)">
                  <c:v>77.423643560078347</c:v>
                </c:pt>
                <c:pt idx="31" formatCode="_(* #,##0.0000_);_(* \(#,##0.0000\);_(* &quot;-&quot;??_);_(@_)">
                  <c:v>73.20075337126265</c:v>
                </c:pt>
                <c:pt idx="32" formatCode="_(* #,##0.0000_);_(* \(#,##0.0000\);_(* &quot;-&quot;??_);_(@_)">
                  <c:v>70.186699871682862</c:v>
                </c:pt>
                <c:pt idx="33" formatCode="_(* #,##0.0000_);_(* \(#,##0.0000\);_(* &quot;-&quot;??_);_(@_)">
                  <c:v>64.577975351983071</c:v>
                </c:pt>
                <c:pt idx="34" formatCode="_(* #,##0.0000_);_(* \(#,##0.0000\);_(* &quot;-&quot;??_);_(@_)">
                  <c:v>66.915284691278771</c:v>
                </c:pt>
                <c:pt idx="35" formatCode="_(* #,##0.0000_);_(* \(#,##0.0000\);_(* &quot;-&quot;??_);_(@_)">
                  <c:v>59.794629370139617</c:v>
                </c:pt>
                <c:pt idx="36" formatCode="_(* #,##0.0000_);_(* \(#,##0.0000\);_(* &quot;-&quot;??_);_(@_)">
                  <c:v>53.853458185529696</c:v>
                </c:pt>
                <c:pt idx="37" formatCode="_(* #,##0.0000_);_(* \(#,##0.0000\);_(* &quot;-&quot;??_);_(@_)">
                  <c:v>59.143166478858348</c:v>
                </c:pt>
                <c:pt idx="38" formatCode="_(* #,##0.0000_);_(* \(#,##0.0000\);_(* &quot;-&quot;??_);_(@_)">
                  <c:v>78.47642277650661</c:v>
                </c:pt>
                <c:pt idx="39" formatCode="_(* #,##0.0000_);_(* \(#,##0.0000\);_(* &quot;-&quot;??_);_(@_)">
                  <c:v>72.093877679147624</c:v>
                </c:pt>
                <c:pt idx="40" formatCode="_(* #,##0.0000_);_(* \(#,##0.0000\);_(* &quot;-&quot;??_);_(@_)">
                  <c:v>97.085906655268815</c:v>
                </c:pt>
                <c:pt idx="41" formatCode="_(* #,##0.0000_);_(* \(#,##0.0000\);_(* &quot;-&quot;??_);_(@_)">
                  <c:v>91.947529538268057</c:v>
                </c:pt>
                <c:pt idx="42" formatCode="_(* #,##0.0000_);_(* \(#,##0.0000\);_(* &quot;-&quot;??_);_(@_)">
                  <c:v>83.344785078198115</c:v>
                </c:pt>
                <c:pt idx="43" formatCode="_(* #,##0.0000_);_(* \(#,##0.0000\);_(* &quot;-&quot;??_);_(@_)">
                  <c:v>87.082396487881113</c:v>
                </c:pt>
                <c:pt idx="44" formatCode="_(* #,##0.0000_);_(* \(#,##0.0000\);_(* &quot;-&quot;??_);_(@_)">
                  <c:v>71.821267824411038</c:v>
                </c:pt>
                <c:pt idx="45" formatCode="_(* #,##0.0000_);_(* \(#,##0.0000\);_(* &quot;-&quot;??_);_(@_)">
                  <c:v>75.4692321377876</c:v>
                </c:pt>
                <c:pt idx="46" formatCode="_(* #,##0.0000_);_(* \(#,##0.0000\);_(* &quot;-&quot;??_);_(@_)">
                  <c:v>86.797241738323549</c:v>
                </c:pt>
                <c:pt idx="47" formatCode="_(* #,##0.0000_);_(* \(#,##0.0000\);_(* &quot;-&quot;??_);_(@_)">
                  <c:v>92.393338041750297</c:v>
                </c:pt>
                <c:pt idx="48" formatCode="_(* #,##0.0000_);_(* \(#,##0.0000\);_(* &quot;-&quot;??_);_(@_)">
                  <c:v>81.922141016567622</c:v>
                </c:pt>
                <c:pt idx="49" formatCode="_(* #,##0.0000_);_(* \(#,##0.0000\);_(* &quot;-&quot;??_);_(@_)">
                  <c:v>86.393118464318519</c:v>
                </c:pt>
                <c:pt idx="50" formatCode="_(* #,##0.0000_);_(* \(#,##0.0000\);_(* &quot;-&quot;??_);_(@_)">
                  <c:v>70.360650144124989</c:v>
                </c:pt>
                <c:pt idx="51" formatCode="_(* #,##0.0000_);_(* \(#,##0.0000\);_(* &quot;-&quot;??_);_(@_)">
                  <c:v>66.466231926989707</c:v>
                </c:pt>
                <c:pt idx="52" formatCode="_(* #,##0.0000_);_(* \(#,##0.0000\);_(* &quot;-&quot;??_);_(@_)">
                  <c:v>65.360215180244822</c:v>
                </c:pt>
                <c:pt idx="53" formatCode="_(* #,##0.0000_);_(* \(#,##0.0000\);_(* &quot;-&quot;??_);_(@_)">
                  <c:v>65.449965634462131</c:v>
                </c:pt>
                <c:pt idx="54" formatCode="_(* #,##0.0000_);_(* \(#,##0.0000\);_(* &quot;-&quot;??_);_(@_)">
                  <c:v>62.597251883235934</c:v>
                </c:pt>
                <c:pt idx="55" formatCode="_(* #,##0.0000_);_(* \(#,##0.0000\);_(* &quot;-&quot;??_);_(@_)">
                  <c:v>67.18198557851278</c:v>
                </c:pt>
                <c:pt idx="56" formatCode="_(* #,##0.0000_);_(* \(#,##0.0000\);_(* &quot;-&quot;??_);_(@_)">
                  <c:v>65.030956571955286</c:v>
                </c:pt>
                <c:pt idx="57" formatCode="_(* #,##0.0000_);_(* \(#,##0.0000\);_(* &quot;-&quot;??_);_(@_)">
                  <c:v>58.249581312967464</c:v>
                </c:pt>
                <c:pt idx="58" formatCode="_(* #,##0.0000_);_(* \(#,##0.0000\);_(* &quot;-&quot;??_);_(@_)">
                  <c:v>60.844436073601543</c:v>
                </c:pt>
                <c:pt idx="59" formatCode="_(* #,##0.0000_);_(* \(#,##0.0000\);_(* &quot;-&quot;??_);_(@_)">
                  <c:v>61.363278171788807</c:v>
                </c:pt>
                <c:pt idx="60" formatCode="_(* #,##0.0000_);_(* \(#,##0.0000\);_(* &quot;-&quot;??_);_(@_)">
                  <c:v>62.837026370650563</c:v>
                </c:pt>
                <c:pt idx="61" formatCode="_(* #,##0.0000_);_(* \(#,##0.0000\);_(* &quot;-&quot;??_);_(@_)">
                  <c:v>65.215446154072197</c:v>
                </c:pt>
                <c:pt idx="62" formatCode="_(* #,##0.0000_);_(* \(#,##0.0000\);_(* &quot;-&quot;??_);_(@_)">
                  <c:v>74.450919800070508</c:v>
                </c:pt>
                <c:pt idx="63" formatCode="_(* #,##0.0000_);_(* \(#,##0.0000\);_(* &quot;-&quot;??_);_(@_)">
                  <c:v>78.171459820659379</c:v>
                </c:pt>
                <c:pt idx="64" formatCode="_(* #,##0.0000_);_(* \(#,##0.0000\);_(* &quot;-&quot;??_);_(@_)">
                  <c:v>78.830473258945744</c:v>
                </c:pt>
                <c:pt idx="65" formatCode="_(* #,##0.0000_);_(* \(#,##0.0000\);_(* &quot;-&quot;??_);_(@_)">
                  <c:v>75.932353974255676</c:v>
                </c:pt>
                <c:pt idx="66" formatCode="_(* #,##0.0000_);_(* \(#,##0.0000\);_(* &quot;-&quot;??_);_(@_)">
                  <c:v>74.47774287573931</c:v>
                </c:pt>
                <c:pt idx="67" formatCode="_(* #,##0.0000_);_(* \(#,##0.0000\);_(* &quot;-&quot;??_);_(@_)">
                  <c:v>72.595682711123914</c:v>
                </c:pt>
                <c:pt idx="68" formatCode="_(* #,##0.0000_);_(* \(#,##0.0000\);_(* &quot;-&quot;??_);_(@_)">
                  <c:v>67.716854346291925</c:v>
                </c:pt>
                <c:pt idx="69" formatCode="_(* #,##0.0000_);_(* \(#,##0.0000\);_(* &quot;-&quot;??_);_(@_)">
                  <c:v>72.845806026434289</c:v>
                </c:pt>
                <c:pt idx="70" formatCode="_(* #,##0.0000_);_(* \(#,##0.0000\);_(* &quot;-&quot;??_);_(@_)">
                  <c:v>125.76597532295523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(All)'!$DA$7:$DA$107</c:f>
              <c:numCache>
                <c:formatCode>General</c:formatCode>
                <c:ptCount val="71"/>
                <c:pt idx="18" formatCode="_(* #,##0.0000_);_(* \(#,##0.0000\);_(* &quot;-&quot;??_);_(@_)">
                  <c:v>51.384595656223425</c:v>
                </c:pt>
                <c:pt idx="19" formatCode="_(* #,##0.0000_);_(* \(#,##0.0000\);_(* &quot;-&quot;??_);_(@_)">
                  <c:v>52.546117159028327</c:v>
                </c:pt>
                <c:pt idx="20" formatCode="_(* #,##0.0000_);_(* \(#,##0.0000\);_(* &quot;-&quot;??_);_(@_)">
                  <c:v>54.023504432690153</c:v>
                </c:pt>
                <c:pt idx="21" formatCode="_(* #,##0.0000_);_(* \(#,##0.0000\);_(* &quot;-&quot;??_);_(@_)">
                  <c:v>53.634126550416482</c:v>
                </c:pt>
                <c:pt idx="22" formatCode="_(* #,##0.0000_);_(* \(#,##0.0000\);_(* &quot;-&quot;??_);_(@_)">
                  <c:v>54.422270232763516</c:v>
                </c:pt>
                <c:pt idx="23" formatCode="_(* #,##0.0000_);_(* \(#,##0.0000\);_(* &quot;-&quot;??_);_(@_)">
                  <c:v>60.987424412123858</c:v>
                </c:pt>
                <c:pt idx="24" formatCode="_(* #,##0.0000_);_(* \(#,##0.0000\);_(* &quot;-&quot;??_);_(@_)">
                  <c:v>81.6870226512535</c:v>
                </c:pt>
                <c:pt idx="25" formatCode="_(* #,##0.0000_);_(* \(#,##0.0000\);_(* &quot;-&quot;??_);_(@_)">
                  <c:v>83.60675543509528</c:v>
                </c:pt>
                <c:pt idx="26" formatCode="_(* #,##0.0000_);_(* \(#,##0.0000\);_(* &quot;-&quot;??_);_(@_)">
                  <c:v>87.46449120345703</c:v>
                </c:pt>
                <c:pt idx="27" formatCode="_(* #,##0.0000_);_(* \(#,##0.0000\);_(* &quot;-&quot;??_);_(@_)">
                  <c:v>89.005582624819993</c:v>
                </c:pt>
                <c:pt idx="28" formatCode="_(* #,##0.0000_);_(* \(#,##0.0000\);_(* &quot;-&quot;??_);_(@_)">
                  <c:v>77.545183075731956</c:v>
                </c:pt>
                <c:pt idx="29" formatCode="_(* #,##0.0000_);_(* \(#,##0.0000\);_(* &quot;-&quot;??_);_(@_)">
                  <c:v>75.95874504116</c:v>
                </c:pt>
                <c:pt idx="30" formatCode="_(* #,##0.0000_);_(* \(#,##0.0000\);_(* &quot;-&quot;??_);_(@_)">
                  <c:v>77.423643560078347</c:v>
                </c:pt>
                <c:pt idx="31" formatCode="_(* #,##0.0000_);_(* \(#,##0.0000\);_(* &quot;-&quot;??_);_(@_)">
                  <c:v>73.20075337126265</c:v>
                </c:pt>
                <c:pt idx="32" formatCode="_(* #,##0.0000_);_(* \(#,##0.0000\);_(* &quot;-&quot;??_);_(@_)">
                  <c:v>70.186699871682862</c:v>
                </c:pt>
                <c:pt idx="33" formatCode="_(* #,##0.0000_);_(* \(#,##0.0000\);_(* &quot;-&quot;??_);_(@_)">
                  <c:v>64.577975351983071</c:v>
                </c:pt>
                <c:pt idx="34" formatCode="_(* #,##0.0000_);_(* \(#,##0.0000\);_(* &quot;-&quot;??_);_(@_)">
                  <c:v>66.915284691278771</c:v>
                </c:pt>
                <c:pt idx="35" formatCode="_(* #,##0.0000_);_(* \(#,##0.0000\);_(* &quot;-&quot;??_);_(@_)">
                  <c:v>59.794629370139617</c:v>
                </c:pt>
                <c:pt idx="36" formatCode="_(* #,##0.0000_);_(* \(#,##0.0000\);_(* &quot;-&quot;??_);_(@_)">
                  <c:v>53.853458185529696</c:v>
                </c:pt>
                <c:pt idx="37" formatCode="_(* #,##0.0000_);_(* \(#,##0.0000\);_(* &quot;-&quot;??_);_(@_)">
                  <c:v>59.143166478858348</c:v>
                </c:pt>
                <c:pt idx="38" formatCode="_(* #,##0.0000_);_(* \(#,##0.0000\);_(* &quot;-&quot;??_);_(@_)">
                  <c:v>78.47642277650661</c:v>
                </c:pt>
                <c:pt idx="39" formatCode="_(* #,##0.0000_);_(* \(#,##0.0000\);_(* &quot;-&quot;??_);_(@_)">
                  <c:v>72.093877679147624</c:v>
                </c:pt>
                <c:pt idx="40" formatCode="_(* #,##0.0000_);_(* \(#,##0.0000\);_(* &quot;-&quot;??_);_(@_)">
                  <c:v>97.085906655268815</c:v>
                </c:pt>
                <c:pt idx="41" formatCode="_(* #,##0.0000_);_(* \(#,##0.0000\);_(* &quot;-&quot;??_);_(@_)">
                  <c:v>91.947529538268057</c:v>
                </c:pt>
                <c:pt idx="42" formatCode="_(* #,##0.0000_);_(* \(#,##0.0000\);_(* &quot;-&quot;??_);_(@_)">
                  <c:v>83.344785078198115</c:v>
                </c:pt>
                <c:pt idx="43" formatCode="_(* #,##0.0000_);_(* \(#,##0.0000\);_(* &quot;-&quot;??_);_(@_)">
                  <c:v>87.082396487881113</c:v>
                </c:pt>
                <c:pt idx="44" formatCode="_(* #,##0.0000_);_(* \(#,##0.0000\);_(* &quot;-&quot;??_);_(@_)">
                  <c:v>71.821267824411038</c:v>
                </c:pt>
                <c:pt idx="45" formatCode="_(* #,##0.0000_);_(* \(#,##0.0000\);_(* &quot;-&quot;??_);_(@_)">
                  <c:v>75.4692321377876</c:v>
                </c:pt>
                <c:pt idx="46" formatCode="_(* #,##0.0000_);_(* \(#,##0.0000\);_(* &quot;-&quot;??_);_(@_)">
                  <c:v>86.797241738323549</c:v>
                </c:pt>
                <c:pt idx="47" formatCode="_(* #,##0.0000_);_(* \(#,##0.0000\);_(* &quot;-&quot;??_);_(@_)">
                  <c:v>92.393338041750297</c:v>
                </c:pt>
                <c:pt idx="48" formatCode="_(* #,##0.0000_);_(* \(#,##0.0000\);_(* &quot;-&quot;??_);_(@_)">
                  <c:v>81.922141016567622</c:v>
                </c:pt>
                <c:pt idx="49" formatCode="_(* #,##0.0000_);_(* \(#,##0.0000\);_(* &quot;-&quot;??_);_(@_)">
                  <c:v>86.393118464318519</c:v>
                </c:pt>
                <c:pt idx="50" formatCode="_(* #,##0.0000_);_(* \(#,##0.0000\);_(* &quot;-&quot;??_);_(@_)">
                  <c:v>70.360650144124989</c:v>
                </c:pt>
                <c:pt idx="51" formatCode="_(* #,##0.0000_);_(* \(#,##0.0000\);_(* &quot;-&quot;??_);_(@_)">
                  <c:v>66.466231926989707</c:v>
                </c:pt>
                <c:pt idx="52" formatCode="_(* #,##0.0000_);_(* \(#,##0.0000\);_(* &quot;-&quot;??_);_(@_)">
                  <c:v>65.360215180244822</c:v>
                </c:pt>
                <c:pt idx="53" formatCode="_(* #,##0.0000_);_(* \(#,##0.0000\);_(* &quot;-&quot;??_);_(@_)">
                  <c:v>65.449965634462131</c:v>
                </c:pt>
                <c:pt idx="54" formatCode="_(* #,##0.0000_);_(* \(#,##0.0000\);_(* &quot;-&quot;??_);_(@_)">
                  <c:v>62.597251883235934</c:v>
                </c:pt>
                <c:pt idx="55" formatCode="_(* #,##0.0000_);_(* \(#,##0.0000\);_(* &quot;-&quot;??_);_(@_)">
                  <c:v>67.18198557851278</c:v>
                </c:pt>
                <c:pt idx="56" formatCode="_(* #,##0.0000_);_(* \(#,##0.0000\);_(* &quot;-&quot;??_);_(@_)">
                  <c:v>65.030956571955286</c:v>
                </c:pt>
                <c:pt idx="57" formatCode="_(* #,##0.0000_);_(* \(#,##0.0000\);_(* &quot;-&quot;??_);_(@_)">
                  <c:v>58.249581312967464</c:v>
                </c:pt>
                <c:pt idx="58" formatCode="_(* #,##0.0000_);_(* \(#,##0.0000\);_(* &quot;-&quot;??_);_(@_)">
                  <c:v>60.844436073601543</c:v>
                </c:pt>
                <c:pt idx="59" formatCode="_(* #,##0.0000_);_(* \(#,##0.0000\);_(* &quot;-&quot;??_);_(@_)">
                  <c:v>61.363278171788807</c:v>
                </c:pt>
                <c:pt idx="60" formatCode="_(* #,##0.0000_);_(* \(#,##0.0000\);_(* &quot;-&quot;??_);_(@_)">
                  <c:v>62.837026370650563</c:v>
                </c:pt>
                <c:pt idx="61" formatCode="_(* #,##0.0000_);_(* \(#,##0.0000\);_(* &quot;-&quot;??_);_(@_)">
                  <c:v>65.215446154072197</c:v>
                </c:pt>
                <c:pt idx="62" formatCode="_(* #,##0.0000_);_(* \(#,##0.0000\);_(* &quot;-&quot;??_);_(@_)">
                  <c:v>74.450919800070508</c:v>
                </c:pt>
                <c:pt idx="63" formatCode="_(* #,##0.0000_);_(* \(#,##0.0000\);_(* &quot;-&quot;??_);_(@_)">
                  <c:v>78.171459820659379</c:v>
                </c:pt>
                <c:pt idx="64" formatCode="_(* #,##0.0000_);_(* \(#,##0.0000\);_(* &quot;-&quot;??_);_(@_)">
                  <c:v>78.830473258945744</c:v>
                </c:pt>
                <c:pt idx="65" formatCode="_(* #,##0.0000_);_(* \(#,##0.0000\);_(* &quot;-&quot;??_);_(@_)">
                  <c:v>75.932353974255676</c:v>
                </c:pt>
                <c:pt idx="66" formatCode="_(* #,##0.0000_);_(* \(#,##0.0000\);_(* &quot;-&quot;??_);_(@_)">
                  <c:v>74.47774287573931</c:v>
                </c:pt>
                <c:pt idx="67" formatCode="_(* #,##0.0000_);_(* \(#,##0.0000\);_(* &quot;-&quot;??_);_(@_)">
                  <c:v>72.595682711123914</c:v>
                </c:pt>
                <c:pt idx="68" formatCode="_(* #,##0.0000_);_(* \(#,##0.0000\);_(* &quot;-&quot;??_);_(@_)">
                  <c:v>67.716854346291925</c:v>
                </c:pt>
                <c:pt idx="69" formatCode="_(* #,##0.0000_);_(* \(#,##0.0000\);_(* &quot;-&quot;??_);_(@_)">
                  <c:v>72.845806026434289</c:v>
                </c:pt>
                <c:pt idx="70" formatCode="_(* #,##0.0000_);_(* \(#,##0.0000\);_(* &quot;-&quot;??_);_(@_)">
                  <c:v>125.76597532295523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75056"/>
        <c:axId val="402475616"/>
      </c:scatterChart>
      <c:valAx>
        <c:axId val="402475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75616"/>
        <c:crosses val="autoZero"/>
        <c:crossBetween val="midCat"/>
        <c:majorUnit val="5"/>
      </c:valAx>
      <c:valAx>
        <c:axId val="40247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75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(All)'!$DB$7:$DB$107</c:f>
              <c:numCache>
                <c:formatCode>General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(All)'!$DB$7:$DB$107</c:f>
              <c:numCache>
                <c:formatCode>General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78416"/>
        <c:axId val="402478976"/>
      </c:scatterChart>
      <c:valAx>
        <c:axId val="402478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78976"/>
        <c:crosses val="autoZero"/>
        <c:crossBetween val="midCat"/>
        <c:majorUnit val="5"/>
      </c:valAx>
      <c:valAx>
        <c:axId val="40247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78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(All)'!$AF$7:$AF$107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(All)'!$AF$7:$AF$107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81776"/>
        <c:axId val="402482336"/>
      </c:scatterChart>
      <c:valAx>
        <c:axId val="402481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82336"/>
        <c:crosses val="autoZero"/>
        <c:crossBetween val="midCat"/>
        <c:majorUnit val="5"/>
      </c:valAx>
      <c:valAx>
        <c:axId val="40248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81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(All)'!$AG$7:$AG$107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(All)'!$AG$7:$AG$107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85136"/>
        <c:axId val="402485696"/>
      </c:scatterChart>
      <c:valAx>
        <c:axId val="402485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85696"/>
        <c:crosses val="autoZero"/>
        <c:crossBetween val="midCat"/>
        <c:majorUnit val="5"/>
      </c:valAx>
      <c:valAx>
        <c:axId val="40248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85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(All)'!$AH$7:$AH$107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(All)'!$AH$7:$AH$107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88496"/>
        <c:axId val="402489056"/>
      </c:scatterChart>
      <c:valAx>
        <c:axId val="402488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89056"/>
        <c:crosses val="autoZero"/>
        <c:crossBetween val="midCat"/>
        <c:majorUnit val="5"/>
      </c:valAx>
      <c:valAx>
        <c:axId val="4024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88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Coffee, in</a:t>
            </a:r>
            <a:r>
              <a:rPr lang="en-US" sz="2000" b="1" baseline="0">
                <a:solidFill>
                  <a:schemeClr val="tx1"/>
                </a:solidFill>
              </a:rPr>
              <a:t> pound/ton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'Coffee (All)'!$D$6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(All)'!$D$7:$D$107</c:f>
              <c:numCache>
                <c:formatCode>0.0000</c:formatCode>
                <c:ptCount val="71"/>
                <c:pt idx="4">
                  <c:v>52.516260566372509</c:v>
                </c:pt>
                <c:pt idx="5">
                  <c:v>58.025104732833945</c:v>
                </c:pt>
                <c:pt idx="6">
                  <c:v>57.796774215519015</c:v>
                </c:pt>
                <c:pt idx="7">
                  <c:v>66.265081218624687</c:v>
                </c:pt>
                <c:pt idx="8">
                  <c:v>61.15130901182053</c:v>
                </c:pt>
                <c:pt idx="9">
                  <c:v>66.428757278682724</c:v>
                </c:pt>
                <c:pt idx="10">
                  <c:v>70.645904034732084</c:v>
                </c:pt>
                <c:pt idx="11">
                  <c:v>69.940965631357798</c:v>
                </c:pt>
                <c:pt idx="12">
                  <c:v>77.464470456238615</c:v>
                </c:pt>
                <c:pt idx="13">
                  <c:v>79.410431566427761</c:v>
                </c:pt>
                <c:pt idx="14">
                  <c:v>73.163651884920043</c:v>
                </c:pt>
                <c:pt idx="15">
                  <c:v>72.873967143704533</c:v>
                </c:pt>
                <c:pt idx="16">
                  <c:v>72.377079709742219</c:v>
                </c:pt>
                <c:pt idx="17">
                  <c:v>69.667084389115345</c:v>
                </c:pt>
                <c:pt idx="18">
                  <c:v>62.032026229964941</c:v>
                </c:pt>
                <c:pt idx="19">
                  <c:v>63.660047892887732</c:v>
                </c:pt>
                <c:pt idx="20">
                  <c:v>60.883602838875923</c:v>
                </c:pt>
                <c:pt idx="21">
                  <c:v>60.749889069664249</c:v>
                </c:pt>
                <c:pt idx="22">
                  <c:v>65.034142870655202</c:v>
                </c:pt>
                <c:pt idx="23">
                  <c:v>84.422102319970818</c:v>
                </c:pt>
                <c:pt idx="24">
                  <c:v>96.939461966467363</c:v>
                </c:pt>
                <c:pt idx="25">
                  <c:v>94.221898772325488</c:v>
                </c:pt>
                <c:pt idx="26">
                  <c:v>94.574016074618626</c:v>
                </c:pt>
                <c:pt idx="27">
                  <c:v>95.008361346918974</c:v>
                </c:pt>
                <c:pt idx="28">
                  <c:v>92.3074372266084</c:v>
                </c:pt>
                <c:pt idx="29">
                  <c:v>90.228570278899383</c:v>
                </c:pt>
                <c:pt idx="30">
                  <c:v>88.438630511598802</c:v>
                </c:pt>
                <c:pt idx="31">
                  <c:v>84.514945270911838</c:v>
                </c:pt>
                <c:pt idx="32">
                  <c:v>78.149137893713572</c:v>
                </c:pt>
                <c:pt idx="33">
                  <c:v>69.761657883608208</c:v>
                </c:pt>
                <c:pt idx="34">
                  <c:v>66.855374909251836</c:v>
                </c:pt>
                <c:pt idx="35">
                  <c:v>64.605930406610213</c:v>
                </c:pt>
                <c:pt idx="36">
                  <c:v>66.85539379872354</c:v>
                </c:pt>
                <c:pt idx="37">
                  <c:v>77.156030468214141</c:v>
                </c:pt>
                <c:pt idx="38">
                  <c:v>75.043445623055874</c:v>
                </c:pt>
                <c:pt idx="39">
                  <c:v>86.582511236938885</c:v>
                </c:pt>
                <c:pt idx="40">
                  <c:v>86.329428013668121</c:v>
                </c:pt>
                <c:pt idx="41">
                  <c:v>92.152924934510281</c:v>
                </c:pt>
                <c:pt idx="42">
                  <c:v>90.463671190790649</c:v>
                </c:pt>
                <c:pt idx="43">
                  <c:v>92.956811033636271</c:v>
                </c:pt>
                <c:pt idx="44">
                  <c:v>93.897458936783806</c:v>
                </c:pt>
                <c:pt idx="45">
                  <c:v>93.244922276493753</c:v>
                </c:pt>
                <c:pt idx="46">
                  <c:v>90.488482045873511</c:v>
                </c:pt>
                <c:pt idx="47">
                  <c:v>85.634363907881976</c:v>
                </c:pt>
                <c:pt idx="48">
                  <c:v>76.31619062614061</c:v>
                </c:pt>
                <c:pt idx="49">
                  <c:v>66.869718709857835</c:v>
                </c:pt>
                <c:pt idx="50">
                  <c:v>66.645507169399053</c:v>
                </c:pt>
                <c:pt idx="51">
                  <c:v>57.62536210464085</c:v>
                </c:pt>
                <c:pt idx="52">
                  <c:v>57.451463142045966</c:v>
                </c:pt>
                <c:pt idx="53">
                  <c:v>49.842109623565975</c:v>
                </c:pt>
                <c:pt idx="54">
                  <c:v>51.87104793817219</c:v>
                </c:pt>
                <c:pt idx="55">
                  <c:v>50.245350525442475</c:v>
                </c:pt>
                <c:pt idx="56">
                  <c:v>51.321510222839493</c:v>
                </c:pt>
                <c:pt idx="57">
                  <c:v>50.072924166289361</c:v>
                </c:pt>
                <c:pt idx="58">
                  <c:v>53.385491058981984</c:v>
                </c:pt>
                <c:pt idx="59">
                  <c:v>50.398628566721804</c:v>
                </c:pt>
                <c:pt idx="60">
                  <c:v>49.397338019495002</c:v>
                </c:pt>
                <c:pt idx="61">
                  <c:v>59.308819697300493</c:v>
                </c:pt>
                <c:pt idx="62">
                  <c:v>74.341069929640426</c:v>
                </c:pt>
                <c:pt idx="63">
                  <c:v>71.604003792412072</c:v>
                </c:pt>
                <c:pt idx="64">
                  <c:v>65.544573079248494</c:v>
                </c:pt>
                <c:pt idx="65">
                  <c:v>62.718098350951912</c:v>
                </c:pt>
                <c:pt idx="66">
                  <c:v>62.854779027751064</c:v>
                </c:pt>
                <c:pt idx="67">
                  <c:v>70.262453322060168</c:v>
                </c:pt>
                <c:pt idx="68">
                  <c:v>83.783837513667535</c:v>
                </c:pt>
                <c:pt idx="69">
                  <c:v>124.17743444950273</c:v>
                </c:pt>
                <c:pt idx="70">
                  <c:v>115.36719495201469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'Coffee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'Coffee (All)'!$E$6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(All)'!$E$7:$E$107</c:f>
              <c:numCache>
                <c:formatCode>0.0000</c:formatCode>
                <c:ptCount val="71"/>
                <c:pt idx="17">
                  <c:v>55.232900033716604</c:v>
                </c:pt>
                <c:pt idx="18">
                  <c:v>54.007907078033661</c:v>
                </c:pt>
                <c:pt idx="19">
                  <c:v>55.115785403696641</c:v>
                </c:pt>
                <c:pt idx="25">
                  <c:v>50.643946952089564</c:v>
                </c:pt>
                <c:pt idx="27">
                  <c:v>46.125479996996738</c:v>
                </c:pt>
                <c:pt idx="28">
                  <c:v>51.973827699018628</c:v>
                </c:pt>
                <c:pt idx="37">
                  <c:v>73.894736842105317</c:v>
                </c:pt>
                <c:pt idx="38">
                  <c:v>89.998820058997026</c:v>
                </c:pt>
                <c:pt idx="39">
                  <c:v>97.674418604651166</c:v>
                </c:pt>
                <c:pt idx="40">
                  <c:v>99.999999999999915</c:v>
                </c:pt>
                <c:pt idx="41">
                  <c:v>110.00000000000009</c:v>
                </c:pt>
                <c:pt idx="42">
                  <c:v>120.00000000000007</c:v>
                </c:pt>
                <c:pt idx="47">
                  <c:v>79.999999999999972</c:v>
                </c:pt>
                <c:pt idx="48">
                  <c:v>46.984126984126981</c:v>
                </c:pt>
                <c:pt idx="49">
                  <c:v>53.333333333333314</c:v>
                </c:pt>
                <c:pt idx="50">
                  <c:v>53.333333333333314</c:v>
                </c:pt>
                <c:pt idx="51">
                  <c:v>43.333333333333343</c:v>
                </c:pt>
                <c:pt idx="52">
                  <c:v>40.016006402561054</c:v>
                </c:pt>
                <c:pt idx="53">
                  <c:v>43.335412767727135</c:v>
                </c:pt>
                <c:pt idx="54">
                  <c:v>53.333333333333314</c:v>
                </c:pt>
                <c:pt idx="55">
                  <c:v>60.000000000000036</c:v>
                </c:pt>
                <c:pt idx="56">
                  <c:v>46.666666666666593</c:v>
                </c:pt>
                <c:pt idx="57">
                  <c:v>43.332061554114141</c:v>
                </c:pt>
                <c:pt idx="58">
                  <c:v>43.334280743435357</c:v>
                </c:pt>
                <c:pt idx="59">
                  <c:v>49.77372262773725</c:v>
                </c:pt>
                <c:pt idx="60">
                  <c:v>57.449718423169855</c:v>
                </c:pt>
                <c:pt idx="61">
                  <c:v>79.101648925067778</c:v>
                </c:pt>
                <c:pt idx="62">
                  <c:v>86.558940069341148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'Coffee (All)'!$F$6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'Coffee (All)'!$G$6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(All)'!$G$7:$G$107</c:f>
              <c:numCache>
                <c:formatCode>0.0000</c:formatCode>
                <c:ptCount val="71"/>
                <c:pt idx="49">
                  <c:v>44.811598296029601</c:v>
                </c:pt>
                <c:pt idx="60">
                  <c:v>66.250000000000099</c:v>
                </c:pt>
                <c:pt idx="61">
                  <c:v>87.5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'Coffee (All)'!$H$6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(All)'!$H$7:$H$107</c:f>
              <c:numCache>
                <c:formatCode>0.0000</c:formatCode>
                <c:ptCount val="71"/>
                <c:pt idx="37">
                  <c:v>46.614510197258525</c:v>
                </c:pt>
                <c:pt idx="38">
                  <c:v>48.204463176095516</c:v>
                </c:pt>
                <c:pt idx="39">
                  <c:v>47.010515773660543</c:v>
                </c:pt>
                <c:pt idx="40">
                  <c:v>47.636992885983425</c:v>
                </c:pt>
                <c:pt idx="41">
                  <c:v>49.042122005027871</c:v>
                </c:pt>
                <c:pt idx="42">
                  <c:v>93.3333333333334</c:v>
                </c:pt>
                <c:pt idx="43">
                  <c:v>93.3333333333334</c:v>
                </c:pt>
                <c:pt idx="44">
                  <c:v>79.999999999999972</c:v>
                </c:pt>
                <c:pt idx="45">
                  <c:v>79.999999999999972</c:v>
                </c:pt>
                <c:pt idx="46">
                  <c:v>79.999999999999972</c:v>
                </c:pt>
                <c:pt idx="47">
                  <c:v>79.999999999999972</c:v>
                </c:pt>
                <c:pt idx="48">
                  <c:v>79.999999999999972</c:v>
                </c:pt>
                <c:pt idx="49">
                  <c:v>79.999999999999972</c:v>
                </c:pt>
                <c:pt idx="50">
                  <c:v>53.273942093541123</c:v>
                </c:pt>
                <c:pt idx="51">
                  <c:v>79.108932947204394</c:v>
                </c:pt>
                <c:pt idx="52">
                  <c:v>53.333333333333314</c:v>
                </c:pt>
                <c:pt idx="53">
                  <c:v>40.000000000000099</c:v>
                </c:pt>
                <c:pt idx="54">
                  <c:v>43.333545121460382</c:v>
                </c:pt>
                <c:pt idx="55">
                  <c:v>43.333126563695366</c:v>
                </c:pt>
                <c:pt idx="56">
                  <c:v>45.33349166765619</c:v>
                </c:pt>
                <c:pt idx="57">
                  <c:v>46.666203156504288</c:v>
                </c:pt>
                <c:pt idx="58">
                  <c:v>40.000000000000099</c:v>
                </c:pt>
                <c:pt idx="59">
                  <c:v>41.333024047011428</c:v>
                </c:pt>
                <c:pt idx="60">
                  <c:v>42.000152975370916</c:v>
                </c:pt>
                <c:pt idx="61">
                  <c:v>53.333333333333314</c:v>
                </c:pt>
                <c:pt idx="62">
                  <c:v>53.333333333333314</c:v>
                </c:pt>
                <c:pt idx="63">
                  <c:v>53.333333333333314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'Coffee (All)'!$I$6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(All)'!$I$7:$I$107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3"/>
          <c:order val="7"/>
          <c:tx>
            <c:strRef>
              <c:f>'Coffee (All)'!$J$6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(All)'!$J$7:$J$107</c:f>
              <c:numCache>
                <c:formatCode>0.0000</c:formatCode>
                <c:ptCount val="71"/>
                <c:pt idx="11">
                  <c:v>64.500000000000099</c:v>
                </c:pt>
                <c:pt idx="12">
                  <c:v>80.666666666666529</c:v>
                </c:pt>
                <c:pt idx="13">
                  <c:v>85.000000000000071</c:v>
                </c:pt>
                <c:pt idx="14">
                  <c:v>72.833333333333215</c:v>
                </c:pt>
                <c:pt idx="15">
                  <c:v>74.166666666666558</c:v>
                </c:pt>
                <c:pt idx="19">
                  <c:v>64.484848484848513</c:v>
                </c:pt>
                <c:pt idx="23">
                  <c:v>85.473684210526301</c:v>
                </c:pt>
                <c:pt idx="61">
                  <c:v>72.666666666666686</c:v>
                </c:pt>
                <c:pt idx="62">
                  <c:v>79.999999999999972</c:v>
                </c:pt>
                <c:pt idx="63">
                  <c:v>75.25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'Coffee (All)'!$K$6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(All)'!$K$7:$K$107</c:f>
              <c:numCache>
                <c:formatCode>0.0000</c:formatCode>
                <c:ptCount val="71"/>
                <c:pt idx="34">
                  <c:v>81.454545454545524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'Coffee (All)'!$L$6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(All)'!$L$7:$L$107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9"/>
          <c:order val="10"/>
          <c:tx>
            <c:strRef>
              <c:f>'Coffee (All)'!$M$6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(All)'!$M$7:$M$107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21"/>
          <c:order val="11"/>
          <c:tx>
            <c:strRef>
              <c:f>'Coffee (All)'!$Q$6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(All)'!$Q$7:$Q$107</c:f>
              <c:numCache>
                <c:formatCode>0.0000</c:formatCode>
                <c:ptCount val="71"/>
                <c:pt idx="24">
                  <c:v>118.57289056710317</c:v>
                </c:pt>
                <c:pt idx="25">
                  <c:v>118.79380889302416</c:v>
                </c:pt>
                <c:pt idx="26">
                  <c:v>132.62064830458661</c:v>
                </c:pt>
                <c:pt idx="27">
                  <c:v>111.65427405678672</c:v>
                </c:pt>
                <c:pt idx="29">
                  <c:v>77.433908632224032</c:v>
                </c:pt>
                <c:pt idx="30">
                  <c:v>78.755821142100487</c:v>
                </c:pt>
                <c:pt idx="31">
                  <c:v>67.337690939342423</c:v>
                </c:pt>
                <c:pt idx="32">
                  <c:v>66.322351725940123</c:v>
                </c:pt>
                <c:pt idx="33">
                  <c:v>66.927161137370021</c:v>
                </c:pt>
                <c:pt idx="34">
                  <c:v>65.104138302508701</c:v>
                </c:pt>
                <c:pt idx="35">
                  <c:v>56</c:v>
                </c:pt>
                <c:pt idx="36">
                  <c:v>64.000000000000057</c:v>
                </c:pt>
                <c:pt idx="37">
                  <c:v>73.68421052631588</c:v>
                </c:pt>
                <c:pt idx="38">
                  <c:v>66.926829268292678</c:v>
                </c:pt>
                <c:pt idx="39">
                  <c:v>70</c:v>
                </c:pt>
                <c:pt idx="40">
                  <c:v>87.630208333333357</c:v>
                </c:pt>
                <c:pt idx="41">
                  <c:v>90.625000000000028</c:v>
                </c:pt>
                <c:pt idx="42">
                  <c:v>81.000000000000043</c:v>
                </c:pt>
                <c:pt idx="43">
                  <c:v>106.43564356435651</c:v>
                </c:pt>
                <c:pt idx="44">
                  <c:v>102.73076923076911</c:v>
                </c:pt>
                <c:pt idx="45">
                  <c:v>84.302325581395266</c:v>
                </c:pt>
                <c:pt idx="46">
                  <c:v>87.5</c:v>
                </c:pt>
                <c:pt idx="47">
                  <c:v>62.927007299270009</c:v>
                </c:pt>
                <c:pt idx="48">
                  <c:v>40.000000000000099</c:v>
                </c:pt>
                <c:pt idx="49">
                  <c:v>32.000000000000028</c:v>
                </c:pt>
                <c:pt idx="50">
                  <c:v>50.133333333333375</c:v>
                </c:pt>
                <c:pt idx="51">
                  <c:v>47.416020671834531</c:v>
                </c:pt>
                <c:pt idx="52">
                  <c:v>38.065843621399104</c:v>
                </c:pt>
                <c:pt idx="53">
                  <c:v>37.041884816753821</c:v>
                </c:pt>
                <c:pt idx="54">
                  <c:v>42.348484848484858</c:v>
                </c:pt>
                <c:pt idx="55">
                  <c:v>44.602272727272734</c:v>
                </c:pt>
                <c:pt idx="56">
                  <c:v>43.037974683544284</c:v>
                </c:pt>
                <c:pt idx="57">
                  <c:v>52.570224719101155</c:v>
                </c:pt>
                <c:pt idx="58">
                  <c:v>45.693240901213251</c:v>
                </c:pt>
                <c:pt idx="59">
                  <c:v>47.435114503816699</c:v>
                </c:pt>
                <c:pt idx="60">
                  <c:v>54.499999999999908</c:v>
                </c:pt>
                <c:pt idx="61">
                  <c:v>60.508397932816514</c:v>
                </c:pt>
                <c:pt idx="62">
                  <c:v>84.642857142857224</c:v>
                </c:pt>
                <c:pt idx="63">
                  <c:v>52.399999999999906</c:v>
                </c:pt>
              </c:numCache>
            </c:numRef>
          </c:val>
          <c:smooth val="0"/>
        </c:ser>
        <c:ser>
          <c:idx val="23"/>
          <c:order val="12"/>
          <c:tx>
            <c:strRef>
              <c:f>'Coffee (All)'!$R$6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(All)'!$R$7:$R$107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25"/>
          <c:order val="13"/>
          <c:tx>
            <c:strRef>
              <c:f>'Coffee (All)'!$S$6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(All)'!$S$7:$S$107</c:f>
              <c:numCache>
                <c:formatCode>0.0000</c:formatCode>
                <c:ptCount val="71"/>
                <c:pt idx="8">
                  <c:v>60.479054591418624</c:v>
                </c:pt>
                <c:pt idx="30">
                  <c:v>75.598818239273285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'Coffee (All)'!$U$6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(All)'!$U$7:$U$107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31"/>
          <c:order val="15"/>
          <c:tx>
            <c:strRef>
              <c:f>'Coffee (All)'!$V$6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(All)'!$V$7:$V$107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33"/>
          <c:order val="16"/>
          <c:tx>
            <c:strRef>
              <c:f>'Coffee (All)'!$W$6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(All)'!$W$7:$W$107</c:f>
              <c:numCache>
                <c:formatCode>0.0000</c:formatCode>
                <c:ptCount val="71"/>
                <c:pt idx="26">
                  <c:v>101.81818181818183</c:v>
                </c:pt>
                <c:pt idx="28">
                  <c:v>80.181818181818187</c:v>
                </c:pt>
                <c:pt idx="29">
                  <c:v>111.86424242424242</c:v>
                </c:pt>
                <c:pt idx="30">
                  <c:v>64.838661710037172</c:v>
                </c:pt>
                <c:pt idx="31">
                  <c:v>61.090909090909086</c:v>
                </c:pt>
                <c:pt idx="32">
                  <c:v>61.090909090909086</c:v>
                </c:pt>
                <c:pt idx="33">
                  <c:v>71.176973496722709</c:v>
                </c:pt>
                <c:pt idx="43">
                  <c:v>63.333333333333329</c:v>
                </c:pt>
                <c:pt idx="45">
                  <c:v>52.168242582328006</c:v>
                </c:pt>
                <c:pt idx="46">
                  <c:v>50.7134</c:v>
                </c:pt>
                <c:pt idx="48">
                  <c:v>29.126766666666665</c:v>
                </c:pt>
                <c:pt idx="49">
                  <c:v>36.984220000000001</c:v>
                </c:pt>
                <c:pt idx="50">
                  <c:v>38.945454545454545</c:v>
                </c:pt>
                <c:pt idx="51">
                  <c:v>41.575757575757578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'Coffee (All)'!$X$6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(All)'!$X$7:$X$107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37"/>
          <c:order val="18"/>
          <c:tx>
            <c:strRef>
              <c:f>'Coffee (All)'!$Y$6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(All)'!$Y$7:$Y$107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38"/>
          <c:order val="19"/>
          <c:tx>
            <c:strRef>
              <c:f>'Coffee (All)'!$Z$6</c:f>
              <c:strCache>
                <c:ptCount val="1"/>
                <c:pt idx="0">
                  <c:v>Istanbul (Malatya),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(All)'!$Z$7:$Z$107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40"/>
          <c:order val="20"/>
          <c:tx>
            <c:strRef>
              <c:f>'Coffee (All)'!$AA$6</c:f>
              <c:strCache>
                <c:ptCount val="1"/>
                <c:pt idx="0">
                  <c:v>Istanbul (Malatya),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(All)'!$AA$7:$AA$107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42"/>
          <c:order val="21"/>
          <c:tx>
            <c:strRef>
              <c:f>'Coffee (All)'!$AB$6</c:f>
              <c:strCache>
                <c:ptCount val="1"/>
                <c:pt idx="0">
                  <c:v>Istanbul (Malatya),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(All)'!$AB$7:$AB$107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43"/>
          <c:order val="22"/>
          <c:tx>
            <c:strRef>
              <c:f>'Coffee (All)'!$AC$6</c:f>
              <c:strCache>
                <c:ptCount val="1"/>
                <c:pt idx="0">
                  <c:v>Istanbul (Geyve),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(All)'!$AC$7:$AC$107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45"/>
          <c:order val="23"/>
          <c:tx>
            <c:strRef>
              <c:f>'Coffee (All)'!$AD$6</c:f>
              <c:strCache>
                <c:ptCount val="1"/>
                <c:pt idx="0">
                  <c:v>Istanbul (Geyve),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(All)'!$AD$7:$AD$107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47"/>
          <c:order val="24"/>
          <c:tx>
            <c:strRef>
              <c:f>'Coffee (All)'!$AE$6</c:f>
              <c:strCache>
                <c:ptCount val="1"/>
                <c:pt idx="0">
                  <c:v>Istanbul (Geyve),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(All)'!$AE$7:$AE$107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49"/>
          <c:order val="25"/>
          <c:tx>
            <c:strRef>
              <c:f>'Coffee (All)'!$AI$6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(All)'!$AI$7:$AI$107</c:f>
              <c:numCache>
                <c:formatCode>0.0000</c:formatCode>
                <c:ptCount val="71"/>
                <c:pt idx="60">
                  <c:v>49.734338317064129</c:v>
                </c:pt>
                <c:pt idx="61">
                  <c:v>68.285912560721727</c:v>
                </c:pt>
              </c:numCache>
            </c:numRef>
          </c:val>
          <c:smooth val="0"/>
        </c:ser>
        <c:ser>
          <c:idx val="51"/>
          <c:order val="26"/>
          <c:tx>
            <c:strRef>
              <c:f>'Coffee (All)'!$AJ$6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(All)'!$AJ$7:$AJ$107</c:f>
              <c:numCache>
                <c:formatCode>0.0000</c:formatCode>
                <c:ptCount val="71"/>
                <c:pt idx="60">
                  <c:v>43.022820800598581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'Coffee (All)'!$AK$6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(All)'!$AK$7:$AK$107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55"/>
          <c:order val="28"/>
          <c:tx>
            <c:strRef>
              <c:f>'Coffee (All)'!$AL$6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(All)'!$AL$7:$AL$107</c:f>
              <c:numCache>
                <c:formatCode>0.0000</c:formatCode>
                <c:ptCount val="71"/>
                <c:pt idx="35">
                  <c:v>60.486048604860478</c:v>
                </c:pt>
                <c:pt idx="37">
                  <c:v>108.11881188118819</c:v>
                </c:pt>
                <c:pt idx="47">
                  <c:v>48.47</c:v>
                </c:pt>
                <c:pt idx="57">
                  <c:v>38.596491228070178</c:v>
                </c:pt>
                <c:pt idx="60">
                  <c:v>48.07692307692308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'Coffee (All)'!$AM$6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(All)'!$AM$7:$AM$107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59"/>
          <c:order val="30"/>
          <c:tx>
            <c:strRef>
              <c:f>'Coffee (All)'!$AN$6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(All)'!$AN$7:$AN$107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61"/>
          <c:order val="31"/>
          <c:tx>
            <c:strRef>
              <c:f>'Coffee (All)'!$AO$6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(All)'!$AO$7:$AO$107</c:f>
              <c:numCache>
                <c:formatCode>0.0000</c:formatCode>
                <c:ptCount val="71"/>
                <c:pt idx="15">
                  <c:v>93.333333333333343</c:v>
                </c:pt>
                <c:pt idx="16">
                  <c:v>93.333333333333343</c:v>
                </c:pt>
                <c:pt idx="17">
                  <c:v>93.333333333333343</c:v>
                </c:pt>
                <c:pt idx="18">
                  <c:v>93.333333333333343</c:v>
                </c:pt>
                <c:pt idx="19">
                  <c:v>93.333333333333343</c:v>
                </c:pt>
                <c:pt idx="20">
                  <c:v>80</c:v>
                </c:pt>
                <c:pt idx="21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60</c:v>
                </c:pt>
                <c:pt idx="31">
                  <c:v>50.028490028490033</c:v>
                </c:pt>
                <c:pt idx="32">
                  <c:v>60</c:v>
                </c:pt>
                <c:pt idx="33">
                  <c:v>99.934853420195452</c:v>
                </c:pt>
                <c:pt idx="34">
                  <c:v>79.980449657869016</c:v>
                </c:pt>
                <c:pt idx="35">
                  <c:v>83.994413407821241</c:v>
                </c:pt>
                <c:pt idx="36">
                  <c:v>83.989361702127653</c:v>
                </c:pt>
                <c:pt idx="37">
                  <c:v>84.005102040816325</c:v>
                </c:pt>
                <c:pt idx="38">
                  <c:v>80.017746228926342</c:v>
                </c:pt>
                <c:pt idx="39">
                  <c:v>91.989528795811509</c:v>
                </c:pt>
                <c:pt idx="40">
                  <c:v>92.16901408450704</c:v>
                </c:pt>
                <c:pt idx="41">
                  <c:v>92.012383900928796</c:v>
                </c:pt>
                <c:pt idx="42">
                  <c:v>80.017714791851205</c:v>
                </c:pt>
                <c:pt idx="43">
                  <c:v>63.989681857265694</c:v>
                </c:pt>
                <c:pt idx="44">
                  <c:v>40</c:v>
                </c:pt>
                <c:pt idx="45">
                  <c:v>36.014388489208635</c:v>
                </c:pt>
                <c:pt idx="46">
                  <c:v>38.337801608579085</c:v>
                </c:pt>
                <c:pt idx="47">
                  <c:v>33.94736842105263</c:v>
                </c:pt>
                <c:pt idx="48">
                  <c:v>34</c:v>
                </c:pt>
                <c:pt idx="49">
                  <c:v>34.006054490413725</c:v>
                </c:pt>
                <c:pt idx="50">
                  <c:v>40</c:v>
                </c:pt>
                <c:pt idx="51">
                  <c:v>39.975155279503106</c:v>
                </c:pt>
                <c:pt idx="52">
                  <c:v>40.015186028853449</c:v>
                </c:pt>
                <c:pt idx="53">
                  <c:v>42.022471910112358</c:v>
                </c:pt>
                <c:pt idx="54">
                  <c:v>34.179301252471987</c:v>
                </c:pt>
                <c:pt idx="55">
                  <c:v>36.346356916578671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'Coffee (All)'!$AP$6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(All)'!$AP$7:$AP$107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65"/>
          <c:order val="33"/>
          <c:tx>
            <c:strRef>
              <c:f>'Coffee (All)'!$AQ$6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(All)'!$AQ$7:$AQ$107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67"/>
          <c:order val="34"/>
          <c:tx>
            <c:strRef>
              <c:f>'Coffee (All)'!$AR$6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(All)'!$AR$7:$AR$107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69"/>
          <c:order val="35"/>
          <c:tx>
            <c:strRef>
              <c:f>'Coffee (All)'!$AS$6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(All)'!$AS$7:$AS$107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71"/>
          <c:order val="36"/>
          <c:tx>
            <c:strRef>
              <c:f>'Coffee (All)'!$AT$6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(All)'!$AT$7:$AT$107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73"/>
          <c:order val="37"/>
          <c:tx>
            <c:strRef>
              <c:f>'Coffee (All)'!$AU$6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(All)'!$AU$7:$AU$107</c:f>
              <c:numCache>
                <c:formatCode>0.0000</c:formatCode>
                <c:ptCount val="71"/>
                <c:pt idx="14">
                  <c:v>78</c:v>
                </c:pt>
                <c:pt idx="15">
                  <c:v>85</c:v>
                </c:pt>
                <c:pt idx="16">
                  <c:v>80</c:v>
                </c:pt>
                <c:pt idx="18">
                  <c:v>70</c:v>
                </c:pt>
                <c:pt idx="19">
                  <c:v>72</c:v>
                </c:pt>
                <c:pt idx="21">
                  <c:v>100</c:v>
                </c:pt>
                <c:pt idx="22">
                  <c:v>100</c:v>
                </c:pt>
                <c:pt idx="24">
                  <c:v>120</c:v>
                </c:pt>
                <c:pt idx="25">
                  <c:v>100</c:v>
                </c:pt>
                <c:pt idx="26">
                  <c:v>90</c:v>
                </c:pt>
                <c:pt idx="27">
                  <c:v>88.948322732242175</c:v>
                </c:pt>
                <c:pt idx="28">
                  <c:v>88.904374999999987</c:v>
                </c:pt>
                <c:pt idx="29">
                  <c:v>136.43277361460957</c:v>
                </c:pt>
                <c:pt idx="30">
                  <c:v>95.254687499999989</c:v>
                </c:pt>
                <c:pt idx="31">
                  <c:v>82.555885244746264</c:v>
                </c:pt>
                <c:pt idx="32">
                  <c:v>47.673615200047102</c:v>
                </c:pt>
                <c:pt idx="33">
                  <c:v>55.565234374999996</c:v>
                </c:pt>
                <c:pt idx="34">
                  <c:v>59.534599134286822</c:v>
                </c:pt>
                <c:pt idx="35">
                  <c:v>47.627343749999994</c:v>
                </c:pt>
                <c:pt idx="36">
                  <c:v>51.029296875</c:v>
                </c:pt>
                <c:pt idx="38">
                  <c:v>50.802430447169833</c:v>
                </c:pt>
                <c:pt idx="39">
                  <c:v>50.802308621767821</c:v>
                </c:pt>
                <c:pt idx="40">
                  <c:v>50.802605648374588</c:v>
                </c:pt>
                <c:pt idx="41">
                  <c:v>50.802500000000002</c:v>
                </c:pt>
                <c:pt idx="42">
                  <c:v>56.7768332497781</c:v>
                </c:pt>
                <c:pt idx="44">
                  <c:v>63.503124999999997</c:v>
                </c:pt>
                <c:pt idx="55">
                  <c:v>46.186999999999998</c:v>
                </c:pt>
                <c:pt idx="56">
                  <c:v>41.07779698691035</c:v>
                </c:pt>
                <c:pt idx="57">
                  <c:v>36.731372549019611</c:v>
                </c:pt>
                <c:pt idx="58">
                  <c:v>38.068405797101448</c:v>
                </c:pt>
                <c:pt idx="60">
                  <c:v>34.465534465534468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'Coffee (All)'!$AV$6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(All)'!$AV$7:$AV$107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77"/>
          <c:order val="39"/>
          <c:tx>
            <c:strRef>
              <c:f>'Coffee (All)'!$AW$6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(All)'!$AW$7:$AW$107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79"/>
          <c:order val="40"/>
          <c:tx>
            <c:strRef>
              <c:f>'Coffee (All)'!$AX$6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(All)'!$AX$7:$AX$107</c:f>
              <c:numCache>
                <c:formatCode>0.0000</c:formatCode>
                <c:ptCount val="71"/>
                <c:pt idx="28">
                  <c:v>106.69456066945607</c:v>
                </c:pt>
                <c:pt idx="29">
                  <c:v>105.8</c:v>
                </c:pt>
                <c:pt idx="30">
                  <c:v>105.81560283687942</c:v>
                </c:pt>
                <c:pt idx="31">
                  <c:v>102.8132911392405</c:v>
                </c:pt>
                <c:pt idx="32">
                  <c:v>100.48034934497818</c:v>
                </c:pt>
                <c:pt idx="33">
                  <c:v>101.10045662100455</c:v>
                </c:pt>
                <c:pt idx="37">
                  <c:v>102.92561983471074</c:v>
                </c:pt>
                <c:pt idx="38">
                  <c:v>102.58590308370044</c:v>
                </c:pt>
                <c:pt idx="39">
                  <c:v>102.02845528455285</c:v>
                </c:pt>
                <c:pt idx="40">
                  <c:v>101.55882352941167</c:v>
                </c:pt>
                <c:pt idx="41">
                  <c:v>100.54999999999991</c:v>
                </c:pt>
                <c:pt idx="42">
                  <c:v>99.999999999999901</c:v>
                </c:pt>
                <c:pt idx="43">
                  <c:v>98.697674418604549</c:v>
                </c:pt>
                <c:pt idx="44">
                  <c:v>99.999999999999915</c:v>
                </c:pt>
                <c:pt idx="45">
                  <c:v>99.91150442477867</c:v>
                </c:pt>
                <c:pt idx="46">
                  <c:v>100.01041666666657</c:v>
                </c:pt>
                <c:pt idx="47">
                  <c:v>100.08695652173904</c:v>
                </c:pt>
                <c:pt idx="48">
                  <c:v>99.893162393162299</c:v>
                </c:pt>
                <c:pt idx="49">
                  <c:v>59.999999999999943</c:v>
                </c:pt>
                <c:pt idx="50">
                  <c:v>54.99999999999995</c:v>
                </c:pt>
                <c:pt idx="51">
                  <c:v>54.990494296577893</c:v>
                </c:pt>
                <c:pt idx="52">
                  <c:v>44.917431192660516</c:v>
                </c:pt>
                <c:pt idx="53">
                  <c:v>45.009242144177406</c:v>
                </c:pt>
                <c:pt idx="54">
                  <c:v>44.999999999999964</c:v>
                </c:pt>
                <c:pt idx="55">
                  <c:v>44.999999999999964</c:v>
                </c:pt>
                <c:pt idx="56">
                  <c:v>44.999999999999957</c:v>
                </c:pt>
                <c:pt idx="57">
                  <c:v>44.947643979057553</c:v>
                </c:pt>
                <c:pt idx="58">
                  <c:v>45.217391304347785</c:v>
                </c:pt>
                <c:pt idx="59">
                  <c:v>49.99999999999995</c:v>
                </c:pt>
                <c:pt idx="60">
                  <c:v>94.999999999999915</c:v>
                </c:pt>
                <c:pt idx="61">
                  <c:v>93.880327868852461</c:v>
                </c:pt>
                <c:pt idx="62">
                  <c:v>93.830000000000013</c:v>
                </c:pt>
                <c:pt idx="63">
                  <c:v>65.148750000000007</c:v>
                </c:pt>
              </c:numCache>
            </c:numRef>
          </c:val>
          <c:smooth val="0"/>
        </c:ser>
        <c:ser>
          <c:idx val="81"/>
          <c:order val="41"/>
          <c:tx>
            <c:strRef>
              <c:f>'Coffee (All)'!$AY$6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(All)'!$AY$7:$AY$107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83"/>
          <c:order val="42"/>
          <c:tx>
            <c:strRef>
              <c:f>'Coffee (All)'!$AZ$6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(All)'!$AZ$7:$AZ$107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85"/>
          <c:order val="43"/>
          <c:tx>
            <c:strRef>
              <c:f>'Coffee (All)'!$BA$6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(All)'!$BA$7:$BA$107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87"/>
          <c:order val="44"/>
          <c:tx>
            <c:strRef>
              <c:f>'Coffee (All)'!$BB$6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(All)'!$BB$7:$BB$107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89"/>
          <c:order val="45"/>
          <c:tx>
            <c:strRef>
              <c:f>'Coffee (All)'!$BC$6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(All)'!$BC$7:$BC$107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91"/>
          <c:order val="46"/>
          <c:tx>
            <c:strRef>
              <c:f>'Coffee (All)'!$BD$6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(All)'!$BD$7:$BD$107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93"/>
          <c:order val="47"/>
          <c:tx>
            <c:strRef>
              <c:f>'Coffee (All)'!$BE$6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(All)'!$BE$7:$BE$107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95"/>
          <c:order val="48"/>
          <c:tx>
            <c:strRef>
              <c:f>'Coffee (All)'!$BF$6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(All)'!$BF$7:$BF$107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97"/>
          <c:order val="49"/>
          <c:tx>
            <c:strRef>
              <c:f>'Coffee (All)'!$BG$6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(All)'!$BG$7:$BG$107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99"/>
          <c:order val="50"/>
          <c:tx>
            <c:strRef>
              <c:f>'Coffee (All)'!$BH$6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(All)'!$BH$7:$BH$107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01"/>
          <c:order val="51"/>
          <c:tx>
            <c:strRef>
              <c:f>'Coffee (All)'!$BI$6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(All)'!$BI$7:$BI$107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03"/>
          <c:order val="52"/>
          <c:tx>
            <c:strRef>
              <c:f>'Coffee (All)'!$BJ$6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(All)'!$BJ$7:$BJ$107</c:f>
              <c:numCache>
                <c:formatCode>0.0000</c:formatCode>
                <c:ptCount val="71"/>
                <c:pt idx="50">
                  <c:v>54.371112122591398</c:v>
                </c:pt>
                <c:pt idx="51">
                  <c:v>63.827076452445198</c:v>
                </c:pt>
                <c:pt idx="52">
                  <c:v>56.243671724242397</c:v>
                </c:pt>
                <c:pt idx="53">
                  <c:v>56.117396338798599</c:v>
                </c:pt>
                <c:pt idx="54">
                  <c:v>65.053605952311202</c:v>
                </c:pt>
                <c:pt idx="55">
                  <c:v>53.9794477822646</c:v>
                </c:pt>
                <c:pt idx="57">
                  <c:v>60.380952380952394</c:v>
                </c:pt>
                <c:pt idx="58">
                  <c:v>91.9444444444444</c:v>
                </c:pt>
                <c:pt idx="59">
                  <c:v>79.902200488997593</c:v>
                </c:pt>
                <c:pt idx="60">
                  <c:v>73.214285714285808</c:v>
                </c:pt>
                <c:pt idx="61">
                  <c:v>161</c:v>
                </c:pt>
                <c:pt idx="62">
                  <c:v>126.8312757201646</c:v>
                </c:pt>
              </c:numCache>
            </c:numRef>
          </c:val>
          <c:smooth val="0"/>
        </c:ser>
        <c:ser>
          <c:idx val="105"/>
          <c:order val="53"/>
          <c:tx>
            <c:strRef>
              <c:f>'Coffee (All)'!$BK$6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(All)'!$BK$7:$BK$107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07"/>
          <c:order val="54"/>
          <c:tx>
            <c:strRef>
              <c:f>'Coffee (All)'!$BL$6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(All)'!$BL$7:$BL$107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09"/>
          <c:order val="55"/>
          <c:tx>
            <c:strRef>
              <c:f>'Coffee (All)'!$BM$6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(All)'!$BM$7:$BM$107</c:f>
              <c:numCache>
                <c:formatCode>0.0000</c:formatCode>
                <c:ptCount val="71"/>
                <c:pt idx="44">
                  <c:v>103.38461538461549</c:v>
                </c:pt>
                <c:pt idx="57">
                  <c:v>75.533333333333346</c:v>
                </c:pt>
                <c:pt idx="58">
                  <c:v>74.65798045602601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159.99999999999994</c:v>
                </c:pt>
              </c:numCache>
            </c:numRef>
          </c:val>
          <c:smooth val="0"/>
        </c:ser>
        <c:ser>
          <c:idx val="111"/>
          <c:order val="56"/>
          <c:tx>
            <c:strRef>
              <c:f>'Coffee (All)'!$BN$6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(All)'!$BN$7:$BN$107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13"/>
          <c:order val="57"/>
          <c:tx>
            <c:strRef>
              <c:f>'Coffee (All)'!$BO$6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(All)'!$BO$7:$BO$107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15"/>
          <c:order val="58"/>
          <c:tx>
            <c:strRef>
              <c:f>'Coffee (All)'!$BP$6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(All)'!$BP$7:$BP$107</c:f>
              <c:numCache>
                <c:formatCode>0.0000</c:formatCode>
                <c:ptCount val="71"/>
                <c:pt idx="62">
                  <c:v>134.43360840210045</c:v>
                </c:pt>
              </c:numCache>
            </c:numRef>
          </c:val>
          <c:smooth val="0"/>
        </c:ser>
        <c:ser>
          <c:idx val="117"/>
          <c:order val="59"/>
          <c:tx>
            <c:strRef>
              <c:f>'Coffee (All)'!$BQ$6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(All)'!$BQ$7:$BQ$107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19"/>
          <c:order val="60"/>
          <c:tx>
            <c:strRef>
              <c:f>'Coffee (All)'!$BR$6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(All)'!$BR$7:$BR$107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21"/>
          <c:order val="61"/>
          <c:tx>
            <c:strRef>
              <c:f>'Coffee (All)'!$BS$6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(All)'!$BS$7:$BS$107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23"/>
          <c:order val="62"/>
          <c:tx>
            <c:strRef>
              <c:f>'Coffee (All)'!$BT$6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(All)'!$BT$7:$BT$107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25"/>
          <c:order val="63"/>
          <c:tx>
            <c:strRef>
              <c:f>'Coffee (All)'!$BU$6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(All)'!$BU$7:$BU$107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27"/>
          <c:order val="64"/>
          <c:tx>
            <c:strRef>
              <c:f>'Coffee (All)'!$BV$6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(All)'!$BV$7:$BV$107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29"/>
          <c:order val="65"/>
          <c:tx>
            <c:strRef>
              <c:f>'Coffee (All)'!$BW$6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(All)'!$BW$7:$BW$107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31"/>
          <c:order val="66"/>
          <c:tx>
            <c:strRef>
              <c:f>'Coffee (All)'!$BX$6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(All)'!$BX$7:$BX$107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33"/>
          <c:order val="67"/>
          <c:tx>
            <c:strRef>
              <c:f>'Coffee (All)'!$BY$6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(All)'!$BY$7:$BY$107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35"/>
          <c:order val="68"/>
          <c:tx>
            <c:strRef>
              <c:f>'Coffee (All)'!$BZ$6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(All)'!$BZ$7:$BZ$107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37"/>
          <c:order val="69"/>
          <c:tx>
            <c:strRef>
              <c:f>'Coffee (All)'!$CA$6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(All)'!$CA$7:$CA$107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39"/>
          <c:order val="70"/>
          <c:tx>
            <c:strRef>
              <c:f>'Coffee (All)'!$CB$6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(All)'!$CB$7:$CB$107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41"/>
          <c:order val="71"/>
          <c:tx>
            <c:strRef>
              <c:f>'Coffee (All)'!$CC$6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(All)'!$CC$7:$CC$107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43"/>
          <c:order val="72"/>
          <c:tx>
            <c:strRef>
              <c:f>'Coffee (All)'!$CD$6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(All)'!$CD$7:$CD$107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45"/>
          <c:order val="73"/>
          <c:tx>
            <c:strRef>
              <c:f>'Coffee (All)'!$CE$6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(All)'!$CE$7:$CE$107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47"/>
          <c:order val="74"/>
          <c:tx>
            <c:strRef>
              <c:f>'Coffee (All)'!$CF$6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(All)'!$CF$7:$CF$107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49"/>
          <c:order val="75"/>
          <c:tx>
            <c:strRef>
              <c:f>'Coffee (All)'!$CG$6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(All)'!$CG$7:$CG$107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51"/>
          <c:order val="76"/>
          <c:tx>
            <c:strRef>
              <c:f>'Coffee (All)'!$CH$6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(All)'!$CH$7:$CH$107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53"/>
          <c:order val="77"/>
          <c:tx>
            <c:strRef>
              <c:f>'Coffee (All)'!$CI$6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(All)'!$CI$7:$CI$107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55"/>
          <c:order val="78"/>
          <c:tx>
            <c:strRef>
              <c:f>'Coffee (All)'!$CJ$6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(All)'!$CJ$7:$CJ$107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56"/>
          <c:order val="79"/>
          <c:tx>
            <c:strRef>
              <c:f>'Coffee (All)'!$CK$6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(All)'!$CK$7:$CK$107</c:f>
              <c:numCache>
                <c:formatCode>0.0000</c:formatCode>
                <c:ptCount val="71"/>
                <c:pt idx="38">
                  <c:v>93.411420204978043</c:v>
                </c:pt>
                <c:pt idx="39">
                  <c:v>81.080752884031568</c:v>
                </c:pt>
                <c:pt idx="41">
                  <c:v>92.857142857142861</c:v>
                </c:pt>
                <c:pt idx="42">
                  <c:v>93.749707602339186</c:v>
                </c:pt>
                <c:pt idx="43">
                  <c:v>92.307246376811605</c:v>
                </c:pt>
                <c:pt idx="44">
                  <c:v>86.666666666666657</c:v>
                </c:pt>
                <c:pt idx="45">
                  <c:v>88.941935483870964</c:v>
                </c:pt>
                <c:pt idx="46">
                  <c:v>82.35</c:v>
                </c:pt>
                <c:pt idx="47">
                  <c:v>78.751807228915666</c:v>
                </c:pt>
                <c:pt idx="48">
                  <c:v>52.501061571125263</c:v>
                </c:pt>
                <c:pt idx="49">
                  <c:v>48.501098901098906</c:v>
                </c:pt>
                <c:pt idx="50">
                  <c:v>46.756714795839152</c:v>
                </c:pt>
                <c:pt idx="51">
                  <c:v>46.699394534446085</c:v>
                </c:pt>
                <c:pt idx="52">
                  <c:v>41.76484070593628</c:v>
                </c:pt>
                <c:pt idx="53">
                  <c:v>40.350877192982459</c:v>
                </c:pt>
                <c:pt idx="54">
                  <c:v>42.731849200134242</c:v>
                </c:pt>
                <c:pt idx="55">
                  <c:v>54.66734097550011</c:v>
                </c:pt>
                <c:pt idx="56">
                  <c:v>47.928367563937542</c:v>
                </c:pt>
                <c:pt idx="57">
                  <c:v>53.333333333333329</c:v>
                </c:pt>
                <c:pt idx="58">
                  <c:v>42.666666666666664</c:v>
                </c:pt>
                <c:pt idx="59">
                  <c:v>51.999999999999993</c:v>
                </c:pt>
                <c:pt idx="60">
                  <c:v>79.998063704133983</c:v>
                </c:pt>
                <c:pt idx="61">
                  <c:v>76.572465960665653</c:v>
                </c:pt>
                <c:pt idx="62">
                  <c:v>83.554999999999993</c:v>
                </c:pt>
                <c:pt idx="63">
                  <c:v>69.334171644137058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'Coffee (All)'!$CL$6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(All)'!$CL$7:$CL$107</c:f>
              <c:numCache>
                <c:formatCode>0.0000</c:formatCode>
                <c:ptCount val="71"/>
                <c:pt idx="38">
                  <c:v>90.765456329735045</c:v>
                </c:pt>
                <c:pt idx="39">
                  <c:v>82.1111111111111</c:v>
                </c:pt>
                <c:pt idx="41">
                  <c:v>92.857142857142861</c:v>
                </c:pt>
                <c:pt idx="42">
                  <c:v>93.75333333333333</c:v>
                </c:pt>
                <c:pt idx="43">
                  <c:v>92.305010893246191</c:v>
                </c:pt>
                <c:pt idx="44">
                  <c:v>85.51627906976745</c:v>
                </c:pt>
                <c:pt idx="47">
                  <c:v>79.992141453831039</c:v>
                </c:pt>
                <c:pt idx="48">
                  <c:v>52.502078137988363</c:v>
                </c:pt>
                <c:pt idx="49">
                  <c:v>42.674719585849871</c:v>
                </c:pt>
                <c:pt idx="50">
                  <c:v>60</c:v>
                </c:pt>
                <c:pt idx="51">
                  <c:v>46.670100437805822</c:v>
                </c:pt>
                <c:pt idx="52">
                  <c:v>42.672985781990526</c:v>
                </c:pt>
                <c:pt idx="53">
                  <c:v>40.681481481481477</c:v>
                </c:pt>
                <c:pt idx="54">
                  <c:v>46.445553272673905</c:v>
                </c:pt>
                <c:pt idx="55">
                  <c:v>53.333333333333343</c:v>
                </c:pt>
                <c:pt idx="56">
                  <c:v>49.333333333333336</c:v>
                </c:pt>
                <c:pt idx="57">
                  <c:v>58.675433581093955</c:v>
                </c:pt>
                <c:pt idx="58">
                  <c:v>53.514807813484559</c:v>
                </c:pt>
                <c:pt idx="59">
                  <c:v>47.4969696969697</c:v>
                </c:pt>
                <c:pt idx="60">
                  <c:v>54.271617761620362</c:v>
                </c:pt>
                <c:pt idx="61">
                  <c:v>79.676985195154785</c:v>
                </c:pt>
                <c:pt idx="62">
                  <c:v>78.543726235741445</c:v>
                </c:pt>
                <c:pt idx="63">
                  <c:v>80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'Coffee (All)'!$CM$6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(All)'!$CM$7:$CM$107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60"/>
          <c:order val="82"/>
          <c:tx>
            <c:strRef>
              <c:f>'Coffee (All)'!$CN$6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(All)'!$CN$7:$CN$107</c:f>
              <c:numCache>
                <c:formatCode>0.0000</c:formatCode>
                <c:ptCount val="71"/>
                <c:pt idx="24">
                  <c:v>73.054097951024403</c:v>
                </c:pt>
                <c:pt idx="25">
                  <c:v>74.104802149416201</c:v>
                </c:pt>
                <c:pt idx="26">
                  <c:v>38.366012952809598</c:v>
                </c:pt>
                <c:pt idx="27">
                  <c:v>37.4390198566538</c:v>
                </c:pt>
                <c:pt idx="28">
                  <c:v>39.569611814386796</c:v>
                </c:pt>
                <c:pt idx="29">
                  <c:v>37.038285874298801</c:v>
                </c:pt>
                <c:pt idx="30">
                  <c:v>27.8798474899762</c:v>
                </c:pt>
                <c:pt idx="31">
                  <c:v>24.337000812563598</c:v>
                </c:pt>
                <c:pt idx="32">
                  <c:v>27.0296490237548</c:v>
                </c:pt>
                <c:pt idx="33">
                  <c:v>34.499624411366597</c:v>
                </c:pt>
                <c:pt idx="34">
                  <c:v>33.260544964725</c:v>
                </c:pt>
                <c:pt idx="35">
                  <c:v>27.119662866608198</c:v>
                </c:pt>
                <c:pt idx="36">
                  <c:v>34.614235457322202</c:v>
                </c:pt>
                <c:pt idx="37">
                  <c:v>35.928831122118801</c:v>
                </c:pt>
                <c:pt idx="38">
                  <c:v>39.0842200136412</c:v>
                </c:pt>
                <c:pt idx="39">
                  <c:v>71.787617004495004</c:v>
                </c:pt>
                <c:pt idx="40">
                  <c:v>88.136008403306207</c:v>
                </c:pt>
                <c:pt idx="41">
                  <c:v>73.714917424594205</c:v>
                </c:pt>
                <c:pt idx="42">
                  <c:v>78.999953651400602</c:v>
                </c:pt>
                <c:pt idx="43">
                  <c:v>69.155861793590205</c:v>
                </c:pt>
                <c:pt idx="44">
                  <c:v>11.585371536034721</c:v>
                </c:pt>
                <c:pt idx="45">
                  <c:v>10.328958299592339</c:v>
                </c:pt>
                <c:pt idx="46">
                  <c:v>31.314572108282</c:v>
                </c:pt>
                <c:pt idx="47">
                  <c:v>33.198951362938402</c:v>
                </c:pt>
                <c:pt idx="48">
                  <c:v>23.986968284315601</c:v>
                </c:pt>
                <c:pt idx="49">
                  <c:v>29.743550302714201</c:v>
                </c:pt>
                <c:pt idx="50">
                  <c:v>23.1501590672246</c:v>
                </c:pt>
                <c:pt idx="51">
                  <c:v>28.547023799909802</c:v>
                </c:pt>
                <c:pt idx="52">
                  <c:v>23.183905307745398</c:v>
                </c:pt>
                <c:pt idx="53">
                  <c:v>24.230999934822201</c:v>
                </c:pt>
                <c:pt idx="54">
                  <c:v>44.2184473313404</c:v>
                </c:pt>
                <c:pt idx="55">
                  <c:v>43.346938775510196</c:v>
                </c:pt>
                <c:pt idx="56">
                  <c:v>51.826415094339602</c:v>
                </c:pt>
                <c:pt idx="57">
                  <c:v>53.331932773109195</c:v>
                </c:pt>
                <c:pt idx="58">
                  <c:v>53.3359621451104</c:v>
                </c:pt>
                <c:pt idx="59">
                  <c:v>57.334162520729599</c:v>
                </c:pt>
                <c:pt idx="60">
                  <c:v>61.561897416120395</c:v>
                </c:pt>
                <c:pt idx="61">
                  <c:v>65.203689469638803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'Coffee (All)'!$CO$6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(All)'!$CO$7:$CO$107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64"/>
          <c:order val="84"/>
          <c:tx>
            <c:strRef>
              <c:f>'Coffee (All)'!$CP$6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(All)'!$CP$7:$CP$107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66"/>
          <c:order val="85"/>
          <c:tx>
            <c:strRef>
              <c:f>'Coffee (All)'!$CQ$6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(All)'!$CQ$7:$CQ$107</c:f>
              <c:numCache>
                <c:formatCode>0.0000</c:formatCode>
                <c:ptCount val="71"/>
                <c:pt idx="40">
                  <c:v>82.8309945088468</c:v>
                </c:pt>
                <c:pt idx="41">
                  <c:v>93.3333333333334</c:v>
                </c:pt>
                <c:pt idx="42">
                  <c:v>83.340817242927798</c:v>
                </c:pt>
                <c:pt idx="43">
                  <c:v>80</c:v>
                </c:pt>
                <c:pt idx="45">
                  <c:v>87.283170591613995</c:v>
                </c:pt>
                <c:pt idx="46">
                  <c:v>200</c:v>
                </c:pt>
                <c:pt idx="47">
                  <c:v>93.3333333333334</c:v>
                </c:pt>
                <c:pt idx="48">
                  <c:v>93.3333333333334</c:v>
                </c:pt>
                <c:pt idx="49">
                  <c:v>95.978835978836003</c:v>
                </c:pt>
                <c:pt idx="50">
                  <c:v>98.825931597753993</c:v>
                </c:pt>
                <c:pt idx="51">
                  <c:v>100</c:v>
                </c:pt>
                <c:pt idx="52">
                  <c:v>64.975609756097597</c:v>
                </c:pt>
              </c:numCache>
            </c:numRef>
          </c:val>
          <c:smooth val="0"/>
        </c:ser>
        <c:ser>
          <c:idx val="168"/>
          <c:order val="86"/>
          <c:tx>
            <c:strRef>
              <c:f>'Coffee (All)'!$CR$6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(All)'!$CR$7:$CR$107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70"/>
          <c:order val="87"/>
          <c:tx>
            <c:strRef>
              <c:f>'Coffee (All)'!$CS$6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(All)'!$CS$7:$CS$107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72"/>
          <c:order val="88"/>
          <c:tx>
            <c:strRef>
              <c:f>'Coffee (All)'!$CT$6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(All)'!$CT$7:$CT$107</c:f>
              <c:numCache>
                <c:formatCode>0.0000</c:formatCode>
                <c:ptCount val="71"/>
                <c:pt idx="37">
                  <c:v>89.672232529375407</c:v>
                </c:pt>
                <c:pt idx="38">
                  <c:v>67.208888888888808</c:v>
                </c:pt>
                <c:pt idx="39">
                  <c:v>45.257142857142796</c:v>
                </c:pt>
                <c:pt idx="40">
                  <c:v>47.134803921568604</c:v>
                </c:pt>
                <c:pt idx="41">
                  <c:v>85.713888888888789</c:v>
                </c:pt>
                <c:pt idx="42">
                  <c:v>62.496000000000002</c:v>
                </c:pt>
                <c:pt idx="43">
                  <c:v>67.691428571428602</c:v>
                </c:pt>
                <c:pt idx="44">
                  <c:v>77.766666666666595</c:v>
                </c:pt>
                <c:pt idx="45">
                  <c:v>77.78</c:v>
                </c:pt>
                <c:pt idx="46">
                  <c:v>70.586666666666602</c:v>
                </c:pt>
                <c:pt idx="47">
                  <c:v>62.5</c:v>
                </c:pt>
                <c:pt idx="48">
                  <c:v>37.5</c:v>
                </c:pt>
                <c:pt idx="49">
                  <c:v>33.3333333333334</c:v>
                </c:pt>
                <c:pt idx="50">
                  <c:v>33.335000000000001</c:v>
                </c:pt>
                <c:pt idx="51">
                  <c:v>33.3333333333334</c:v>
                </c:pt>
                <c:pt idx="57">
                  <c:v>100</c:v>
                </c:pt>
                <c:pt idx="58">
                  <c:v>78.75</c:v>
                </c:pt>
                <c:pt idx="60">
                  <c:v>86.760563380281596</c:v>
                </c:pt>
                <c:pt idx="61">
                  <c:v>75</c:v>
                </c:pt>
                <c:pt idx="62">
                  <c:v>131.19999999999999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'Coffee (All)'!$CU$6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(All)'!$CU$7:$CU$107</c:f>
              <c:numCache>
                <c:formatCode>0.0000</c:formatCode>
                <c:ptCount val="71"/>
                <c:pt idx="37">
                  <c:v>74.596363636363606</c:v>
                </c:pt>
                <c:pt idx="38">
                  <c:v>67.202517162471395</c:v>
                </c:pt>
                <c:pt idx="39">
                  <c:v>50.065882352941202</c:v>
                </c:pt>
                <c:pt idx="40">
                  <c:v>47.130158730158804</c:v>
                </c:pt>
                <c:pt idx="41">
                  <c:v>85.714285714285808</c:v>
                </c:pt>
                <c:pt idx="42">
                  <c:v>59.64</c:v>
                </c:pt>
                <c:pt idx="43">
                  <c:v>67.693333333333399</c:v>
                </c:pt>
                <c:pt idx="44">
                  <c:v>77.7746307910176</c:v>
                </c:pt>
                <c:pt idx="45">
                  <c:v>77.763347763347795</c:v>
                </c:pt>
                <c:pt idx="46">
                  <c:v>82.349206349206398</c:v>
                </c:pt>
                <c:pt idx="47">
                  <c:v>62.5</c:v>
                </c:pt>
                <c:pt idx="48">
                  <c:v>37.5008874689386</c:v>
                </c:pt>
                <c:pt idx="49">
                  <c:v>33.345945945945999</c:v>
                </c:pt>
                <c:pt idx="50">
                  <c:v>33.0902527075812</c:v>
                </c:pt>
                <c:pt idx="51">
                  <c:v>33.3333333333334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'Coffee (All)'!$CV$6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(All)'!$CV$7:$CV$107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78"/>
          <c:order val="91"/>
          <c:tx>
            <c:strRef>
              <c:f>'Coffee (All)'!$CW$6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(All)'!$CW$7:$CW$107</c:f>
              <c:numCache>
                <c:formatCode>General</c:formatCode>
                <c:ptCount val="71"/>
                <c:pt idx="37" formatCode="0.0000">
                  <c:v>110.18078566716699</c:v>
                </c:pt>
                <c:pt idx="38" formatCode="0.0000">
                  <c:v>62.733931892810403</c:v>
                </c:pt>
                <c:pt idx="39" formatCode="0.0000">
                  <c:v>83.282773300286408</c:v>
                </c:pt>
                <c:pt idx="40" formatCode="0.0000">
                  <c:v>69.470540058775399</c:v>
                </c:pt>
                <c:pt idx="41" formatCode="0.0000">
                  <c:v>34.725634725634798</c:v>
                </c:pt>
                <c:pt idx="42" formatCode="0.0000">
                  <c:v>79.039999999999992</c:v>
                </c:pt>
                <c:pt idx="43" formatCode="0.0000">
                  <c:v>109.60000000000001</c:v>
                </c:pt>
                <c:pt idx="44" formatCode="0.0000">
                  <c:v>66.6666666666666</c:v>
                </c:pt>
                <c:pt idx="45" formatCode="0.0000">
                  <c:v>37</c:v>
                </c:pt>
                <c:pt idx="46" formatCode="0.0000">
                  <c:v>39.200000000000003</c:v>
                </c:pt>
                <c:pt idx="47" formatCode="0.0000">
                  <c:v>38.134763513513604</c:v>
                </c:pt>
                <c:pt idx="48" formatCode="0.0000">
                  <c:v>70.993955810895599</c:v>
                </c:pt>
                <c:pt idx="49" formatCode="0.0000">
                  <c:v>77.499729731667202</c:v>
                </c:pt>
                <c:pt idx="50" formatCode="0.0000">
                  <c:v>97.363836662723202</c:v>
                </c:pt>
                <c:pt idx="51" formatCode="0.0000">
                  <c:v>113.3186813186814</c:v>
                </c:pt>
              </c:numCache>
            </c:numRef>
          </c:val>
          <c:smooth val="0"/>
        </c:ser>
        <c:ser>
          <c:idx val="180"/>
          <c:order val="92"/>
          <c:tx>
            <c:strRef>
              <c:f>'Coffee (All)'!$CX$6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(All)'!$CX$7:$CX$107</c:f>
              <c:numCache>
                <c:formatCode>General</c:formatCode>
                <c:ptCount val="71"/>
              </c:numCache>
            </c:numRef>
          </c:val>
          <c:smooth val="0"/>
        </c:ser>
        <c:ser>
          <c:idx val="182"/>
          <c:order val="93"/>
          <c:tx>
            <c:strRef>
              <c:f>'Coffee (All)'!$CY$6</c:f>
              <c:strCache>
                <c:ptCount val="1"/>
                <c:pt idx="0">
                  <c:v>Shiraz,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(All)'!$CY$7:$CY$107</c:f>
              <c:numCache>
                <c:formatCode>General</c:formatCode>
                <c:ptCount val="71"/>
              </c:numCache>
            </c:numRef>
          </c:val>
          <c:smooth val="0"/>
        </c:ser>
        <c:ser>
          <c:idx val="0"/>
          <c:order val="94"/>
          <c:tx>
            <c:strRef>
              <c:f>'Coffee (All)'!$CZ$6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(All)'!$CZ$7:$CZ$107</c:f>
              <c:numCache>
                <c:formatCode>General</c:formatCode>
                <c:ptCount val="71"/>
              </c:numCache>
            </c:numRef>
          </c:val>
          <c:smooth val="0"/>
        </c:ser>
        <c:ser>
          <c:idx val="3"/>
          <c:order val="95"/>
          <c:tx>
            <c:strRef>
              <c:f>'Coffee (All)'!$DA$6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(All)'!$DA$7:$DA$107</c:f>
              <c:numCache>
                <c:formatCode>General</c:formatCode>
                <c:ptCount val="71"/>
                <c:pt idx="18" formatCode="_(* #,##0.0000_);_(* \(#,##0.0000\);_(* &quot;-&quot;??_);_(@_)">
                  <c:v>51.384595656223425</c:v>
                </c:pt>
                <c:pt idx="19" formatCode="_(* #,##0.0000_);_(* \(#,##0.0000\);_(* &quot;-&quot;??_);_(@_)">
                  <c:v>52.546117159028327</c:v>
                </c:pt>
                <c:pt idx="20" formatCode="_(* #,##0.0000_);_(* \(#,##0.0000\);_(* &quot;-&quot;??_);_(@_)">
                  <c:v>54.023504432690153</c:v>
                </c:pt>
                <c:pt idx="21" formatCode="_(* #,##0.0000_);_(* \(#,##0.0000\);_(* &quot;-&quot;??_);_(@_)">
                  <c:v>53.634126550416482</c:v>
                </c:pt>
                <c:pt idx="22" formatCode="_(* #,##0.0000_);_(* \(#,##0.0000\);_(* &quot;-&quot;??_);_(@_)">
                  <c:v>54.422270232763516</c:v>
                </c:pt>
                <c:pt idx="23" formatCode="_(* #,##0.0000_);_(* \(#,##0.0000\);_(* &quot;-&quot;??_);_(@_)">
                  <c:v>60.987424412123858</c:v>
                </c:pt>
                <c:pt idx="24" formatCode="_(* #,##0.0000_);_(* \(#,##0.0000\);_(* &quot;-&quot;??_);_(@_)">
                  <c:v>81.6870226512535</c:v>
                </c:pt>
                <c:pt idx="25" formatCode="_(* #,##0.0000_);_(* \(#,##0.0000\);_(* &quot;-&quot;??_);_(@_)">
                  <c:v>83.60675543509528</c:v>
                </c:pt>
                <c:pt idx="26" formatCode="_(* #,##0.0000_);_(* \(#,##0.0000\);_(* &quot;-&quot;??_);_(@_)">
                  <c:v>87.46449120345703</c:v>
                </c:pt>
                <c:pt idx="27" formatCode="_(* #,##0.0000_);_(* \(#,##0.0000\);_(* &quot;-&quot;??_);_(@_)">
                  <c:v>89.005582624819993</c:v>
                </c:pt>
                <c:pt idx="28" formatCode="_(* #,##0.0000_);_(* \(#,##0.0000\);_(* &quot;-&quot;??_);_(@_)">
                  <c:v>77.545183075731956</c:v>
                </c:pt>
                <c:pt idx="29" formatCode="_(* #,##0.0000_);_(* \(#,##0.0000\);_(* &quot;-&quot;??_);_(@_)">
                  <c:v>75.95874504116</c:v>
                </c:pt>
                <c:pt idx="30" formatCode="_(* #,##0.0000_);_(* \(#,##0.0000\);_(* &quot;-&quot;??_);_(@_)">
                  <c:v>77.423643560078347</c:v>
                </c:pt>
                <c:pt idx="31" formatCode="_(* #,##0.0000_);_(* \(#,##0.0000\);_(* &quot;-&quot;??_);_(@_)">
                  <c:v>73.20075337126265</c:v>
                </c:pt>
                <c:pt idx="32" formatCode="_(* #,##0.0000_);_(* \(#,##0.0000\);_(* &quot;-&quot;??_);_(@_)">
                  <c:v>70.186699871682862</c:v>
                </c:pt>
                <c:pt idx="33" formatCode="_(* #,##0.0000_);_(* \(#,##0.0000\);_(* &quot;-&quot;??_);_(@_)">
                  <c:v>64.577975351983071</c:v>
                </c:pt>
                <c:pt idx="34" formatCode="_(* #,##0.0000_);_(* \(#,##0.0000\);_(* &quot;-&quot;??_);_(@_)">
                  <c:v>66.915284691278771</c:v>
                </c:pt>
                <c:pt idx="35" formatCode="_(* #,##0.0000_);_(* \(#,##0.0000\);_(* &quot;-&quot;??_);_(@_)">
                  <c:v>59.794629370139617</c:v>
                </c:pt>
                <c:pt idx="36" formatCode="_(* #,##0.0000_);_(* \(#,##0.0000\);_(* &quot;-&quot;??_);_(@_)">
                  <c:v>53.853458185529696</c:v>
                </c:pt>
                <c:pt idx="37" formatCode="_(* #,##0.0000_);_(* \(#,##0.0000\);_(* &quot;-&quot;??_);_(@_)">
                  <c:v>59.143166478858348</c:v>
                </c:pt>
                <c:pt idx="38" formatCode="_(* #,##0.0000_);_(* \(#,##0.0000\);_(* &quot;-&quot;??_);_(@_)">
                  <c:v>78.47642277650661</c:v>
                </c:pt>
                <c:pt idx="39" formatCode="_(* #,##0.0000_);_(* \(#,##0.0000\);_(* &quot;-&quot;??_);_(@_)">
                  <c:v>72.093877679147624</c:v>
                </c:pt>
                <c:pt idx="40" formatCode="_(* #,##0.0000_);_(* \(#,##0.0000\);_(* &quot;-&quot;??_);_(@_)">
                  <c:v>97.085906655268815</c:v>
                </c:pt>
                <c:pt idx="41" formatCode="_(* #,##0.0000_);_(* \(#,##0.0000\);_(* &quot;-&quot;??_);_(@_)">
                  <c:v>91.947529538268057</c:v>
                </c:pt>
                <c:pt idx="42" formatCode="_(* #,##0.0000_);_(* \(#,##0.0000\);_(* &quot;-&quot;??_);_(@_)">
                  <c:v>83.344785078198115</c:v>
                </c:pt>
                <c:pt idx="43" formatCode="_(* #,##0.0000_);_(* \(#,##0.0000\);_(* &quot;-&quot;??_);_(@_)">
                  <c:v>87.082396487881113</c:v>
                </c:pt>
                <c:pt idx="44" formatCode="_(* #,##0.0000_);_(* \(#,##0.0000\);_(* &quot;-&quot;??_);_(@_)">
                  <c:v>71.821267824411038</c:v>
                </c:pt>
                <c:pt idx="45" formatCode="_(* #,##0.0000_);_(* \(#,##0.0000\);_(* &quot;-&quot;??_);_(@_)">
                  <c:v>75.4692321377876</c:v>
                </c:pt>
                <c:pt idx="46" formatCode="_(* #,##0.0000_);_(* \(#,##0.0000\);_(* &quot;-&quot;??_);_(@_)">
                  <c:v>86.797241738323549</c:v>
                </c:pt>
                <c:pt idx="47" formatCode="_(* #,##0.0000_);_(* \(#,##0.0000\);_(* &quot;-&quot;??_);_(@_)">
                  <c:v>92.393338041750297</c:v>
                </c:pt>
                <c:pt idx="48" formatCode="_(* #,##0.0000_);_(* \(#,##0.0000\);_(* &quot;-&quot;??_);_(@_)">
                  <c:v>81.922141016567622</c:v>
                </c:pt>
                <c:pt idx="49" formatCode="_(* #,##0.0000_);_(* \(#,##0.0000\);_(* &quot;-&quot;??_);_(@_)">
                  <c:v>86.393118464318519</c:v>
                </c:pt>
                <c:pt idx="50" formatCode="_(* #,##0.0000_);_(* \(#,##0.0000\);_(* &quot;-&quot;??_);_(@_)">
                  <c:v>70.360650144124989</c:v>
                </c:pt>
                <c:pt idx="51" formatCode="_(* #,##0.0000_);_(* \(#,##0.0000\);_(* &quot;-&quot;??_);_(@_)">
                  <c:v>66.466231926989707</c:v>
                </c:pt>
                <c:pt idx="52" formatCode="_(* #,##0.0000_);_(* \(#,##0.0000\);_(* &quot;-&quot;??_);_(@_)">
                  <c:v>65.360215180244822</c:v>
                </c:pt>
                <c:pt idx="53" formatCode="_(* #,##0.0000_);_(* \(#,##0.0000\);_(* &quot;-&quot;??_);_(@_)">
                  <c:v>65.449965634462131</c:v>
                </c:pt>
                <c:pt idx="54" formatCode="_(* #,##0.0000_);_(* \(#,##0.0000\);_(* &quot;-&quot;??_);_(@_)">
                  <c:v>62.597251883235934</c:v>
                </c:pt>
                <c:pt idx="55" formatCode="_(* #,##0.0000_);_(* \(#,##0.0000\);_(* &quot;-&quot;??_);_(@_)">
                  <c:v>67.18198557851278</c:v>
                </c:pt>
                <c:pt idx="56" formatCode="_(* #,##0.0000_);_(* \(#,##0.0000\);_(* &quot;-&quot;??_);_(@_)">
                  <c:v>65.030956571955286</c:v>
                </c:pt>
                <c:pt idx="57" formatCode="_(* #,##0.0000_);_(* \(#,##0.0000\);_(* &quot;-&quot;??_);_(@_)">
                  <c:v>58.249581312967464</c:v>
                </c:pt>
                <c:pt idx="58" formatCode="_(* #,##0.0000_);_(* \(#,##0.0000\);_(* &quot;-&quot;??_);_(@_)">
                  <c:v>60.844436073601543</c:v>
                </c:pt>
                <c:pt idx="59" formatCode="_(* #,##0.0000_);_(* \(#,##0.0000\);_(* &quot;-&quot;??_);_(@_)">
                  <c:v>61.363278171788807</c:v>
                </c:pt>
                <c:pt idx="60" formatCode="_(* #,##0.0000_);_(* \(#,##0.0000\);_(* &quot;-&quot;??_);_(@_)">
                  <c:v>62.837026370650563</c:v>
                </c:pt>
                <c:pt idx="61" formatCode="_(* #,##0.0000_);_(* \(#,##0.0000\);_(* &quot;-&quot;??_);_(@_)">
                  <c:v>65.215446154072197</c:v>
                </c:pt>
                <c:pt idx="62" formatCode="_(* #,##0.0000_);_(* \(#,##0.0000\);_(* &quot;-&quot;??_);_(@_)">
                  <c:v>74.450919800070508</c:v>
                </c:pt>
                <c:pt idx="63" formatCode="_(* #,##0.0000_);_(* \(#,##0.0000\);_(* &quot;-&quot;??_);_(@_)">
                  <c:v>78.171459820659379</c:v>
                </c:pt>
                <c:pt idx="64" formatCode="_(* #,##0.0000_);_(* \(#,##0.0000\);_(* &quot;-&quot;??_);_(@_)">
                  <c:v>78.830473258945744</c:v>
                </c:pt>
                <c:pt idx="65" formatCode="_(* #,##0.0000_);_(* \(#,##0.0000\);_(* &quot;-&quot;??_);_(@_)">
                  <c:v>75.932353974255676</c:v>
                </c:pt>
                <c:pt idx="66" formatCode="_(* #,##0.0000_);_(* \(#,##0.0000\);_(* &quot;-&quot;??_);_(@_)">
                  <c:v>74.47774287573931</c:v>
                </c:pt>
                <c:pt idx="67" formatCode="_(* #,##0.0000_);_(* \(#,##0.0000\);_(* &quot;-&quot;??_);_(@_)">
                  <c:v>72.595682711123914</c:v>
                </c:pt>
                <c:pt idx="68" formatCode="_(* #,##0.0000_);_(* \(#,##0.0000\);_(* &quot;-&quot;??_);_(@_)">
                  <c:v>67.716854346291925</c:v>
                </c:pt>
                <c:pt idx="69" formatCode="_(* #,##0.0000_);_(* \(#,##0.0000\);_(* &quot;-&quot;??_);_(@_)">
                  <c:v>72.845806026434289</c:v>
                </c:pt>
                <c:pt idx="70" formatCode="_(* #,##0.0000_);_(* \(#,##0.0000\);_(* &quot;-&quot;??_);_(@_)">
                  <c:v>125.76597532295523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'Coffee (All)'!$DB$6</c:f>
              <c:strCache>
                <c:ptCount val="1"/>
                <c:pt idx="0">
                  <c:v>India,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(All)'!$DB$7:$DB$107</c:f>
              <c:numCache>
                <c:formatCode>General</c:formatCode>
                <c:ptCount val="71"/>
              </c:numCache>
            </c:numRef>
          </c:val>
          <c:smooth val="0"/>
        </c:ser>
        <c:ser>
          <c:idx val="8"/>
          <c:order val="97"/>
          <c:tx>
            <c:strRef>
              <c:f>'Coffee (All)'!$AF$6</c:f>
              <c:strCache>
                <c:ptCount val="1"/>
                <c:pt idx="0">
                  <c:v>Istanbul (Nallrihan),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'Coffee (All)'!$AF$7:$AF$107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0"/>
          <c:order val="98"/>
          <c:tx>
            <c:strRef>
              <c:f>'Coffee (All)'!$AG$6</c:f>
              <c:strCache>
                <c:ptCount val="1"/>
                <c:pt idx="0">
                  <c:v>Istanbul (Nallrihan),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'Coffee (All)'!$AG$7:$AG$107</c:f>
              <c:numCache>
                <c:formatCode>0.0000</c:formatCode>
                <c:ptCount val="71"/>
              </c:numCache>
            </c:numRef>
          </c:val>
          <c:smooth val="0"/>
        </c:ser>
        <c:ser>
          <c:idx val="12"/>
          <c:order val="99"/>
          <c:tx>
            <c:strRef>
              <c:f>'Coffee (All)'!$AH$6</c:f>
              <c:strCache>
                <c:ptCount val="1"/>
                <c:pt idx="0">
                  <c:v>Istanbul (Nallrihan),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'Coffee (All)'!$AH$7:$AH$107</c:f>
              <c:numCache>
                <c:formatCode>0.0000</c:formatCode>
                <c:ptCount val="7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76688"/>
        <c:axId val="227577248"/>
      </c:lineChart>
      <c:catAx>
        <c:axId val="2275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77248"/>
        <c:crosses val="autoZero"/>
        <c:auto val="1"/>
        <c:lblAlgn val="ctr"/>
        <c:lblOffset val="100"/>
        <c:noMultiLvlLbl val="0"/>
      </c:catAx>
      <c:valAx>
        <c:axId val="227577248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766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2450218554367336"/>
          <c:h val="0.84973665489717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Coffee, </a:t>
            </a:r>
            <a:r>
              <a:rPr lang="en-US" sz="1400" b="1" i="0" u="none" strike="noStrike" baseline="0">
                <a:effectLst/>
              </a:rPr>
              <a:t>UK &amp; Ottomon Empire</a:t>
            </a: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, in pound/ton </a:t>
            </a:r>
          </a:p>
        </c:rich>
      </c:tx>
      <c:layout>
        <c:manualLayout>
          <c:xMode val="edge"/>
          <c:yMode val="edge"/>
          <c:x val="0.26329524522802261"/>
          <c:y val="1.76232758139275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'Coffee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'Coffee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(Adjusted)'!$D$7:$D$107</c:f>
              <c:numCache>
                <c:formatCode>0.0000</c:formatCode>
                <c:ptCount val="71"/>
                <c:pt idx="4">
                  <c:v>52.516260566372509</c:v>
                </c:pt>
                <c:pt idx="5">
                  <c:v>58.025104732833945</c:v>
                </c:pt>
                <c:pt idx="6">
                  <c:v>57.796774215519015</c:v>
                </c:pt>
                <c:pt idx="7">
                  <c:v>66.265081218624687</c:v>
                </c:pt>
                <c:pt idx="8">
                  <c:v>61.15130901182053</c:v>
                </c:pt>
                <c:pt idx="9">
                  <c:v>66.428757278682724</c:v>
                </c:pt>
                <c:pt idx="10">
                  <c:v>70.645904034732084</c:v>
                </c:pt>
                <c:pt idx="11">
                  <c:v>69.940965631357798</c:v>
                </c:pt>
                <c:pt idx="12">
                  <c:v>77.464470456238615</c:v>
                </c:pt>
                <c:pt idx="13">
                  <c:v>79.410431566427761</c:v>
                </c:pt>
                <c:pt idx="14">
                  <c:v>73.163651884920043</c:v>
                </c:pt>
                <c:pt idx="15">
                  <c:v>72.873967143704533</c:v>
                </c:pt>
                <c:pt idx="16">
                  <c:v>72.377079709742219</c:v>
                </c:pt>
                <c:pt idx="17">
                  <c:v>69.667084389115345</c:v>
                </c:pt>
                <c:pt idx="18">
                  <c:v>62.032026229964941</c:v>
                </c:pt>
                <c:pt idx="19">
                  <c:v>63.660047892887732</c:v>
                </c:pt>
                <c:pt idx="20">
                  <c:v>60.883602838875923</c:v>
                </c:pt>
                <c:pt idx="21">
                  <c:v>60.749889069664249</c:v>
                </c:pt>
                <c:pt idx="22">
                  <c:v>65.034142870655202</c:v>
                </c:pt>
                <c:pt idx="23">
                  <c:v>84.422102319970818</c:v>
                </c:pt>
                <c:pt idx="24">
                  <c:v>96.939461966467363</c:v>
                </c:pt>
                <c:pt idx="25">
                  <c:v>94.221898772325488</c:v>
                </c:pt>
                <c:pt idx="26">
                  <c:v>94.574016074618626</c:v>
                </c:pt>
                <c:pt idx="27">
                  <c:v>95.008361346918974</c:v>
                </c:pt>
                <c:pt idx="28">
                  <c:v>92.3074372266084</c:v>
                </c:pt>
                <c:pt idx="29">
                  <c:v>90.228570278899383</c:v>
                </c:pt>
                <c:pt idx="30">
                  <c:v>88.438630511598802</c:v>
                </c:pt>
                <c:pt idx="31">
                  <c:v>84.514945270911838</c:v>
                </c:pt>
                <c:pt idx="32">
                  <c:v>78.149137893713572</c:v>
                </c:pt>
                <c:pt idx="33">
                  <c:v>69.761657883608208</c:v>
                </c:pt>
                <c:pt idx="34">
                  <c:v>66.855374909251836</c:v>
                </c:pt>
                <c:pt idx="35">
                  <c:v>64.605930406610213</c:v>
                </c:pt>
                <c:pt idx="36">
                  <c:v>66.85539379872354</c:v>
                </c:pt>
                <c:pt idx="37">
                  <c:v>77.156030468214141</c:v>
                </c:pt>
                <c:pt idx="38">
                  <c:v>75.043445623055874</c:v>
                </c:pt>
                <c:pt idx="39">
                  <c:v>86.582511236938885</c:v>
                </c:pt>
                <c:pt idx="40">
                  <c:v>86.329428013668121</c:v>
                </c:pt>
                <c:pt idx="41">
                  <c:v>92.152924934510281</c:v>
                </c:pt>
                <c:pt idx="42">
                  <c:v>90.463671190790649</c:v>
                </c:pt>
                <c:pt idx="43">
                  <c:v>92.956811033636271</c:v>
                </c:pt>
                <c:pt idx="44">
                  <c:v>93.897458936783806</c:v>
                </c:pt>
                <c:pt idx="45">
                  <c:v>93.244922276493753</c:v>
                </c:pt>
                <c:pt idx="46">
                  <c:v>90.488482045873511</c:v>
                </c:pt>
                <c:pt idx="47">
                  <c:v>85.634363907881976</c:v>
                </c:pt>
                <c:pt idx="48">
                  <c:v>76.31619062614061</c:v>
                </c:pt>
                <c:pt idx="49">
                  <c:v>66.869718709857835</c:v>
                </c:pt>
                <c:pt idx="50">
                  <c:v>66.645507169399053</c:v>
                </c:pt>
                <c:pt idx="51">
                  <c:v>57.62536210464085</c:v>
                </c:pt>
                <c:pt idx="52">
                  <c:v>57.451463142045966</c:v>
                </c:pt>
                <c:pt idx="53">
                  <c:v>49.842109623565975</c:v>
                </c:pt>
                <c:pt idx="54">
                  <c:v>51.87104793817219</c:v>
                </c:pt>
                <c:pt idx="55">
                  <c:v>50.245350525442475</c:v>
                </c:pt>
                <c:pt idx="56">
                  <c:v>51.321510222839493</c:v>
                </c:pt>
                <c:pt idx="57">
                  <c:v>50.072924166289361</c:v>
                </c:pt>
                <c:pt idx="58">
                  <c:v>53.385491058981984</c:v>
                </c:pt>
                <c:pt idx="59">
                  <c:v>50.398628566721804</c:v>
                </c:pt>
                <c:pt idx="60">
                  <c:v>49.397338019495002</c:v>
                </c:pt>
                <c:pt idx="61">
                  <c:v>59.308819697300493</c:v>
                </c:pt>
                <c:pt idx="62">
                  <c:v>74.341069929640426</c:v>
                </c:pt>
                <c:pt idx="63">
                  <c:v>71.604003792412072</c:v>
                </c:pt>
                <c:pt idx="64">
                  <c:v>65.544573079248494</c:v>
                </c:pt>
                <c:pt idx="65">
                  <c:v>62.718098350951912</c:v>
                </c:pt>
                <c:pt idx="66">
                  <c:v>62.854779027751064</c:v>
                </c:pt>
                <c:pt idx="67">
                  <c:v>70.262453322060168</c:v>
                </c:pt>
                <c:pt idx="68">
                  <c:v>83.783837513667535</c:v>
                </c:pt>
                <c:pt idx="69">
                  <c:v>124.17743444950273</c:v>
                </c:pt>
                <c:pt idx="70">
                  <c:v>115.36719495201469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'Coffee (Adjusted)'!$E$6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(Adjusted)'!$E$7:$E$107</c:f>
              <c:numCache>
                <c:formatCode>0.0000</c:formatCode>
                <c:ptCount val="71"/>
                <c:pt idx="17">
                  <c:v>55.232900033716604</c:v>
                </c:pt>
                <c:pt idx="18">
                  <c:v>54.007907078033661</c:v>
                </c:pt>
                <c:pt idx="19">
                  <c:v>55.115785403696641</c:v>
                </c:pt>
                <c:pt idx="25">
                  <c:v>50.643946952089564</c:v>
                </c:pt>
                <c:pt idx="27">
                  <c:v>46.125479996996738</c:v>
                </c:pt>
                <c:pt idx="28">
                  <c:v>51.973827699018628</c:v>
                </c:pt>
                <c:pt idx="37">
                  <c:v>73.894736842105317</c:v>
                </c:pt>
                <c:pt idx="38">
                  <c:v>89.998820058997026</c:v>
                </c:pt>
                <c:pt idx="39">
                  <c:v>97.674418604651166</c:v>
                </c:pt>
                <c:pt idx="40">
                  <c:v>99.999999999999915</c:v>
                </c:pt>
                <c:pt idx="41">
                  <c:v>110.00000000000009</c:v>
                </c:pt>
                <c:pt idx="42">
                  <c:v>120.00000000000007</c:v>
                </c:pt>
                <c:pt idx="47">
                  <c:v>79.999999999999972</c:v>
                </c:pt>
                <c:pt idx="48">
                  <c:v>46.984126984126981</c:v>
                </c:pt>
                <c:pt idx="49">
                  <c:v>53.333333333333314</c:v>
                </c:pt>
                <c:pt idx="50">
                  <c:v>53.333333333333314</c:v>
                </c:pt>
                <c:pt idx="51">
                  <c:v>43.333333333333343</c:v>
                </c:pt>
                <c:pt idx="52">
                  <c:v>40.016006402561054</c:v>
                </c:pt>
                <c:pt idx="53">
                  <c:v>43.335412767727135</c:v>
                </c:pt>
                <c:pt idx="54">
                  <c:v>53.333333333333314</c:v>
                </c:pt>
                <c:pt idx="55">
                  <c:v>60.000000000000036</c:v>
                </c:pt>
                <c:pt idx="56">
                  <c:v>46.666666666666593</c:v>
                </c:pt>
                <c:pt idx="57">
                  <c:v>43.332061554114141</c:v>
                </c:pt>
                <c:pt idx="58">
                  <c:v>43.334280743435357</c:v>
                </c:pt>
                <c:pt idx="59">
                  <c:v>49.77372262773725</c:v>
                </c:pt>
                <c:pt idx="60">
                  <c:v>57.449718423169855</c:v>
                </c:pt>
                <c:pt idx="61">
                  <c:v>79.101648925067778</c:v>
                </c:pt>
                <c:pt idx="62">
                  <c:v>86.558940069341148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'Coffee (Adjusted)'!$F$6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'Coffee (Adjusted)'!$H$6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(Adjusted)'!$H$7:$H$107</c:f>
              <c:numCache>
                <c:formatCode>0.0000</c:formatCode>
                <c:ptCount val="71"/>
                <c:pt idx="37">
                  <c:v>46.614510197258525</c:v>
                </c:pt>
                <c:pt idx="38">
                  <c:v>48.204463176095516</c:v>
                </c:pt>
                <c:pt idx="39">
                  <c:v>47.010515773660543</c:v>
                </c:pt>
                <c:pt idx="40">
                  <c:v>47.636992885983425</c:v>
                </c:pt>
                <c:pt idx="41">
                  <c:v>49.042122005027871</c:v>
                </c:pt>
                <c:pt idx="42">
                  <c:v>93.3333333333334</c:v>
                </c:pt>
                <c:pt idx="43">
                  <c:v>93.3333333333334</c:v>
                </c:pt>
                <c:pt idx="44">
                  <c:v>79.999999999999972</c:v>
                </c:pt>
                <c:pt idx="45">
                  <c:v>79.999999999999972</c:v>
                </c:pt>
                <c:pt idx="46">
                  <c:v>79.999999999999972</c:v>
                </c:pt>
                <c:pt idx="47">
                  <c:v>79.999999999999972</c:v>
                </c:pt>
                <c:pt idx="48">
                  <c:v>79.999999999999972</c:v>
                </c:pt>
                <c:pt idx="49">
                  <c:v>79.999999999999972</c:v>
                </c:pt>
                <c:pt idx="50">
                  <c:v>53.273942093541123</c:v>
                </c:pt>
                <c:pt idx="51">
                  <c:v>79.108932947204394</c:v>
                </c:pt>
                <c:pt idx="52">
                  <c:v>53.333333333333314</c:v>
                </c:pt>
                <c:pt idx="53">
                  <c:v>40.000000000000099</c:v>
                </c:pt>
                <c:pt idx="54">
                  <c:v>43.333545121460382</c:v>
                </c:pt>
                <c:pt idx="55">
                  <c:v>43.333126563695366</c:v>
                </c:pt>
                <c:pt idx="56">
                  <c:v>45.33349166765619</c:v>
                </c:pt>
                <c:pt idx="57">
                  <c:v>46.666203156504288</c:v>
                </c:pt>
                <c:pt idx="58">
                  <c:v>40.000000000000099</c:v>
                </c:pt>
                <c:pt idx="59">
                  <c:v>41.333024047011428</c:v>
                </c:pt>
                <c:pt idx="60">
                  <c:v>42.000152975370916</c:v>
                </c:pt>
                <c:pt idx="61">
                  <c:v>53.333333333333314</c:v>
                </c:pt>
                <c:pt idx="62">
                  <c:v>53.333333333333314</c:v>
                </c:pt>
                <c:pt idx="63">
                  <c:v>53.333333333333314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'Coffee (Adjusted)'!$J$6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(Adjusted)'!$J$7:$J$107</c:f>
              <c:numCache>
                <c:formatCode>0.0000</c:formatCode>
                <c:ptCount val="71"/>
                <c:pt idx="34">
                  <c:v>81.454545454545524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'Coffee (Adjusted)'!$K$6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(Adjusted)'!$K$7:$K$107</c:f>
              <c:numCache>
                <c:formatCode>0.0000</c:formatCode>
                <c:ptCount val="71"/>
                <c:pt idx="35">
                  <c:v>51.067952226922117</c:v>
                </c:pt>
                <c:pt idx="36">
                  <c:v>50.977279243119263</c:v>
                </c:pt>
                <c:pt idx="37">
                  <c:v>66.735632183908052</c:v>
                </c:pt>
                <c:pt idx="38">
                  <c:v>78.117227543360087</c:v>
                </c:pt>
                <c:pt idx="39">
                  <c:v>80.724648107600871</c:v>
                </c:pt>
                <c:pt idx="40">
                  <c:v>84.325238095238092</c:v>
                </c:pt>
                <c:pt idx="41">
                  <c:v>85.736484553775739</c:v>
                </c:pt>
                <c:pt idx="42">
                  <c:v>85.492880258899675</c:v>
                </c:pt>
                <c:pt idx="43">
                  <c:v>88.496626040428055</c:v>
                </c:pt>
                <c:pt idx="44">
                  <c:v>80.191283607979173</c:v>
                </c:pt>
                <c:pt idx="45">
                  <c:v>76.71032763532763</c:v>
                </c:pt>
                <c:pt idx="46">
                  <c:v>72.384150131484574</c:v>
                </c:pt>
                <c:pt idx="47">
                  <c:v>62.913312693498447</c:v>
                </c:pt>
                <c:pt idx="48">
                  <c:v>40.641999999999996</c:v>
                </c:pt>
                <c:pt idx="49">
                  <c:v>37.890197916666665</c:v>
                </c:pt>
                <c:pt idx="50">
                  <c:v>44.46989916326968</c:v>
                </c:pt>
                <c:pt idx="51">
                  <c:v>40.424170274170272</c:v>
                </c:pt>
                <c:pt idx="52">
                  <c:v>36.659122420040958</c:v>
                </c:pt>
                <c:pt idx="53">
                  <c:v>34.287019712662875</c:v>
                </c:pt>
                <c:pt idx="54">
                  <c:v>37.131977245302537</c:v>
                </c:pt>
                <c:pt idx="55">
                  <c:v>39.208103638368243</c:v>
                </c:pt>
                <c:pt idx="56">
                  <c:v>40.65660716425063</c:v>
                </c:pt>
                <c:pt idx="57">
                  <c:v>39.188149565729425</c:v>
                </c:pt>
                <c:pt idx="58">
                  <c:v>36.544750834028356</c:v>
                </c:pt>
                <c:pt idx="59">
                  <c:v>37.972156453110493</c:v>
                </c:pt>
                <c:pt idx="60">
                  <c:v>45.794680361796715</c:v>
                </c:pt>
                <c:pt idx="61">
                  <c:v>60.924552466889821</c:v>
                </c:pt>
                <c:pt idx="62">
                  <c:v>68.872711390635914</c:v>
                </c:pt>
                <c:pt idx="63">
                  <c:v>60.427646316453696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'Coffee (Adjusted)'!$L$6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(Adjusted)'!$L$7:$L$107</c:f>
              <c:numCache>
                <c:formatCode>0.0000</c:formatCode>
                <c:ptCount val="71"/>
                <c:pt idx="24">
                  <c:v>118.57289056710317</c:v>
                </c:pt>
                <c:pt idx="25">
                  <c:v>118.79380889302416</c:v>
                </c:pt>
                <c:pt idx="26">
                  <c:v>132.62064830458661</c:v>
                </c:pt>
                <c:pt idx="27">
                  <c:v>111.65427405678672</c:v>
                </c:pt>
                <c:pt idx="29">
                  <c:v>77.433908632224032</c:v>
                </c:pt>
                <c:pt idx="30">
                  <c:v>78.755821142100487</c:v>
                </c:pt>
                <c:pt idx="31">
                  <c:v>67.337690939342423</c:v>
                </c:pt>
                <c:pt idx="32">
                  <c:v>66.322351725940123</c:v>
                </c:pt>
                <c:pt idx="33">
                  <c:v>66.927161137370021</c:v>
                </c:pt>
                <c:pt idx="34">
                  <c:v>65.104138302508701</c:v>
                </c:pt>
                <c:pt idx="35">
                  <c:v>56</c:v>
                </c:pt>
                <c:pt idx="36">
                  <c:v>64.000000000000057</c:v>
                </c:pt>
                <c:pt idx="37">
                  <c:v>73.68421052631588</c:v>
                </c:pt>
                <c:pt idx="38">
                  <c:v>66.926829268292678</c:v>
                </c:pt>
                <c:pt idx="39">
                  <c:v>70</c:v>
                </c:pt>
                <c:pt idx="40">
                  <c:v>87.630208333333357</c:v>
                </c:pt>
                <c:pt idx="41">
                  <c:v>90.625000000000028</c:v>
                </c:pt>
                <c:pt idx="42">
                  <c:v>81.000000000000043</c:v>
                </c:pt>
                <c:pt idx="43">
                  <c:v>106.43564356435651</c:v>
                </c:pt>
                <c:pt idx="44">
                  <c:v>102.73076923076911</c:v>
                </c:pt>
                <c:pt idx="45">
                  <c:v>84.302325581395266</c:v>
                </c:pt>
                <c:pt idx="46">
                  <c:v>87.5</c:v>
                </c:pt>
                <c:pt idx="47">
                  <c:v>62.927007299270009</c:v>
                </c:pt>
                <c:pt idx="48">
                  <c:v>40.000000000000099</c:v>
                </c:pt>
                <c:pt idx="49">
                  <c:v>32.000000000000028</c:v>
                </c:pt>
                <c:pt idx="50">
                  <c:v>50.133333333333375</c:v>
                </c:pt>
                <c:pt idx="51">
                  <c:v>47.416020671834531</c:v>
                </c:pt>
                <c:pt idx="52">
                  <c:v>38.065843621399104</c:v>
                </c:pt>
                <c:pt idx="53">
                  <c:v>37.041884816753821</c:v>
                </c:pt>
                <c:pt idx="54">
                  <c:v>42.348484848484858</c:v>
                </c:pt>
                <c:pt idx="55">
                  <c:v>44.602272727272734</c:v>
                </c:pt>
                <c:pt idx="56">
                  <c:v>43.037974683544284</c:v>
                </c:pt>
                <c:pt idx="57">
                  <c:v>52.570224719101155</c:v>
                </c:pt>
                <c:pt idx="58">
                  <c:v>45.693240901213251</c:v>
                </c:pt>
                <c:pt idx="59">
                  <c:v>47.435114503816699</c:v>
                </c:pt>
                <c:pt idx="60">
                  <c:v>54.499999999999908</c:v>
                </c:pt>
                <c:pt idx="61">
                  <c:v>60.508397932816514</c:v>
                </c:pt>
                <c:pt idx="62">
                  <c:v>84.642857142857224</c:v>
                </c:pt>
                <c:pt idx="63">
                  <c:v>52.399999999999906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'Coffee (Adjusted)'!$N$6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(Adjusted)'!$N$7:$N$107</c:f>
              <c:numCache>
                <c:formatCode>0.0000</c:formatCode>
                <c:ptCount val="71"/>
                <c:pt idx="32">
                  <c:v>65.454545454545453</c:v>
                </c:pt>
                <c:pt idx="34">
                  <c:v>75.719298245614041</c:v>
                </c:pt>
                <c:pt idx="35">
                  <c:v>79.514767932489434</c:v>
                </c:pt>
                <c:pt idx="36">
                  <c:v>97.013429544998999</c:v>
                </c:pt>
                <c:pt idx="37">
                  <c:v>233.62122495060686</c:v>
                </c:pt>
                <c:pt idx="38">
                  <c:v>216.16464704750913</c:v>
                </c:pt>
                <c:pt idx="39">
                  <c:v>40.928859894377133</c:v>
                </c:pt>
                <c:pt idx="40">
                  <c:v>115.14285714285714</c:v>
                </c:pt>
                <c:pt idx="41">
                  <c:v>115.10857142857142</c:v>
                </c:pt>
                <c:pt idx="42">
                  <c:v>115.19999999999999</c:v>
                </c:pt>
                <c:pt idx="43">
                  <c:v>106.66666666666666</c:v>
                </c:pt>
                <c:pt idx="44">
                  <c:v>101.58730158730158</c:v>
                </c:pt>
                <c:pt idx="48">
                  <c:v>16.074418604651164</c:v>
                </c:pt>
                <c:pt idx="51">
                  <c:v>47.41379310344827</c:v>
                </c:pt>
                <c:pt idx="52">
                  <c:v>47.770700636942678</c:v>
                </c:pt>
                <c:pt idx="53">
                  <c:v>48.421052631578945</c:v>
                </c:pt>
                <c:pt idx="54">
                  <c:v>61.871345029239762</c:v>
                </c:pt>
                <c:pt idx="58">
                  <c:v>55.555555555555557</c:v>
                </c:pt>
                <c:pt idx="59">
                  <c:v>87.5</c:v>
                </c:pt>
                <c:pt idx="60">
                  <c:v>74</c:v>
                </c:pt>
                <c:pt idx="61">
                  <c:v>80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'Coffee (Adjusted)'!$O$6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(Adjusted)'!$O$7:$O$107</c:f>
              <c:numCache>
                <c:formatCode>0.0000</c:formatCode>
                <c:ptCount val="71"/>
                <c:pt idx="26">
                  <c:v>101.81818181818183</c:v>
                </c:pt>
                <c:pt idx="28">
                  <c:v>80.181818181818187</c:v>
                </c:pt>
                <c:pt idx="29">
                  <c:v>111.86424242424242</c:v>
                </c:pt>
                <c:pt idx="30">
                  <c:v>64.838661710037172</c:v>
                </c:pt>
                <c:pt idx="31">
                  <c:v>61.090909090909086</c:v>
                </c:pt>
                <c:pt idx="32">
                  <c:v>61.090909090909086</c:v>
                </c:pt>
                <c:pt idx="33">
                  <c:v>71.176973496722709</c:v>
                </c:pt>
                <c:pt idx="43">
                  <c:v>63.333333333333329</c:v>
                </c:pt>
                <c:pt idx="45">
                  <c:v>52.168242582328006</c:v>
                </c:pt>
                <c:pt idx="46">
                  <c:v>50.7134</c:v>
                </c:pt>
                <c:pt idx="48">
                  <c:v>29.126766666666665</c:v>
                </c:pt>
                <c:pt idx="49">
                  <c:v>36.984220000000001</c:v>
                </c:pt>
                <c:pt idx="50">
                  <c:v>38.945454545454545</c:v>
                </c:pt>
                <c:pt idx="51">
                  <c:v>41.575757575757578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'Coffee (Adjusted)'!$P$6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(Adjusted)'!$P$7:$P$107</c:f>
              <c:numCache>
                <c:formatCode>0.0000</c:formatCode>
                <c:ptCount val="71"/>
                <c:pt idx="35">
                  <c:v>60.486048604860478</c:v>
                </c:pt>
                <c:pt idx="37">
                  <c:v>108.11881188118819</c:v>
                </c:pt>
                <c:pt idx="47">
                  <c:v>48.47</c:v>
                </c:pt>
                <c:pt idx="57">
                  <c:v>38.596491228070178</c:v>
                </c:pt>
                <c:pt idx="60">
                  <c:v>48.905630696993597</c:v>
                </c:pt>
                <c:pt idx="61">
                  <c:v>68.285912560721727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'Coffee (Adjusted)'!$Q$6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(Adjusted)'!$Q$7:$Q$107</c:f>
              <c:numCache>
                <c:formatCode>0.0000</c:formatCode>
                <c:ptCount val="71"/>
                <c:pt idx="60">
                  <c:v>43.022820800598581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'Coffee (Adjusted)'!$R$6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(Adjusted)'!$R$7:$R$107</c:f>
              <c:numCache>
                <c:formatCode>0.0000</c:formatCode>
                <c:ptCount val="71"/>
                <c:pt idx="15">
                  <c:v>93.333333333333343</c:v>
                </c:pt>
                <c:pt idx="16">
                  <c:v>93.333333333333343</c:v>
                </c:pt>
                <c:pt idx="17">
                  <c:v>93.333333333333343</c:v>
                </c:pt>
                <c:pt idx="18">
                  <c:v>93.333333333333343</c:v>
                </c:pt>
                <c:pt idx="19">
                  <c:v>93.333333333333343</c:v>
                </c:pt>
                <c:pt idx="20">
                  <c:v>80</c:v>
                </c:pt>
                <c:pt idx="21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60</c:v>
                </c:pt>
                <c:pt idx="31">
                  <c:v>50.028490028490033</c:v>
                </c:pt>
                <c:pt idx="32">
                  <c:v>60</c:v>
                </c:pt>
                <c:pt idx="33">
                  <c:v>99.934853420195452</c:v>
                </c:pt>
                <c:pt idx="34">
                  <c:v>79.980449657869016</c:v>
                </c:pt>
                <c:pt idx="35">
                  <c:v>83.994413407821241</c:v>
                </c:pt>
                <c:pt idx="36">
                  <c:v>83.989361702127653</c:v>
                </c:pt>
                <c:pt idx="37">
                  <c:v>84.005102040816325</c:v>
                </c:pt>
                <c:pt idx="38">
                  <c:v>80.017746228926342</c:v>
                </c:pt>
                <c:pt idx="39">
                  <c:v>91.989528795811509</c:v>
                </c:pt>
                <c:pt idx="40">
                  <c:v>92.16901408450704</c:v>
                </c:pt>
                <c:pt idx="41">
                  <c:v>92.012383900928796</c:v>
                </c:pt>
                <c:pt idx="42">
                  <c:v>80.017714791851205</c:v>
                </c:pt>
                <c:pt idx="43">
                  <c:v>63.989681857265694</c:v>
                </c:pt>
                <c:pt idx="44">
                  <c:v>40</c:v>
                </c:pt>
                <c:pt idx="45">
                  <c:v>36.014388489208635</c:v>
                </c:pt>
                <c:pt idx="46">
                  <c:v>38.337801608579085</c:v>
                </c:pt>
                <c:pt idx="47">
                  <c:v>33.94736842105263</c:v>
                </c:pt>
                <c:pt idx="48">
                  <c:v>34</c:v>
                </c:pt>
                <c:pt idx="49">
                  <c:v>34.006054490413725</c:v>
                </c:pt>
                <c:pt idx="50">
                  <c:v>40</c:v>
                </c:pt>
                <c:pt idx="51">
                  <c:v>39.975155279503106</c:v>
                </c:pt>
                <c:pt idx="52">
                  <c:v>40.015186028853449</c:v>
                </c:pt>
                <c:pt idx="53">
                  <c:v>42.022471910112358</c:v>
                </c:pt>
                <c:pt idx="54">
                  <c:v>34.179301252471987</c:v>
                </c:pt>
                <c:pt idx="55">
                  <c:v>36.346356916578671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'Coffee (Adjusted)'!$S$6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(Adjusted)'!$S$7:$S$107</c:f>
              <c:numCache>
                <c:formatCode>0.0000</c:formatCode>
                <c:ptCount val="71"/>
                <c:pt idx="14">
                  <c:v>78</c:v>
                </c:pt>
                <c:pt idx="15">
                  <c:v>85</c:v>
                </c:pt>
                <c:pt idx="16">
                  <c:v>80</c:v>
                </c:pt>
                <c:pt idx="18">
                  <c:v>70</c:v>
                </c:pt>
                <c:pt idx="19">
                  <c:v>72</c:v>
                </c:pt>
                <c:pt idx="21">
                  <c:v>100</c:v>
                </c:pt>
                <c:pt idx="22">
                  <c:v>100</c:v>
                </c:pt>
                <c:pt idx="24">
                  <c:v>120</c:v>
                </c:pt>
                <c:pt idx="25">
                  <c:v>100</c:v>
                </c:pt>
                <c:pt idx="26">
                  <c:v>90</c:v>
                </c:pt>
                <c:pt idx="27">
                  <c:v>88.948322732242175</c:v>
                </c:pt>
                <c:pt idx="28">
                  <c:v>88.904374999999987</c:v>
                </c:pt>
                <c:pt idx="29">
                  <c:v>136.43277361460957</c:v>
                </c:pt>
                <c:pt idx="30">
                  <c:v>95.254687499999989</c:v>
                </c:pt>
                <c:pt idx="31">
                  <c:v>82.555885244746264</c:v>
                </c:pt>
                <c:pt idx="32">
                  <c:v>47.673615200047102</c:v>
                </c:pt>
                <c:pt idx="33">
                  <c:v>55.565234374999996</c:v>
                </c:pt>
                <c:pt idx="34">
                  <c:v>59.534599134286822</c:v>
                </c:pt>
                <c:pt idx="35">
                  <c:v>47.627343749999994</c:v>
                </c:pt>
                <c:pt idx="36">
                  <c:v>51.029296875</c:v>
                </c:pt>
                <c:pt idx="38">
                  <c:v>50.802430447169833</c:v>
                </c:pt>
                <c:pt idx="39">
                  <c:v>50.802308621767821</c:v>
                </c:pt>
                <c:pt idx="40">
                  <c:v>50.802605648374588</c:v>
                </c:pt>
                <c:pt idx="41">
                  <c:v>50.802500000000002</c:v>
                </c:pt>
                <c:pt idx="42">
                  <c:v>56.7768332497781</c:v>
                </c:pt>
                <c:pt idx="44">
                  <c:v>63.503124999999997</c:v>
                </c:pt>
                <c:pt idx="55">
                  <c:v>46.186999999999998</c:v>
                </c:pt>
                <c:pt idx="56">
                  <c:v>41.07779698691035</c:v>
                </c:pt>
                <c:pt idx="57">
                  <c:v>36.731372549019611</c:v>
                </c:pt>
                <c:pt idx="58">
                  <c:v>38.068405797101448</c:v>
                </c:pt>
                <c:pt idx="60">
                  <c:v>34.465534465534468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'Coffee (Adjusted)'!$T$6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(Adjusted)'!$T$7:$T$107</c:f>
              <c:numCache>
                <c:formatCode>0.0000</c:formatCode>
                <c:ptCount val="71"/>
                <c:pt idx="28">
                  <c:v>106.69456066945607</c:v>
                </c:pt>
                <c:pt idx="29">
                  <c:v>105.8</c:v>
                </c:pt>
                <c:pt idx="30">
                  <c:v>105.81560283687942</c:v>
                </c:pt>
                <c:pt idx="31">
                  <c:v>102.8132911392405</c:v>
                </c:pt>
                <c:pt idx="32">
                  <c:v>100.48034934497818</c:v>
                </c:pt>
                <c:pt idx="33">
                  <c:v>101.10045662100455</c:v>
                </c:pt>
                <c:pt idx="37">
                  <c:v>102.92561983471074</c:v>
                </c:pt>
                <c:pt idx="38">
                  <c:v>102.58590308370044</c:v>
                </c:pt>
                <c:pt idx="39">
                  <c:v>102.02845528455285</c:v>
                </c:pt>
                <c:pt idx="40">
                  <c:v>101.55882352941167</c:v>
                </c:pt>
                <c:pt idx="41">
                  <c:v>100.54999999999991</c:v>
                </c:pt>
                <c:pt idx="42">
                  <c:v>99.999999999999901</c:v>
                </c:pt>
                <c:pt idx="43">
                  <c:v>98.697674418604549</c:v>
                </c:pt>
                <c:pt idx="44">
                  <c:v>99.999999999999915</c:v>
                </c:pt>
                <c:pt idx="45">
                  <c:v>99.91150442477867</c:v>
                </c:pt>
                <c:pt idx="46">
                  <c:v>100.01041666666657</c:v>
                </c:pt>
                <c:pt idx="47">
                  <c:v>100.08695652173904</c:v>
                </c:pt>
                <c:pt idx="48">
                  <c:v>99.893162393162299</c:v>
                </c:pt>
                <c:pt idx="49">
                  <c:v>59.999999999999943</c:v>
                </c:pt>
                <c:pt idx="50">
                  <c:v>54.99999999999995</c:v>
                </c:pt>
                <c:pt idx="51">
                  <c:v>54.990494296577893</c:v>
                </c:pt>
                <c:pt idx="52">
                  <c:v>44.917431192660516</c:v>
                </c:pt>
                <c:pt idx="53">
                  <c:v>45.009242144177406</c:v>
                </c:pt>
                <c:pt idx="54">
                  <c:v>44.999999999999964</c:v>
                </c:pt>
                <c:pt idx="55">
                  <c:v>44.999999999999964</c:v>
                </c:pt>
                <c:pt idx="56">
                  <c:v>44.999999999999957</c:v>
                </c:pt>
                <c:pt idx="57">
                  <c:v>44.947643979057553</c:v>
                </c:pt>
                <c:pt idx="58">
                  <c:v>45.217391304347785</c:v>
                </c:pt>
                <c:pt idx="59">
                  <c:v>49.99999999999995</c:v>
                </c:pt>
                <c:pt idx="60">
                  <c:v>94.999999999999915</c:v>
                </c:pt>
                <c:pt idx="61">
                  <c:v>93.880327868852461</c:v>
                </c:pt>
                <c:pt idx="62">
                  <c:v>93.830000000000013</c:v>
                </c:pt>
                <c:pt idx="63">
                  <c:v>65.148750000000007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87328"/>
        <c:axId val="227587888"/>
      </c:lineChart>
      <c:catAx>
        <c:axId val="2275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87888"/>
        <c:crosses val="autoZero"/>
        <c:auto val="1"/>
        <c:lblAlgn val="ctr"/>
        <c:lblOffset val="100"/>
        <c:noMultiLvlLbl val="0"/>
      </c:catAx>
      <c:valAx>
        <c:axId val="2275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8732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47122307012395"/>
          <c:y val="0.17203257447803916"/>
          <c:w val="0.22110204171136705"/>
          <c:h val="0.68133747254402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Coffee, UK, Black Sea, Mediterranean Sea and Persian Gulf, in pound/ton </a:t>
            </a:r>
          </a:p>
        </c:rich>
      </c:tx>
      <c:layout>
        <c:manualLayout>
          <c:xMode val="edge"/>
          <c:yMode val="edge"/>
          <c:x val="0.17224982963247848"/>
          <c:y val="1.7623363544813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'Coffee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'Coffee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(Adjusted)'!$D$7:$D$107</c:f>
              <c:numCache>
                <c:formatCode>0.0000</c:formatCode>
                <c:ptCount val="71"/>
                <c:pt idx="4">
                  <c:v>52.516260566372509</c:v>
                </c:pt>
                <c:pt idx="5">
                  <c:v>58.025104732833945</c:v>
                </c:pt>
                <c:pt idx="6">
                  <c:v>57.796774215519015</c:v>
                </c:pt>
                <c:pt idx="7">
                  <c:v>66.265081218624687</c:v>
                </c:pt>
                <c:pt idx="8">
                  <c:v>61.15130901182053</c:v>
                </c:pt>
                <c:pt idx="9">
                  <c:v>66.428757278682724</c:v>
                </c:pt>
                <c:pt idx="10">
                  <c:v>70.645904034732084</c:v>
                </c:pt>
                <c:pt idx="11">
                  <c:v>69.940965631357798</c:v>
                </c:pt>
                <c:pt idx="12">
                  <c:v>77.464470456238615</c:v>
                </c:pt>
                <c:pt idx="13">
                  <c:v>79.410431566427761</c:v>
                </c:pt>
                <c:pt idx="14">
                  <c:v>73.163651884920043</c:v>
                </c:pt>
                <c:pt idx="15">
                  <c:v>72.873967143704533</c:v>
                </c:pt>
                <c:pt idx="16">
                  <c:v>72.377079709742219</c:v>
                </c:pt>
                <c:pt idx="17">
                  <c:v>69.667084389115345</c:v>
                </c:pt>
                <c:pt idx="18">
                  <c:v>62.032026229964941</c:v>
                </c:pt>
                <c:pt idx="19">
                  <c:v>63.660047892887732</c:v>
                </c:pt>
                <c:pt idx="20">
                  <c:v>60.883602838875923</c:v>
                </c:pt>
                <c:pt idx="21">
                  <c:v>60.749889069664249</c:v>
                </c:pt>
                <c:pt idx="22">
                  <c:v>65.034142870655202</c:v>
                </c:pt>
                <c:pt idx="23">
                  <c:v>84.422102319970818</c:v>
                </c:pt>
                <c:pt idx="24">
                  <c:v>96.939461966467363</c:v>
                </c:pt>
                <c:pt idx="25">
                  <c:v>94.221898772325488</c:v>
                </c:pt>
                <c:pt idx="26">
                  <c:v>94.574016074618626</c:v>
                </c:pt>
                <c:pt idx="27">
                  <c:v>95.008361346918974</c:v>
                </c:pt>
                <c:pt idx="28">
                  <c:v>92.3074372266084</c:v>
                </c:pt>
                <c:pt idx="29">
                  <c:v>90.228570278899383</c:v>
                </c:pt>
                <c:pt idx="30">
                  <c:v>88.438630511598802</c:v>
                </c:pt>
                <c:pt idx="31">
                  <c:v>84.514945270911838</c:v>
                </c:pt>
                <c:pt idx="32">
                  <c:v>78.149137893713572</c:v>
                </c:pt>
                <c:pt idx="33">
                  <c:v>69.761657883608208</c:v>
                </c:pt>
                <c:pt idx="34">
                  <c:v>66.855374909251836</c:v>
                </c:pt>
                <c:pt idx="35">
                  <c:v>64.605930406610213</c:v>
                </c:pt>
                <c:pt idx="36">
                  <c:v>66.85539379872354</c:v>
                </c:pt>
                <c:pt idx="37">
                  <c:v>77.156030468214141</c:v>
                </c:pt>
                <c:pt idx="38">
                  <c:v>75.043445623055874</c:v>
                </c:pt>
                <c:pt idx="39">
                  <c:v>86.582511236938885</c:v>
                </c:pt>
                <c:pt idx="40">
                  <c:v>86.329428013668121</c:v>
                </c:pt>
                <c:pt idx="41">
                  <c:v>92.152924934510281</c:v>
                </c:pt>
                <c:pt idx="42">
                  <c:v>90.463671190790649</c:v>
                </c:pt>
                <c:pt idx="43">
                  <c:v>92.956811033636271</c:v>
                </c:pt>
                <c:pt idx="44">
                  <c:v>93.897458936783806</c:v>
                </c:pt>
                <c:pt idx="45">
                  <c:v>93.244922276493753</c:v>
                </c:pt>
                <c:pt idx="46">
                  <c:v>90.488482045873511</c:v>
                </c:pt>
                <c:pt idx="47">
                  <c:v>85.634363907881976</c:v>
                </c:pt>
                <c:pt idx="48">
                  <c:v>76.31619062614061</c:v>
                </c:pt>
                <c:pt idx="49">
                  <c:v>66.869718709857835</c:v>
                </c:pt>
                <c:pt idx="50">
                  <c:v>66.645507169399053</c:v>
                </c:pt>
                <c:pt idx="51">
                  <c:v>57.62536210464085</c:v>
                </c:pt>
                <c:pt idx="52">
                  <c:v>57.451463142045966</c:v>
                </c:pt>
                <c:pt idx="53">
                  <c:v>49.842109623565975</c:v>
                </c:pt>
                <c:pt idx="54">
                  <c:v>51.87104793817219</c:v>
                </c:pt>
                <c:pt idx="55">
                  <c:v>50.245350525442475</c:v>
                </c:pt>
                <c:pt idx="56">
                  <c:v>51.321510222839493</c:v>
                </c:pt>
                <c:pt idx="57">
                  <c:v>50.072924166289361</c:v>
                </c:pt>
                <c:pt idx="58">
                  <c:v>53.385491058981984</c:v>
                </c:pt>
                <c:pt idx="59">
                  <c:v>50.398628566721804</c:v>
                </c:pt>
                <c:pt idx="60">
                  <c:v>49.397338019495002</c:v>
                </c:pt>
                <c:pt idx="61">
                  <c:v>59.308819697300493</c:v>
                </c:pt>
                <c:pt idx="62">
                  <c:v>74.341069929640426</c:v>
                </c:pt>
                <c:pt idx="63">
                  <c:v>71.604003792412072</c:v>
                </c:pt>
                <c:pt idx="64">
                  <c:v>65.544573079248494</c:v>
                </c:pt>
                <c:pt idx="65">
                  <c:v>62.718098350951912</c:v>
                </c:pt>
                <c:pt idx="66">
                  <c:v>62.854779027751064</c:v>
                </c:pt>
                <c:pt idx="67">
                  <c:v>70.262453322060168</c:v>
                </c:pt>
                <c:pt idx="68">
                  <c:v>83.783837513667535</c:v>
                </c:pt>
                <c:pt idx="69">
                  <c:v>124.17743444950273</c:v>
                </c:pt>
                <c:pt idx="70">
                  <c:v>115.36719495201469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'Coffee (Adjusted)'!$K$6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(Adjusted)'!$K$7:$K$107</c:f>
              <c:numCache>
                <c:formatCode>0.0000</c:formatCode>
                <c:ptCount val="71"/>
                <c:pt idx="35">
                  <c:v>51.067952226922117</c:v>
                </c:pt>
                <c:pt idx="36">
                  <c:v>50.977279243119263</c:v>
                </c:pt>
                <c:pt idx="37">
                  <c:v>66.735632183908052</c:v>
                </c:pt>
                <c:pt idx="38">
                  <c:v>78.117227543360087</c:v>
                </c:pt>
                <c:pt idx="39">
                  <c:v>80.724648107600871</c:v>
                </c:pt>
                <c:pt idx="40">
                  <c:v>84.325238095238092</c:v>
                </c:pt>
                <c:pt idx="41">
                  <c:v>85.736484553775739</c:v>
                </c:pt>
                <c:pt idx="42">
                  <c:v>85.492880258899675</c:v>
                </c:pt>
                <c:pt idx="43">
                  <c:v>88.496626040428055</c:v>
                </c:pt>
                <c:pt idx="44">
                  <c:v>80.191283607979173</c:v>
                </c:pt>
                <c:pt idx="45">
                  <c:v>76.71032763532763</c:v>
                </c:pt>
                <c:pt idx="46">
                  <c:v>72.384150131484574</c:v>
                </c:pt>
                <c:pt idx="47">
                  <c:v>62.913312693498447</c:v>
                </c:pt>
                <c:pt idx="48">
                  <c:v>40.641999999999996</c:v>
                </c:pt>
                <c:pt idx="49">
                  <c:v>37.890197916666665</c:v>
                </c:pt>
                <c:pt idx="50">
                  <c:v>44.46989916326968</c:v>
                </c:pt>
                <c:pt idx="51">
                  <c:v>40.424170274170272</c:v>
                </c:pt>
                <c:pt idx="52">
                  <c:v>36.659122420040958</c:v>
                </c:pt>
                <c:pt idx="53">
                  <c:v>34.287019712662875</c:v>
                </c:pt>
                <c:pt idx="54">
                  <c:v>37.131977245302537</c:v>
                </c:pt>
                <c:pt idx="55">
                  <c:v>39.208103638368243</c:v>
                </c:pt>
                <c:pt idx="56">
                  <c:v>40.65660716425063</c:v>
                </c:pt>
                <c:pt idx="57">
                  <c:v>39.188149565729425</c:v>
                </c:pt>
                <c:pt idx="58">
                  <c:v>36.544750834028356</c:v>
                </c:pt>
                <c:pt idx="59">
                  <c:v>37.972156453110493</c:v>
                </c:pt>
                <c:pt idx="60">
                  <c:v>45.794680361796715</c:v>
                </c:pt>
                <c:pt idx="61">
                  <c:v>60.924552466889821</c:v>
                </c:pt>
                <c:pt idx="62">
                  <c:v>68.872711390635914</c:v>
                </c:pt>
                <c:pt idx="63">
                  <c:v>60.427646316453696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'Coffee (Adjusted)'!$L$6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(Adjusted)'!$L$7:$L$107</c:f>
              <c:numCache>
                <c:formatCode>0.0000</c:formatCode>
                <c:ptCount val="71"/>
                <c:pt idx="24">
                  <c:v>118.57289056710317</c:v>
                </c:pt>
                <c:pt idx="25">
                  <c:v>118.79380889302416</c:v>
                </c:pt>
                <c:pt idx="26">
                  <c:v>132.62064830458661</c:v>
                </c:pt>
                <c:pt idx="27">
                  <c:v>111.65427405678672</c:v>
                </c:pt>
                <c:pt idx="29">
                  <c:v>77.433908632224032</c:v>
                </c:pt>
                <c:pt idx="30">
                  <c:v>78.755821142100487</c:v>
                </c:pt>
                <c:pt idx="31">
                  <c:v>67.337690939342423</c:v>
                </c:pt>
                <c:pt idx="32">
                  <c:v>66.322351725940123</c:v>
                </c:pt>
                <c:pt idx="33">
                  <c:v>66.927161137370021</c:v>
                </c:pt>
                <c:pt idx="34">
                  <c:v>65.104138302508701</c:v>
                </c:pt>
                <c:pt idx="35">
                  <c:v>56</c:v>
                </c:pt>
                <c:pt idx="36">
                  <c:v>64.000000000000057</c:v>
                </c:pt>
                <c:pt idx="37">
                  <c:v>73.68421052631588</c:v>
                </c:pt>
                <c:pt idx="38">
                  <c:v>66.926829268292678</c:v>
                </c:pt>
                <c:pt idx="39">
                  <c:v>70</c:v>
                </c:pt>
                <c:pt idx="40">
                  <c:v>87.630208333333357</c:v>
                </c:pt>
                <c:pt idx="41">
                  <c:v>90.625000000000028</c:v>
                </c:pt>
                <c:pt idx="42">
                  <c:v>81.000000000000043</c:v>
                </c:pt>
                <c:pt idx="43">
                  <c:v>106.43564356435651</c:v>
                </c:pt>
                <c:pt idx="44">
                  <c:v>102.73076923076911</c:v>
                </c:pt>
                <c:pt idx="45">
                  <c:v>84.302325581395266</c:v>
                </c:pt>
                <c:pt idx="46">
                  <c:v>87.5</c:v>
                </c:pt>
                <c:pt idx="47">
                  <c:v>62.927007299270009</c:v>
                </c:pt>
                <c:pt idx="48">
                  <c:v>40.000000000000099</c:v>
                </c:pt>
                <c:pt idx="49">
                  <c:v>32.000000000000028</c:v>
                </c:pt>
                <c:pt idx="50">
                  <c:v>50.133333333333375</c:v>
                </c:pt>
                <c:pt idx="51">
                  <c:v>47.416020671834531</c:v>
                </c:pt>
                <c:pt idx="52">
                  <c:v>38.065843621399104</c:v>
                </c:pt>
                <c:pt idx="53">
                  <c:v>37.041884816753821</c:v>
                </c:pt>
                <c:pt idx="54">
                  <c:v>42.348484848484858</c:v>
                </c:pt>
                <c:pt idx="55">
                  <c:v>44.602272727272734</c:v>
                </c:pt>
                <c:pt idx="56">
                  <c:v>43.037974683544284</c:v>
                </c:pt>
                <c:pt idx="57">
                  <c:v>52.570224719101155</c:v>
                </c:pt>
                <c:pt idx="58">
                  <c:v>45.693240901213251</c:v>
                </c:pt>
                <c:pt idx="59">
                  <c:v>47.435114503816699</c:v>
                </c:pt>
                <c:pt idx="60">
                  <c:v>54.499999999999908</c:v>
                </c:pt>
                <c:pt idx="61">
                  <c:v>60.508397932816514</c:v>
                </c:pt>
                <c:pt idx="62">
                  <c:v>84.642857142857224</c:v>
                </c:pt>
                <c:pt idx="63">
                  <c:v>52.399999999999906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'Coffee (Adjusted)'!$N$6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(Adjusted)'!$N$7:$N$107</c:f>
              <c:numCache>
                <c:formatCode>0.0000</c:formatCode>
                <c:ptCount val="71"/>
                <c:pt idx="32">
                  <c:v>65.454545454545453</c:v>
                </c:pt>
                <c:pt idx="34">
                  <c:v>75.719298245614041</c:v>
                </c:pt>
                <c:pt idx="35">
                  <c:v>79.514767932489434</c:v>
                </c:pt>
                <c:pt idx="36">
                  <c:v>97.013429544998999</c:v>
                </c:pt>
                <c:pt idx="37">
                  <c:v>233.62122495060686</c:v>
                </c:pt>
                <c:pt idx="38">
                  <c:v>216.16464704750913</c:v>
                </c:pt>
                <c:pt idx="39">
                  <c:v>40.928859894377133</c:v>
                </c:pt>
                <c:pt idx="40">
                  <c:v>115.14285714285714</c:v>
                </c:pt>
                <c:pt idx="41">
                  <c:v>115.10857142857142</c:v>
                </c:pt>
                <c:pt idx="42">
                  <c:v>115.19999999999999</c:v>
                </c:pt>
                <c:pt idx="43">
                  <c:v>106.66666666666666</c:v>
                </c:pt>
                <c:pt idx="44">
                  <c:v>101.58730158730158</c:v>
                </c:pt>
                <c:pt idx="48">
                  <c:v>16.074418604651164</c:v>
                </c:pt>
                <c:pt idx="51">
                  <c:v>47.41379310344827</c:v>
                </c:pt>
                <c:pt idx="52">
                  <c:v>47.770700636942678</c:v>
                </c:pt>
                <c:pt idx="53">
                  <c:v>48.421052631578945</c:v>
                </c:pt>
                <c:pt idx="54">
                  <c:v>61.871345029239762</c:v>
                </c:pt>
                <c:pt idx="58">
                  <c:v>55.555555555555557</c:v>
                </c:pt>
                <c:pt idx="59">
                  <c:v>87.5</c:v>
                </c:pt>
                <c:pt idx="60">
                  <c:v>74</c:v>
                </c:pt>
                <c:pt idx="61">
                  <c:v>80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'Coffee (Adjusted)'!$O$6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(Adjusted)'!$O$7:$O$107</c:f>
              <c:numCache>
                <c:formatCode>0.0000</c:formatCode>
                <c:ptCount val="71"/>
                <c:pt idx="26">
                  <c:v>101.81818181818183</c:v>
                </c:pt>
                <c:pt idx="28">
                  <c:v>80.181818181818187</c:v>
                </c:pt>
                <c:pt idx="29">
                  <c:v>111.86424242424242</c:v>
                </c:pt>
                <c:pt idx="30">
                  <c:v>64.838661710037172</c:v>
                </c:pt>
                <c:pt idx="31">
                  <c:v>61.090909090909086</c:v>
                </c:pt>
                <c:pt idx="32">
                  <c:v>61.090909090909086</c:v>
                </c:pt>
                <c:pt idx="33">
                  <c:v>71.176973496722709</c:v>
                </c:pt>
                <c:pt idx="43">
                  <c:v>63.333333333333329</c:v>
                </c:pt>
                <c:pt idx="45">
                  <c:v>52.168242582328006</c:v>
                </c:pt>
                <c:pt idx="46">
                  <c:v>50.7134</c:v>
                </c:pt>
                <c:pt idx="48">
                  <c:v>29.126766666666665</c:v>
                </c:pt>
                <c:pt idx="49">
                  <c:v>36.984220000000001</c:v>
                </c:pt>
                <c:pt idx="50">
                  <c:v>38.945454545454545</c:v>
                </c:pt>
                <c:pt idx="51">
                  <c:v>41.575757575757578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'Coffee (Adjusted)'!$P$6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(Adjusted)'!$P$7:$P$107</c:f>
              <c:numCache>
                <c:formatCode>0.0000</c:formatCode>
                <c:ptCount val="71"/>
                <c:pt idx="35">
                  <c:v>60.486048604860478</c:v>
                </c:pt>
                <c:pt idx="37">
                  <c:v>108.11881188118819</c:v>
                </c:pt>
                <c:pt idx="47">
                  <c:v>48.47</c:v>
                </c:pt>
                <c:pt idx="57">
                  <c:v>38.596491228070178</c:v>
                </c:pt>
                <c:pt idx="60">
                  <c:v>48.905630696993597</c:v>
                </c:pt>
                <c:pt idx="61">
                  <c:v>68.285912560721727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'Coffee (Adjusted)'!$Q$6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(Adjusted)'!$Q$7:$Q$107</c:f>
              <c:numCache>
                <c:formatCode>0.0000</c:formatCode>
                <c:ptCount val="71"/>
                <c:pt idx="60">
                  <c:v>43.022820800598581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'Coffee (Adjusted)'!$R$6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(Adjusted)'!$R$7:$R$107</c:f>
              <c:numCache>
                <c:formatCode>0.0000</c:formatCode>
                <c:ptCount val="71"/>
                <c:pt idx="15">
                  <c:v>93.333333333333343</c:v>
                </c:pt>
                <c:pt idx="16">
                  <c:v>93.333333333333343</c:v>
                </c:pt>
                <c:pt idx="17">
                  <c:v>93.333333333333343</c:v>
                </c:pt>
                <c:pt idx="18">
                  <c:v>93.333333333333343</c:v>
                </c:pt>
                <c:pt idx="19">
                  <c:v>93.333333333333343</c:v>
                </c:pt>
                <c:pt idx="20">
                  <c:v>80</c:v>
                </c:pt>
                <c:pt idx="21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60</c:v>
                </c:pt>
                <c:pt idx="31">
                  <c:v>50.028490028490033</c:v>
                </c:pt>
                <c:pt idx="32">
                  <c:v>60</c:v>
                </c:pt>
                <c:pt idx="33">
                  <c:v>99.934853420195452</c:v>
                </c:pt>
                <c:pt idx="34">
                  <c:v>79.980449657869016</c:v>
                </c:pt>
                <c:pt idx="35">
                  <c:v>83.994413407821241</c:v>
                </c:pt>
                <c:pt idx="36">
                  <c:v>83.989361702127653</c:v>
                </c:pt>
                <c:pt idx="37">
                  <c:v>84.005102040816325</c:v>
                </c:pt>
                <c:pt idx="38">
                  <c:v>80.017746228926342</c:v>
                </c:pt>
                <c:pt idx="39">
                  <c:v>91.989528795811509</c:v>
                </c:pt>
                <c:pt idx="40">
                  <c:v>92.16901408450704</c:v>
                </c:pt>
                <c:pt idx="41">
                  <c:v>92.012383900928796</c:v>
                </c:pt>
                <c:pt idx="42">
                  <c:v>80.017714791851205</c:v>
                </c:pt>
                <c:pt idx="43">
                  <c:v>63.989681857265694</c:v>
                </c:pt>
                <c:pt idx="44">
                  <c:v>40</c:v>
                </c:pt>
                <c:pt idx="45">
                  <c:v>36.014388489208635</c:v>
                </c:pt>
                <c:pt idx="46">
                  <c:v>38.337801608579085</c:v>
                </c:pt>
                <c:pt idx="47">
                  <c:v>33.94736842105263</c:v>
                </c:pt>
                <c:pt idx="48">
                  <c:v>34</c:v>
                </c:pt>
                <c:pt idx="49">
                  <c:v>34.006054490413725</c:v>
                </c:pt>
                <c:pt idx="50">
                  <c:v>40</c:v>
                </c:pt>
                <c:pt idx="51">
                  <c:v>39.975155279503106</c:v>
                </c:pt>
                <c:pt idx="52">
                  <c:v>40.015186028853449</c:v>
                </c:pt>
                <c:pt idx="53">
                  <c:v>42.022471910112358</c:v>
                </c:pt>
                <c:pt idx="54">
                  <c:v>34.179301252471987</c:v>
                </c:pt>
                <c:pt idx="55">
                  <c:v>36.346356916578671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'Coffee (Adjusted)'!$S$6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(Adjusted)'!$S$7:$S$107</c:f>
              <c:numCache>
                <c:formatCode>0.0000</c:formatCode>
                <c:ptCount val="71"/>
                <c:pt idx="14">
                  <c:v>78</c:v>
                </c:pt>
                <c:pt idx="15">
                  <c:v>85</c:v>
                </c:pt>
                <c:pt idx="16">
                  <c:v>80</c:v>
                </c:pt>
                <c:pt idx="18">
                  <c:v>70</c:v>
                </c:pt>
                <c:pt idx="19">
                  <c:v>72</c:v>
                </c:pt>
                <c:pt idx="21">
                  <c:v>100</c:v>
                </c:pt>
                <c:pt idx="22">
                  <c:v>100</c:v>
                </c:pt>
                <c:pt idx="24">
                  <c:v>120</c:v>
                </c:pt>
                <c:pt idx="25">
                  <c:v>100</c:v>
                </c:pt>
                <c:pt idx="26">
                  <c:v>90</c:v>
                </c:pt>
                <c:pt idx="27">
                  <c:v>88.948322732242175</c:v>
                </c:pt>
                <c:pt idx="28">
                  <c:v>88.904374999999987</c:v>
                </c:pt>
                <c:pt idx="29">
                  <c:v>136.43277361460957</c:v>
                </c:pt>
                <c:pt idx="30">
                  <c:v>95.254687499999989</c:v>
                </c:pt>
                <c:pt idx="31">
                  <c:v>82.555885244746264</c:v>
                </c:pt>
                <c:pt idx="32">
                  <c:v>47.673615200047102</c:v>
                </c:pt>
                <c:pt idx="33">
                  <c:v>55.565234374999996</c:v>
                </c:pt>
                <c:pt idx="34">
                  <c:v>59.534599134286822</c:v>
                </c:pt>
                <c:pt idx="35">
                  <c:v>47.627343749999994</c:v>
                </c:pt>
                <c:pt idx="36">
                  <c:v>51.029296875</c:v>
                </c:pt>
                <c:pt idx="38">
                  <c:v>50.802430447169833</c:v>
                </c:pt>
                <c:pt idx="39">
                  <c:v>50.802308621767821</c:v>
                </c:pt>
                <c:pt idx="40">
                  <c:v>50.802605648374588</c:v>
                </c:pt>
                <c:pt idx="41">
                  <c:v>50.802500000000002</c:v>
                </c:pt>
                <c:pt idx="42">
                  <c:v>56.7768332497781</c:v>
                </c:pt>
                <c:pt idx="44">
                  <c:v>63.503124999999997</c:v>
                </c:pt>
                <c:pt idx="55">
                  <c:v>46.186999999999998</c:v>
                </c:pt>
                <c:pt idx="56">
                  <c:v>41.07779698691035</c:v>
                </c:pt>
                <c:pt idx="57">
                  <c:v>36.731372549019611</c:v>
                </c:pt>
                <c:pt idx="58">
                  <c:v>38.068405797101448</c:v>
                </c:pt>
                <c:pt idx="60">
                  <c:v>34.465534465534468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'Coffee (Adjusted)'!$T$6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(Adjusted)'!$T$7:$T$107</c:f>
              <c:numCache>
                <c:formatCode>0.0000</c:formatCode>
                <c:ptCount val="71"/>
                <c:pt idx="28">
                  <c:v>106.69456066945607</c:v>
                </c:pt>
                <c:pt idx="29">
                  <c:v>105.8</c:v>
                </c:pt>
                <c:pt idx="30">
                  <c:v>105.81560283687942</c:v>
                </c:pt>
                <c:pt idx="31">
                  <c:v>102.8132911392405</c:v>
                </c:pt>
                <c:pt idx="32">
                  <c:v>100.48034934497818</c:v>
                </c:pt>
                <c:pt idx="33">
                  <c:v>101.10045662100455</c:v>
                </c:pt>
                <c:pt idx="37">
                  <c:v>102.92561983471074</c:v>
                </c:pt>
                <c:pt idx="38">
                  <c:v>102.58590308370044</c:v>
                </c:pt>
                <c:pt idx="39">
                  <c:v>102.02845528455285</c:v>
                </c:pt>
                <c:pt idx="40">
                  <c:v>101.55882352941167</c:v>
                </c:pt>
                <c:pt idx="41">
                  <c:v>100.54999999999991</c:v>
                </c:pt>
                <c:pt idx="42">
                  <c:v>99.999999999999901</c:v>
                </c:pt>
                <c:pt idx="43">
                  <c:v>98.697674418604549</c:v>
                </c:pt>
                <c:pt idx="44">
                  <c:v>99.999999999999915</c:v>
                </c:pt>
                <c:pt idx="45">
                  <c:v>99.91150442477867</c:v>
                </c:pt>
                <c:pt idx="46">
                  <c:v>100.01041666666657</c:v>
                </c:pt>
                <c:pt idx="47">
                  <c:v>100.08695652173904</c:v>
                </c:pt>
                <c:pt idx="48">
                  <c:v>99.893162393162299</c:v>
                </c:pt>
                <c:pt idx="49">
                  <c:v>59.999999999999943</c:v>
                </c:pt>
                <c:pt idx="50">
                  <c:v>54.99999999999995</c:v>
                </c:pt>
                <c:pt idx="51">
                  <c:v>54.990494296577893</c:v>
                </c:pt>
                <c:pt idx="52">
                  <c:v>44.917431192660516</c:v>
                </c:pt>
                <c:pt idx="53">
                  <c:v>45.009242144177406</c:v>
                </c:pt>
                <c:pt idx="54">
                  <c:v>44.999999999999964</c:v>
                </c:pt>
                <c:pt idx="55">
                  <c:v>44.999999999999964</c:v>
                </c:pt>
                <c:pt idx="56">
                  <c:v>44.999999999999957</c:v>
                </c:pt>
                <c:pt idx="57">
                  <c:v>44.947643979057553</c:v>
                </c:pt>
                <c:pt idx="58">
                  <c:v>45.217391304347785</c:v>
                </c:pt>
                <c:pt idx="59">
                  <c:v>49.99999999999995</c:v>
                </c:pt>
                <c:pt idx="60">
                  <c:v>94.999999999999915</c:v>
                </c:pt>
                <c:pt idx="61">
                  <c:v>93.880327868852461</c:v>
                </c:pt>
                <c:pt idx="62">
                  <c:v>93.830000000000013</c:v>
                </c:pt>
                <c:pt idx="63">
                  <c:v>65.148750000000007</c:v>
                </c:pt>
              </c:numCache>
            </c:numRef>
          </c:val>
          <c:smooth val="0"/>
        </c:ser>
        <c:ser>
          <c:idx val="20"/>
          <c:order val="11"/>
          <c:tx>
            <c:strRef>
              <c:f>'Coffee (Adjusted)'!$X$6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(Adjusted)'!$X$7:$X$107</c:f>
              <c:numCache>
                <c:formatCode>0.0000</c:formatCode>
                <c:ptCount val="71"/>
                <c:pt idx="38">
                  <c:v>93.411420204978043</c:v>
                </c:pt>
                <c:pt idx="39">
                  <c:v>81.080752884031568</c:v>
                </c:pt>
                <c:pt idx="41">
                  <c:v>92.857142857142861</c:v>
                </c:pt>
                <c:pt idx="42">
                  <c:v>93.749707602339186</c:v>
                </c:pt>
                <c:pt idx="43">
                  <c:v>92.307246376811605</c:v>
                </c:pt>
                <c:pt idx="44">
                  <c:v>86.666666666666657</c:v>
                </c:pt>
                <c:pt idx="45">
                  <c:v>88.941935483870964</c:v>
                </c:pt>
                <c:pt idx="46">
                  <c:v>82.35</c:v>
                </c:pt>
                <c:pt idx="47">
                  <c:v>78.751807228915666</c:v>
                </c:pt>
                <c:pt idx="48">
                  <c:v>52.501061571125263</c:v>
                </c:pt>
                <c:pt idx="49">
                  <c:v>48.501098901098906</c:v>
                </c:pt>
                <c:pt idx="50">
                  <c:v>46.756714795839152</c:v>
                </c:pt>
                <c:pt idx="51">
                  <c:v>46.699394534446085</c:v>
                </c:pt>
                <c:pt idx="52">
                  <c:v>41.76484070593628</c:v>
                </c:pt>
                <c:pt idx="53">
                  <c:v>40.350877192982459</c:v>
                </c:pt>
                <c:pt idx="54">
                  <c:v>42.731849200134242</c:v>
                </c:pt>
                <c:pt idx="55">
                  <c:v>54.66734097550011</c:v>
                </c:pt>
                <c:pt idx="56">
                  <c:v>47.928367563937542</c:v>
                </c:pt>
                <c:pt idx="57">
                  <c:v>53.333333333333329</c:v>
                </c:pt>
                <c:pt idx="58">
                  <c:v>42.666666666666664</c:v>
                </c:pt>
                <c:pt idx="59">
                  <c:v>51.999999999999993</c:v>
                </c:pt>
                <c:pt idx="60">
                  <c:v>79.998063704133983</c:v>
                </c:pt>
                <c:pt idx="61">
                  <c:v>76.572465960665653</c:v>
                </c:pt>
                <c:pt idx="62">
                  <c:v>83.554999999999993</c:v>
                </c:pt>
                <c:pt idx="63">
                  <c:v>69.334171644137058</c:v>
                </c:pt>
              </c:numCache>
            </c:numRef>
          </c:val>
          <c:smooth val="0"/>
        </c:ser>
        <c:ser>
          <c:idx val="21"/>
          <c:order val="12"/>
          <c:tx>
            <c:strRef>
              <c:f>'Coffee (Adjusted)'!$Y$6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(Adjusted)'!$Y$7:$Y$107</c:f>
              <c:numCache>
                <c:formatCode>0.0000</c:formatCode>
                <c:ptCount val="71"/>
                <c:pt idx="38">
                  <c:v>90.765456329735045</c:v>
                </c:pt>
                <c:pt idx="39">
                  <c:v>82.1111111111111</c:v>
                </c:pt>
                <c:pt idx="41">
                  <c:v>92.857142857142861</c:v>
                </c:pt>
                <c:pt idx="42">
                  <c:v>93.75333333333333</c:v>
                </c:pt>
                <c:pt idx="43">
                  <c:v>92.305010893246191</c:v>
                </c:pt>
                <c:pt idx="44">
                  <c:v>85.51627906976745</c:v>
                </c:pt>
                <c:pt idx="47">
                  <c:v>79.992141453831039</c:v>
                </c:pt>
                <c:pt idx="48">
                  <c:v>52.502078137988363</c:v>
                </c:pt>
                <c:pt idx="49">
                  <c:v>42.674719585849871</c:v>
                </c:pt>
                <c:pt idx="50">
                  <c:v>60</c:v>
                </c:pt>
                <c:pt idx="51">
                  <c:v>46.670100437805822</c:v>
                </c:pt>
                <c:pt idx="52">
                  <c:v>42.672985781990526</c:v>
                </c:pt>
                <c:pt idx="53">
                  <c:v>40.681481481481477</c:v>
                </c:pt>
                <c:pt idx="54">
                  <c:v>46.445553272673905</c:v>
                </c:pt>
                <c:pt idx="55">
                  <c:v>53.333333333333343</c:v>
                </c:pt>
                <c:pt idx="56">
                  <c:v>49.333333333333336</c:v>
                </c:pt>
                <c:pt idx="57">
                  <c:v>58.675433581093955</c:v>
                </c:pt>
                <c:pt idx="58">
                  <c:v>53.514807813484559</c:v>
                </c:pt>
                <c:pt idx="59">
                  <c:v>47.4969696969697</c:v>
                </c:pt>
                <c:pt idx="60">
                  <c:v>54.271617761620362</c:v>
                </c:pt>
                <c:pt idx="61">
                  <c:v>79.676985195154785</c:v>
                </c:pt>
                <c:pt idx="62">
                  <c:v>78.543726235741445</c:v>
                </c:pt>
                <c:pt idx="63">
                  <c:v>80</c:v>
                </c:pt>
              </c:numCache>
            </c:numRef>
          </c:val>
          <c:smooth val="0"/>
        </c:ser>
        <c:ser>
          <c:idx val="22"/>
          <c:order val="13"/>
          <c:tx>
            <c:strRef>
              <c:f>'Coffee (Adjusted)'!$Z$6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(Adjusted)'!$Z$7:$Z$107</c:f>
              <c:numCache>
                <c:formatCode>0.0000</c:formatCode>
                <c:ptCount val="71"/>
                <c:pt idx="24">
                  <c:v>73.054097951024403</c:v>
                </c:pt>
                <c:pt idx="25">
                  <c:v>74.104802149416201</c:v>
                </c:pt>
                <c:pt idx="26">
                  <c:v>38.366012952809598</c:v>
                </c:pt>
                <c:pt idx="27">
                  <c:v>37.4390198566538</c:v>
                </c:pt>
                <c:pt idx="28">
                  <c:v>39.569611814386796</c:v>
                </c:pt>
                <c:pt idx="29">
                  <c:v>37.038285874298801</c:v>
                </c:pt>
                <c:pt idx="30">
                  <c:v>27.8798474899762</c:v>
                </c:pt>
                <c:pt idx="31">
                  <c:v>24.337000812563598</c:v>
                </c:pt>
                <c:pt idx="32">
                  <c:v>27.0296490237548</c:v>
                </c:pt>
                <c:pt idx="33">
                  <c:v>34.499624411366597</c:v>
                </c:pt>
                <c:pt idx="34">
                  <c:v>33.260544964725</c:v>
                </c:pt>
                <c:pt idx="35">
                  <c:v>27.119662866608198</c:v>
                </c:pt>
                <c:pt idx="36">
                  <c:v>34.614235457322202</c:v>
                </c:pt>
                <c:pt idx="37">
                  <c:v>35.928831122118801</c:v>
                </c:pt>
                <c:pt idx="38">
                  <c:v>39.0842200136412</c:v>
                </c:pt>
                <c:pt idx="39">
                  <c:v>71.787617004495004</c:v>
                </c:pt>
                <c:pt idx="40">
                  <c:v>88.136008403306207</c:v>
                </c:pt>
                <c:pt idx="41">
                  <c:v>73.714917424594205</c:v>
                </c:pt>
                <c:pt idx="42">
                  <c:v>78.999953651400602</c:v>
                </c:pt>
                <c:pt idx="43">
                  <c:v>69.155861793590205</c:v>
                </c:pt>
                <c:pt idx="44">
                  <c:v>11.585371536034721</c:v>
                </c:pt>
                <c:pt idx="45">
                  <c:v>10.328958299592339</c:v>
                </c:pt>
                <c:pt idx="46">
                  <c:v>31.314572108282</c:v>
                </c:pt>
                <c:pt idx="47">
                  <c:v>33.198951362938402</c:v>
                </c:pt>
                <c:pt idx="48">
                  <c:v>23.986968284315601</c:v>
                </c:pt>
                <c:pt idx="49">
                  <c:v>29.743550302714201</c:v>
                </c:pt>
                <c:pt idx="50">
                  <c:v>23.1501590672246</c:v>
                </c:pt>
                <c:pt idx="51">
                  <c:v>28.547023799909802</c:v>
                </c:pt>
                <c:pt idx="52">
                  <c:v>23.183905307745398</c:v>
                </c:pt>
                <c:pt idx="53">
                  <c:v>24.230999934822201</c:v>
                </c:pt>
                <c:pt idx="54">
                  <c:v>44.2184473313404</c:v>
                </c:pt>
                <c:pt idx="55">
                  <c:v>43.346938775510196</c:v>
                </c:pt>
                <c:pt idx="56">
                  <c:v>51.826415094339602</c:v>
                </c:pt>
                <c:pt idx="57">
                  <c:v>53.331932773109195</c:v>
                </c:pt>
                <c:pt idx="58">
                  <c:v>53.3359621451104</c:v>
                </c:pt>
                <c:pt idx="59">
                  <c:v>57.334162520729599</c:v>
                </c:pt>
                <c:pt idx="60">
                  <c:v>61.561897416120395</c:v>
                </c:pt>
                <c:pt idx="61">
                  <c:v>65.203689469638803</c:v>
                </c:pt>
              </c:numCache>
            </c:numRef>
          </c:val>
          <c:smooth val="0"/>
        </c:ser>
        <c:ser>
          <c:idx val="23"/>
          <c:order val="14"/>
          <c:tx>
            <c:strRef>
              <c:f>'Coffee (Adjusted)'!$AA$6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(Adjusted)'!$AA$7:$AA$107</c:f>
              <c:numCache>
                <c:formatCode>0.0000</c:formatCode>
                <c:ptCount val="71"/>
                <c:pt idx="40">
                  <c:v>82.8309945088468</c:v>
                </c:pt>
                <c:pt idx="41">
                  <c:v>93.3333333333334</c:v>
                </c:pt>
                <c:pt idx="42">
                  <c:v>83.340817242927798</c:v>
                </c:pt>
                <c:pt idx="43">
                  <c:v>80</c:v>
                </c:pt>
                <c:pt idx="45">
                  <c:v>87.283170591613995</c:v>
                </c:pt>
                <c:pt idx="46">
                  <c:v>200</c:v>
                </c:pt>
                <c:pt idx="47">
                  <c:v>93.3333333333334</c:v>
                </c:pt>
                <c:pt idx="48">
                  <c:v>93.3333333333334</c:v>
                </c:pt>
                <c:pt idx="49">
                  <c:v>95.978835978836003</c:v>
                </c:pt>
                <c:pt idx="50">
                  <c:v>98.825931597753993</c:v>
                </c:pt>
                <c:pt idx="51">
                  <c:v>100</c:v>
                </c:pt>
                <c:pt idx="52">
                  <c:v>64.975609756097597</c:v>
                </c:pt>
              </c:numCache>
            </c:numRef>
          </c:val>
          <c:smooth val="0"/>
        </c:ser>
        <c:ser>
          <c:idx val="24"/>
          <c:order val="15"/>
          <c:tx>
            <c:strRef>
              <c:f>'Coffee (Adjusted)'!$AB$6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(Adjusted)'!$AB$7:$AB$107</c:f>
              <c:numCache>
                <c:formatCode>0.0000</c:formatCode>
                <c:ptCount val="71"/>
                <c:pt idx="37">
                  <c:v>89.672232529375407</c:v>
                </c:pt>
                <c:pt idx="38">
                  <c:v>67.208888888888808</c:v>
                </c:pt>
                <c:pt idx="39">
                  <c:v>45.257142857142796</c:v>
                </c:pt>
                <c:pt idx="40">
                  <c:v>47.134803921568604</c:v>
                </c:pt>
                <c:pt idx="41">
                  <c:v>85.713888888888789</c:v>
                </c:pt>
                <c:pt idx="42">
                  <c:v>62.496000000000002</c:v>
                </c:pt>
                <c:pt idx="43">
                  <c:v>67.691428571428602</c:v>
                </c:pt>
                <c:pt idx="44">
                  <c:v>77.766666666666595</c:v>
                </c:pt>
                <c:pt idx="45">
                  <c:v>77.78</c:v>
                </c:pt>
                <c:pt idx="46">
                  <c:v>70.586666666666602</c:v>
                </c:pt>
                <c:pt idx="47">
                  <c:v>62.5</c:v>
                </c:pt>
                <c:pt idx="48">
                  <c:v>37.5</c:v>
                </c:pt>
                <c:pt idx="49">
                  <c:v>33.3333333333334</c:v>
                </c:pt>
                <c:pt idx="50">
                  <c:v>33.335000000000001</c:v>
                </c:pt>
                <c:pt idx="51">
                  <c:v>33.3333333333334</c:v>
                </c:pt>
                <c:pt idx="57">
                  <c:v>100</c:v>
                </c:pt>
                <c:pt idx="58">
                  <c:v>78.75</c:v>
                </c:pt>
                <c:pt idx="60">
                  <c:v>86.760563380281596</c:v>
                </c:pt>
                <c:pt idx="61">
                  <c:v>75</c:v>
                </c:pt>
                <c:pt idx="62">
                  <c:v>131.19999999999999</c:v>
                </c:pt>
              </c:numCache>
            </c:numRef>
          </c:val>
          <c:smooth val="0"/>
        </c:ser>
        <c:ser>
          <c:idx val="25"/>
          <c:order val="16"/>
          <c:tx>
            <c:strRef>
              <c:f>'Coffee (Adjusted)'!$AC$6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(Adjusted)'!$AC$7:$AC$107</c:f>
              <c:numCache>
                <c:formatCode>0.0000</c:formatCode>
                <c:ptCount val="71"/>
                <c:pt idx="37">
                  <c:v>74.596363636363606</c:v>
                </c:pt>
                <c:pt idx="38">
                  <c:v>67.202517162471395</c:v>
                </c:pt>
                <c:pt idx="39">
                  <c:v>50.065882352941202</c:v>
                </c:pt>
                <c:pt idx="40">
                  <c:v>47.130158730158804</c:v>
                </c:pt>
                <c:pt idx="41">
                  <c:v>85.714285714285808</c:v>
                </c:pt>
                <c:pt idx="42">
                  <c:v>59.64</c:v>
                </c:pt>
                <c:pt idx="43">
                  <c:v>67.693333333333399</c:v>
                </c:pt>
                <c:pt idx="44">
                  <c:v>77.7746307910176</c:v>
                </c:pt>
                <c:pt idx="45">
                  <c:v>77.763347763347795</c:v>
                </c:pt>
                <c:pt idx="46">
                  <c:v>82.349206349206398</c:v>
                </c:pt>
                <c:pt idx="47">
                  <c:v>62.5</c:v>
                </c:pt>
                <c:pt idx="48">
                  <c:v>37.5008874689386</c:v>
                </c:pt>
                <c:pt idx="49">
                  <c:v>33.345945945945999</c:v>
                </c:pt>
                <c:pt idx="50">
                  <c:v>33.0902527075812</c:v>
                </c:pt>
                <c:pt idx="51">
                  <c:v>33.3333333333334</c:v>
                </c:pt>
              </c:numCache>
            </c:numRef>
          </c:val>
          <c:smooth val="0"/>
        </c:ser>
        <c:ser>
          <c:idx val="26"/>
          <c:order val="17"/>
          <c:tx>
            <c:strRef>
              <c:f>'Coffee (Adjusted)'!$AD$6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(Adjusted)'!$AD$7:$AD$107</c:f>
              <c:numCache>
                <c:formatCode>General</c:formatCode>
                <c:ptCount val="71"/>
                <c:pt idx="37" formatCode="0.0000">
                  <c:v>110.18078566716699</c:v>
                </c:pt>
                <c:pt idx="38" formatCode="0.0000">
                  <c:v>62.733931892810403</c:v>
                </c:pt>
                <c:pt idx="39" formatCode="0.0000">
                  <c:v>83.282773300286408</c:v>
                </c:pt>
                <c:pt idx="40" formatCode="0.0000">
                  <c:v>69.470540058775399</c:v>
                </c:pt>
                <c:pt idx="41" formatCode="0.0000">
                  <c:v>34.725634725634798</c:v>
                </c:pt>
                <c:pt idx="42" formatCode="0.0000">
                  <c:v>79.039999999999992</c:v>
                </c:pt>
                <c:pt idx="43" formatCode="0.0000">
                  <c:v>109.60000000000001</c:v>
                </c:pt>
                <c:pt idx="44" formatCode="0.0000">
                  <c:v>66.6666666666666</c:v>
                </c:pt>
                <c:pt idx="45" formatCode="0.0000">
                  <c:v>37</c:v>
                </c:pt>
                <c:pt idx="46" formatCode="0.0000">
                  <c:v>39.200000000000003</c:v>
                </c:pt>
                <c:pt idx="47" formatCode="0.0000">
                  <c:v>38.134763513513604</c:v>
                </c:pt>
                <c:pt idx="48" formatCode="0.0000">
                  <c:v>70.993955810895599</c:v>
                </c:pt>
                <c:pt idx="49" formatCode="0.0000">
                  <c:v>77.499729731667202</c:v>
                </c:pt>
                <c:pt idx="50" formatCode="0.0000">
                  <c:v>97.363836662723202</c:v>
                </c:pt>
                <c:pt idx="51" formatCode="0.0000">
                  <c:v>113.3186813186814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27600"/>
        <c:axId val="406628160"/>
      </c:lineChart>
      <c:catAx>
        <c:axId val="40662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628160"/>
        <c:crosses val="autoZero"/>
        <c:auto val="1"/>
        <c:lblAlgn val="ctr"/>
        <c:lblOffset val="100"/>
        <c:noMultiLvlLbl val="0"/>
      </c:catAx>
      <c:valAx>
        <c:axId val="40662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62760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47122307012395"/>
          <c:y val="0.11412723711650848"/>
          <c:w val="0.22110204171136705"/>
          <c:h val="0.82232438090253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Coffee, UK, Black Sea, Persia, Persian Gulf &amp; India, in pound/ton </a:t>
            </a:r>
          </a:p>
        </c:rich>
      </c:tx>
      <c:layout>
        <c:manualLayout>
          <c:xMode val="edge"/>
          <c:yMode val="edge"/>
          <c:x val="0.17224982963247848"/>
          <c:y val="1.7623363544813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'Coffee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'Coffee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(Adjusted)'!$D$7:$D$107</c:f>
              <c:numCache>
                <c:formatCode>0.0000</c:formatCode>
                <c:ptCount val="71"/>
                <c:pt idx="4">
                  <c:v>52.516260566372509</c:v>
                </c:pt>
                <c:pt idx="5">
                  <c:v>58.025104732833945</c:v>
                </c:pt>
                <c:pt idx="6">
                  <c:v>57.796774215519015</c:v>
                </c:pt>
                <c:pt idx="7">
                  <c:v>66.265081218624687</c:v>
                </c:pt>
                <c:pt idx="8">
                  <c:v>61.15130901182053</c:v>
                </c:pt>
                <c:pt idx="9">
                  <c:v>66.428757278682724</c:v>
                </c:pt>
                <c:pt idx="10">
                  <c:v>70.645904034732084</c:v>
                </c:pt>
                <c:pt idx="11">
                  <c:v>69.940965631357798</c:v>
                </c:pt>
                <c:pt idx="12">
                  <c:v>77.464470456238615</c:v>
                </c:pt>
                <c:pt idx="13">
                  <c:v>79.410431566427761</c:v>
                </c:pt>
                <c:pt idx="14">
                  <c:v>73.163651884920043</c:v>
                </c:pt>
                <c:pt idx="15">
                  <c:v>72.873967143704533</c:v>
                </c:pt>
                <c:pt idx="16">
                  <c:v>72.377079709742219</c:v>
                </c:pt>
                <c:pt idx="17">
                  <c:v>69.667084389115345</c:v>
                </c:pt>
                <c:pt idx="18">
                  <c:v>62.032026229964941</c:v>
                </c:pt>
                <c:pt idx="19">
                  <c:v>63.660047892887732</c:v>
                </c:pt>
                <c:pt idx="20">
                  <c:v>60.883602838875923</c:v>
                </c:pt>
                <c:pt idx="21">
                  <c:v>60.749889069664249</c:v>
                </c:pt>
                <c:pt idx="22">
                  <c:v>65.034142870655202</c:v>
                </c:pt>
                <c:pt idx="23">
                  <c:v>84.422102319970818</c:v>
                </c:pt>
                <c:pt idx="24">
                  <c:v>96.939461966467363</c:v>
                </c:pt>
                <c:pt idx="25">
                  <c:v>94.221898772325488</c:v>
                </c:pt>
                <c:pt idx="26">
                  <c:v>94.574016074618626</c:v>
                </c:pt>
                <c:pt idx="27">
                  <c:v>95.008361346918974</c:v>
                </c:pt>
                <c:pt idx="28">
                  <c:v>92.3074372266084</c:v>
                </c:pt>
                <c:pt idx="29">
                  <c:v>90.228570278899383</c:v>
                </c:pt>
                <c:pt idx="30">
                  <c:v>88.438630511598802</c:v>
                </c:pt>
                <c:pt idx="31">
                  <c:v>84.514945270911838</c:v>
                </c:pt>
                <c:pt idx="32">
                  <c:v>78.149137893713572</c:v>
                </c:pt>
                <c:pt idx="33">
                  <c:v>69.761657883608208</c:v>
                </c:pt>
                <c:pt idx="34">
                  <c:v>66.855374909251836</c:v>
                </c:pt>
                <c:pt idx="35">
                  <c:v>64.605930406610213</c:v>
                </c:pt>
                <c:pt idx="36">
                  <c:v>66.85539379872354</c:v>
                </c:pt>
                <c:pt idx="37">
                  <c:v>77.156030468214141</c:v>
                </c:pt>
                <c:pt idx="38">
                  <c:v>75.043445623055874</c:v>
                </c:pt>
                <c:pt idx="39">
                  <c:v>86.582511236938885</c:v>
                </c:pt>
                <c:pt idx="40">
                  <c:v>86.329428013668121</c:v>
                </c:pt>
                <c:pt idx="41">
                  <c:v>92.152924934510281</c:v>
                </c:pt>
                <c:pt idx="42">
                  <c:v>90.463671190790649</c:v>
                </c:pt>
                <c:pt idx="43">
                  <c:v>92.956811033636271</c:v>
                </c:pt>
                <c:pt idx="44">
                  <c:v>93.897458936783806</c:v>
                </c:pt>
                <c:pt idx="45">
                  <c:v>93.244922276493753</c:v>
                </c:pt>
                <c:pt idx="46">
                  <c:v>90.488482045873511</c:v>
                </c:pt>
                <c:pt idx="47">
                  <c:v>85.634363907881976</c:v>
                </c:pt>
                <c:pt idx="48">
                  <c:v>76.31619062614061</c:v>
                </c:pt>
                <c:pt idx="49">
                  <c:v>66.869718709857835</c:v>
                </c:pt>
                <c:pt idx="50">
                  <c:v>66.645507169399053</c:v>
                </c:pt>
                <c:pt idx="51">
                  <c:v>57.62536210464085</c:v>
                </c:pt>
                <c:pt idx="52">
                  <c:v>57.451463142045966</c:v>
                </c:pt>
                <c:pt idx="53">
                  <c:v>49.842109623565975</c:v>
                </c:pt>
                <c:pt idx="54">
                  <c:v>51.87104793817219</c:v>
                </c:pt>
                <c:pt idx="55">
                  <c:v>50.245350525442475</c:v>
                </c:pt>
                <c:pt idx="56">
                  <c:v>51.321510222839493</c:v>
                </c:pt>
                <c:pt idx="57">
                  <c:v>50.072924166289361</c:v>
                </c:pt>
                <c:pt idx="58">
                  <c:v>53.385491058981984</c:v>
                </c:pt>
                <c:pt idx="59">
                  <c:v>50.398628566721804</c:v>
                </c:pt>
                <c:pt idx="60">
                  <c:v>49.397338019495002</c:v>
                </c:pt>
                <c:pt idx="61">
                  <c:v>59.308819697300493</c:v>
                </c:pt>
                <c:pt idx="62">
                  <c:v>74.341069929640426</c:v>
                </c:pt>
                <c:pt idx="63">
                  <c:v>71.604003792412072</c:v>
                </c:pt>
                <c:pt idx="64">
                  <c:v>65.544573079248494</c:v>
                </c:pt>
                <c:pt idx="65">
                  <c:v>62.718098350951912</c:v>
                </c:pt>
                <c:pt idx="66">
                  <c:v>62.854779027751064</c:v>
                </c:pt>
                <c:pt idx="67">
                  <c:v>70.262453322060168</c:v>
                </c:pt>
                <c:pt idx="68">
                  <c:v>83.783837513667535</c:v>
                </c:pt>
                <c:pt idx="69">
                  <c:v>124.17743444950273</c:v>
                </c:pt>
                <c:pt idx="70">
                  <c:v>115.36719495201469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'Coffee (Adjusted)'!$P$6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(Adjusted)'!$P$7:$P$107</c:f>
              <c:numCache>
                <c:formatCode>0.0000</c:formatCode>
                <c:ptCount val="71"/>
                <c:pt idx="35">
                  <c:v>60.486048604860478</c:v>
                </c:pt>
                <c:pt idx="37">
                  <c:v>108.11881188118819</c:v>
                </c:pt>
                <c:pt idx="47">
                  <c:v>48.47</c:v>
                </c:pt>
                <c:pt idx="57">
                  <c:v>38.596491228070178</c:v>
                </c:pt>
                <c:pt idx="60">
                  <c:v>48.905630696993597</c:v>
                </c:pt>
                <c:pt idx="61">
                  <c:v>68.285912560721727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'Coffee (Adjusted)'!$Q$6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(Adjusted)'!$Q$7:$Q$107</c:f>
              <c:numCache>
                <c:formatCode>0.0000</c:formatCode>
                <c:ptCount val="71"/>
                <c:pt idx="60">
                  <c:v>43.022820800598581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'Coffee (Adjusted)'!$R$6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(Adjusted)'!$R$7:$R$107</c:f>
              <c:numCache>
                <c:formatCode>0.0000</c:formatCode>
                <c:ptCount val="71"/>
                <c:pt idx="15">
                  <c:v>93.333333333333343</c:v>
                </c:pt>
                <c:pt idx="16">
                  <c:v>93.333333333333343</c:v>
                </c:pt>
                <c:pt idx="17">
                  <c:v>93.333333333333343</c:v>
                </c:pt>
                <c:pt idx="18">
                  <c:v>93.333333333333343</c:v>
                </c:pt>
                <c:pt idx="19">
                  <c:v>93.333333333333343</c:v>
                </c:pt>
                <c:pt idx="20">
                  <c:v>80</c:v>
                </c:pt>
                <c:pt idx="21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60</c:v>
                </c:pt>
                <c:pt idx="31">
                  <c:v>50.028490028490033</c:v>
                </c:pt>
                <c:pt idx="32">
                  <c:v>60</c:v>
                </c:pt>
                <c:pt idx="33">
                  <c:v>99.934853420195452</c:v>
                </c:pt>
                <c:pt idx="34">
                  <c:v>79.980449657869016</c:v>
                </c:pt>
                <c:pt idx="35">
                  <c:v>83.994413407821241</c:v>
                </c:pt>
                <c:pt idx="36">
                  <c:v>83.989361702127653</c:v>
                </c:pt>
                <c:pt idx="37">
                  <c:v>84.005102040816325</c:v>
                </c:pt>
                <c:pt idx="38">
                  <c:v>80.017746228926342</c:v>
                </c:pt>
                <c:pt idx="39">
                  <c:v>91.989528795811509</c:v>
                </c:pt>
                <c:pt idx="40">
                  <c:v>92.16901408450704</c:v>
                </c:pt>
                <c:pt idx="41">
                  <c:v>92.012383900928796</c:v>
                </c:pt>
                <c:pt idx="42">
                  <c:v>80.017714791851205</c:v>
                </c:pt>
                <c:pt idx="43">
                  <c:v>63.989681857265694</c:v>
                </c:pt>
                <c:pt idx="44">
                  <c:v>40</c:v>
                </c:pt>
                <c:pt idx="45">
                  <c:v>36.014388489208635</c:v>
                </c:pt>
                <c:pt idx="46">
                  <c:v>38.337801608579085</c:v>
                </c:pt>
                <c:pt idx="47">
                  <c:v>33.94736842105263</c:v>
                </c:pt>
                <c:pt idx="48">
                  <c:v>34</c:v>
                </c:pt>
                <c:pt idx="49">
                  <c:v>34.006054490413725</c:v>
                </c:pt>
                <c:pt idx="50">
                  <c:v>40</c:v>
                </c:pt>
                <c:pt idx="51">
                  <c:v>39.975155279503106</c:v>
                </c:pt>
                <c:pt idx="52">
                  <c:v>40.015186028853449</c:v>
                </c:pt>
                <c:pt idx="53">
                  <c:v>42.022471910112358</c:v>
                </c:pt>
                <c:pt idx="54">
                  <c:v>34.179301252471987</c:v>
                </c:pt>
                <c:pt idx="55">
                  <c:v>36.346356916578671</c:v>
                </c:pt>
              </c:numCache>
            </c:numRef>
          </c:val>
          <c:smooth val="0"/>
        </c:ser>
        <c:ser>
          <c:idx val="17"/>
          <c:order val="5"/>
          <c:tx>
            <c:strRef>
              <c:f>'Coffee (Adjusted)'!$U$6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(Adjusted)'!$U$7:$U$107</c:f>
              <c:numCache>
                <c:formatCode>0.0000</c:formatCode>
                <c:ptCount val="71"/>
                <c:pt idx="50">
                  <c:v>54.371112122591398</c:v>
                </c:pt>
                <c:pt idx="51">
                  <c:v>63.827076452445198</c:v>
                </c:pt>
                <c:pt idx="52">
                  <c:v>56.243671724242397</c:v>
                </c:pt>
                <c:pt idx="53">
                  <c:v>56.117396338798599</c:v>
                </c:pt>
                <c:pt idx="54">
                  <c:v>65.053605952311202</c:v>
                </c:pt>
                <c:pt idx="55">
                  <c:v>53.9794477822646</c:v>
                </c:pt>
                <c:pt idx="57">
                  <c:v>60.380952380952394</c:v>
                </c:pt>
                <c:pt idx="58">
                  <c:v>91.9444444444444</c:v>
                </c:pt>
                <c:pt idx="59">
                  <c:v>79.902200488997593</c:v>
                </c:pt>
                <c:pt idx="60">
                  <c:v>73.214285714285808</c:v>
                </c:pt>
                <c:pt idx="61">
                  <c:v>161</c:v>
                </c:pt>
                <c:pt idx="62">
                  <c:v>126.8312757201646</c:v>
                </c:pt>
              </c:numCache>
            </c:numRef>
          </c:val>
          <c:smooth val="0"/>
        </c:ser>
        <c:ser>
          <c:idx val="18"/>
          <c:order val="6"/>
          <c:tx>
            <c:strRef>
              <c:f>'Coffee (Adjusted)'!$V$6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(Adjusted)'!$V$7:$V$107</c:f>
              <c:numCache>
                <c:formatCode>0.0000</c:formatCode>
                <c:ptCount val="71"/>
                <c:pt idx="44">
                  <c:v>103.38461538461549</c:v>
                </c:pt>
                <c:pt idx="57">
                  <c:v>75.533333333333346</c:v>
                </c:pt>
                <c:pt idx="58">
                  <c:v>74.65798045602601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159.99999999999994</c:v>
                </c:pt>
              </c:numCache>
            </c:numRef>
          </c:val>
          <c:smooth val="0"/>
        </c:ser>
        <c:ser>
          <c:idx val="19"/>
          <c:order val="7"/>
          <c:tx>
            <c:strRef>
              <c:f>'Coffee (Adjusted)'!$W$6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(Adjusted)'!$W$7:$W$107</c:f>
              <c:numCache>
                <c:formatCode>0.0000</c:formatCode>
                <c:ptCount val="71"/>
                <c:pt idx="62">
                  <c:v>134.43360840210045</c:v>
                </c:pt>
              </c:numCache>
            </c:numRef>
          </c:val>
          <c:smooth val="0"/>
        </c:ser>
        <c:ser>
          <c:idx val="20"/>
          <c:order val="8"/>
          <c:tx>
            <c:strRef>
              <c:f>'Coffee (Adjusted)'!$X$6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(Adjusted)'!$X$7:$X$107</c:f>
              <c:numCache>
                <c:formatCode>0.0000</c:formatCode>
                <c:ptCount val="71"/>
                <c:pt idx="38">
                  <c:v>93.411420204978043</c:v>
                </c:pt>
                <c:pt idx="39">
                  <c:v>81.080752884031568</c:v>
                </c:pt>
                <c:pt idx="41">
                  <c:v>92.857142857142861</c:v>
                </c:pt>
                <c:pt idx="42">
                  <c:v>93.749707602339186</c:v>
                </c:pt>
                <c:pt idx="43">
                  <c:v>92.307246376811605</c:v>
                </c:pt>
                <c:pt idx="44">
                  <c:v>86.666666666666657</c:v>
                </c:pt>
                <c:pt idx="45">
                  <c:v>88.941935483870964</c:v>
                </c:pt>
                <c:pt idx="46">
                  <c:v>82.35</c:v>
                </c:pt>
                <c:pt idx="47">
                  <c:v>78.751807228915666</c:v>
                </c:pt>
                <c:pt idx="48">
                  <c:v>52.501061571125263</c:v>
                </c:pt>
                <c:pt idx="49">
                  <c:v>48.501098901098906</c:v>
                </c:pt>
                <c:pt idx="50">
                  <c:v>46.756714795839152</c:v>
                </c:pt>
                <c:pt idx="51">
                  <c:v>46.699394534446085</c:v>
                </c:pt>
                <c:pt idx="52">
                  <c:v>41.76484070593628</c:v>
                </c:pt>
                <c:pt idx="53">
                  <c:v>40.350877192982459</c:v>
                </c:pt>
                <c:pt idx="54">
                  <c:v>42.731849200134242</c:v>
                </c:pt>
                <c:pt idx="55">
                  <c:v>54.66734097550011</c:v>
                </c:pt>
                <c:pt idx="56">
                  <c:v>47.928367563937542</c:v>
                </c:pt>
                <c:pt idx="57">
                  <c:v>53.333333333333329</c:v>
                </c:pt>
                <c:pt idx="58">
                  <c:v>42.666666666666664</c:v>
                </c:pt>
                <c:pt idx="59">
                  <c:v>51.999999999999993</c:v>
                </c:pt>
                <c:pt idx="60">
                  <c:v>79.998063704133983</c:v>
                </c:pt>
                <c:pt idx="61">
                  <c:v>76.572465960665653</c:v>
                </c:pt>
                <c:pt idx="62">
                  <c:v>83.554999999999993</c:v>
                </c:pt>
                <c:pt idx="63">
                  <c:v>69.334171644137058</c:v>
                </c:pt>
              </c:numCache>
            </c:numRef>
          </c:val>
          <c:smooth val="0"/>
        </c:ser>
        <c:ser>
          <c:idx val="21"/>
          <c:order val="9"/>
          <c:tx>
            <c:strRef>
              <c:f>'Coffee (Adjusted)'!$Y$6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(Adjusted)'!$Y$7:$Y$107</c:f>
              <c:numCache>
                <c:formatCode>0.0000</c:formatCode>
                <c:ptCount val="71"/>
                <c:pt idx="38">
                  <c:v>90.765456329735045</c:v>
                </c:pt>
                <c:pt idx="39">
                  <c:v>82.1111111111111</c:v>
                </c:pt>
                <c:pt idx="41">
                  <c:v>92.857142857142861</c:v>
                </c:pt>
                <c:pt idx="42">
                  <c:v>93.75333333333333</c:v>
                </c:pt>
                <c:pt idx="43">
                  <c:v>92.305010893246191</c:v>
                </c:pt>
                <c:pt idx="44">
                  <c:v>85.51627906976745</c:v>
                </c:pt>
                <c:pt idx="47">
                  <c:v>79.992141453831039</c:v>
                </c:pt>
                <c:pt idx="48">
                  <c:v>52.502078137988363</c:v>
                </c:pt>
                <c:pt idx="49">
                  <c:v>42.674719585849871</c:v>
                </c:pt>
                <c:pt idx="50">
                  <c:v>60</c:v>
                </c:pt>
                <c:pt idx="51">
                  <c:v>46.670100437805822</c:v>
                </c:pt>
                <c:pt idx="52">
                  <c:v>42.672985781990526</c:v>
                </c:pt>
                <c:pt idx="53">
                  <c:v>40.681481481481477</c:v>
                </c:pt>
                <c:pt idx="54">
                  <c:v>46.445553272673905</c:v>
                </c:pt>
                <c:pt idx="55">
                  <c:v>53.333333333333343</c:v>
                </c:pt>
                <c:pt idx="56">
                  <c:v>49.333333333333336</c:v>
                </c:pt>
                <c:pt idx="57">
                  <c:v>58.675433581093955</c:v>
                </c:pt>
                <c:pt idx="58">
                  <c:v>53.514807813484559</c:v>
                </c:pt>
                <c:pt idx="59">
                  <c:v>47.4969696969697</c:v>
                </c:pt>
                <c:pt idx="60">
                  <c:v>54.271617761620362</c:v>
                </c:pt>
                <c:pt idx="61">
                  <c:v>79.676985195154785</c:v>
                </c:pt>
                <c:pt idx="62">
                  <c:v>78.543726235741445</c:v>
                </c:pt>
                <c:pt idx="63">
                  <c:v>80</c:v>
                </c:pt>
              </c:numCache>
            </c:numRef>
          </c:val>
          <c:smooth val="0"/>
        </c:ser>
        <c:ser>
          <c:idx val="22"/>
          <c:order val="10"/>
          <c:tx>
            <c:strRef>
              <c:f>'Coffee (Adjusted)'!$Z$6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(Adjusted)'!$Z$7:$Z$107</c:f>
              <c:numCache>
                <c:formatCode>0.0000</c:formatCode>
                <c:ptCount val="71"/>
                <c:pt idx="24">
                  <c:v>73.054097951024403</c:v>
                </c:pt>
                <c:pt idx="25">
                  <c:v>74.104802149416201</c:v>
                </c:pt>
                <c:pt idx="26">
                  <c:v>38.366012952809598</c:v>
                </c:pt>
                <c:pt idx="27">
                  <c:v>37.4390198566538</c:v>
                </c:pt>
                <c:pt idx="28">
                  <c:v>39.569611814386796</c:v>
                </c:pt>
                <c:pt idx="29">
                  <c:v>37.038285874298801</c:v>
                </c:pt>
                <c:pt idx="30">
                  <c:v>27.8798474899762</c:v>
                </c:pt>
                <c:pt idx="31">
                  <c:v>24.337000812563598</c:v>
                </c:pt>
                <c:pt idx="32">
                  <c:v>27.0296490237548</c:v>
                </c:pt>
                <c:pt idx="33">
                  <c:v>34.499624411366597</c:v>
                </c:pt>
                <c:pt idx="34">
                  <c:v>33.260544964725</c:v>
                </c:pt>
                <c:pt idx="35">
                  <c:v>27.119662866608198</c:v>
                </c:pt>
                <c:pt idx="36">
                  <c:v>34.614235457322202</c:v>
                </c:pt>
                <c:pt idx="37">
                  <c:v>35.928831122118801</c:v>
                </c:pt>
                <c:pt idx="38">
                  <c:v>39.0842200136412</c:v>
                </c:pt>
                <c:pt idx="39">
                  <c:v>71.787617004495004</c:v>
                </c:pt>
                <c:pt idx="40">
                  <c:v>88.136008403306207</c:v>
                </c:pt>
                <c:pt idx="41">
                  <c:v>73.714917424594205</c:v>
                </c:pt>
                <c:pt idx="42">
                  <c:v>78.999953651400602</c:v>
                </c:pt>
                <c:pt idx="43">
                  <c:v>69.155861793590205</c:v>
                </c:pt>
                <c:pt idx="44">
                  <c:v>11.585371536034721</c:v>
                </c:pt>
                <c:pt idx="45">
                  <c:v>10.328958299592339</c:v>
                </c:pt>
                <c:pt idx="46">
                  <c:v>31.314572108282</c:v>
                </c:pt>
                <c:pt idx="47">
                  <c:v>33.198951362938402</c:v>
                </c:pt>
                <c:pt idx="48">
                  <c:v>23.986968284315601</c:v>
                </c:pt>
                <c:pt idx="49">
                  <c:v>29.743550302714201</c:v>
                </c:pt>
                <c:pt idx="50">
                  <c:v>23.1501590672246</c:v>
                </c:pt>
                <c:pt idx="51">
                  <c:v>28.547023799909802</c:v>
                </c:pt>
                <c:pt idx="52">
                  <c:v>23.183905307745398</c:v>
                </c:pt>
                <c:pt idx="53">
                  <c:v>24.230999934822201</c:v>
                </c:pt>
                <c:pt idx="54">
                  <c:v>44.2184473313404</c:v>
                </c:pt>
                <c:pt idx="55">
                  <c:v>43.346938775510196</c:v>
                </c:pt>
                <c:pt idx="56">
                  <c:v>51.826415094339602</c:v>
                </c:pt>
                <c:pt idx="57">
                  <c:v>53.331932773109195</c:v>
                </c:pt>
                <c:pt idx="58">
                  <c:v>53.3359621451104</c:v>
                </c:pt>
                <c:pt idx="59">
                  <c:v>57.334162520729599</c:v>
                </c:pt>
                <c:pt idx="60">
                  <c:v>61.561897416120395</c:v>
                </c:pt>
                <c:pt idx="61">
                  <c:v>65.203689469638803</c:v>
                </c:pt>
              </c:numCache>
            </c:numRef>
          </c:val>
          <c:smooth val="0"/>
        </c:ser>
        <c:ser>
          <c:idx val="23"/>
          <c:order val="11"/>
          <c:tx>
            <c:strRef>
              <c:f>'Coffee (Adjusted)'!$AA$6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(Adjusted)'!$AA$7:$AA$107</c:f>
              <c:numCache>
                <c:formatCode>0.0000</c:formatCode>
                <c:ptCount val="71"/>
                <c:pt idx="40">
                  <c:v>82.8309945088468</c:v>
                </c:pt>
                <c:pt idx="41">
                  <c:v>93.3333333333334</c:v>
                </c:pt>
                <c:pt idx="42">
                  <c:v>83.340817242927798</c:v>
                </c:pt>
                <c:pt idx="43">
                  <c:v>80</c:v>
                </c:pt>
                <c:pt idx="45">
                  <c:v>87.283170591613995</c:v>
                </c:pt>
                <c:pt idx="46">
                  <c:v>200</c:v>
                </c:pt>
                <c:pt idx="47">
                  <c:v>93.3333333333334</c:v>
                </c:pt>
                <c:pt idx="48">
                  <c:v>93.3333333333334</c:v>
                </c:pt>
                <c:pt idx="49">
                  <c:v>95.978835978836003</c:v>
                </c:pt>
                <c:pt idx="50">
                  <c:v>98.825931597753993</c:v>
                </c:pt>
                <c:pt idx="51">
                  <c:v>100</c:v>
                </c:pt>
                <c:pt idx="52">
                  <c:v>64.975609756097597</c:v>
                </c:pt>
              </c:numCache>
            </c:numRef>
          </c:val>
          <c:smooth val="0"/>
        </c:ser>
        <c:ser>
          <c:idx val="24"/>
          <c:order val="12"/>
          <c:tx>
            <c:strRef>
              <c:f>'Coffee (Adjusted)'!$AB$6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(Adjusted)'!$AB$7:$AB$107</c:f>
              <c:numCache>
                <c:formatCode>0.0000</c:formatCode>
                <c:ptCount val="71"/>
                <c:pt idx="37">
                  <c:v>89.672232529375407</c:v>
                </c:pt>
                <c:pt idx="38">
                  <c:v>67.208888888888808</c:v>
                </c:pt>
                <c:pt idx="39">
                  <c:v>45.257142857142796</c:v>
                </c:pt>
                <c:pt idx="40">
                  <c:v>47.134803921568604</c:v>
                </c:pt>
                <c:pt idx="41">
                  <c:v>85.713888888888789</c:v>
                </c:pt>
                <c:pt idx="42">
                  <c:v>62.496000000000002</c:v>
                </c:pt>
                <c:pt idx="43">
                  <c:v>67.691428571428602</c:v>
                </c:pt>
                <c:pt idx="44">
                  <c:v>77.766666666666595</c:v>
                </c:pt>
                <c:pt idx="45">
                  <c:v>77.78</c:v>
                </c:pt>
                <c:pt idx="46">
                  <c:v>70.586666666666602</c:v>
                </c:pt>
                <c:pt idx="47">
                  <c:v>62.5</c:v>
                </c:pt>
                <c:pt idx="48">
                  <c:v>37.5</c:v>
                </c:pt>
                <c:pt idx="49">
                  <c:v>33.3333333333334</c:v>
                </c:pt>
                <c:pt idx="50">
                  <c:v>33.335000000000001</c:v>
                </c:pt>
                <c:pt idx="51">
                  <c:v>33.3333333333334</c:v>
                </c:pt>
                <c:pt idx="57">
                  <c:v>100</c:v>
                </c:pt>
                <c:pt idx="58">
                  <c:v>78.75</c:v>
                </c:pt>
                <c:pt idx="60">
                  <c:v>86.760563380281596</c:v>
                </c:pt>
                <c:pt idx="61">
                  <c:v>75</c:v>
                </c:pt>
                <c:pt idx="62">
                  <c:v>131.19999999999999</c:v>
                </c:pt>
              </c:numCache>
            </c:numRef>
          </c:val>
          <c:smooth val="0"/>
        </c:ser>
        <c:ser>
          <c:idx val="25"/>
          <c:order val="13"/>
          <c:tx>
            <c:strRef>
              <c:f>'Coffee (Adjusted)'!$AC$6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(Adjusted)'!$AC$7:$AC$107</c:f>
              <c:numCache>
                <c:formatCode>0.0000</c:formatCode>
                <c:ptCount val="71"/>
                <c:pt idx="37">
                  <c:v>74.596363636363606</c:v>
                </c:pt>
                <c:pt idx="38">
                  <c:v>67.202517162471395</c:v>
                </c:pt>
                <c:pt idx="39">
                  <c:v>50.065882352941202</c:v>
                </c:pt>
                <c:pt idx="40">
                  <c:v>47.130158730158804</c:v>
                </c:pt>
                <c:pt idx="41">
                  <c:v>85.714285714285808</c:v>
                </c:pt>
                <c:pt idx="42">
                  <c:v>59.64</c:v>
                </c:pt>
                <c:pt idx="43">
                  <c:v>67.693333333333399</c:v>
                </c:pt>
                <c:pt idx="44">
                  <c:v>77.7746307910176</c:v>
                </c:pt>
                <c:pt idx="45">
                  <c:v>77.763347763347795</c:v>
                </c:pt>
                <c:pt idx="46">
                  <c:v>82.349206349206398</c:v>
                </c:pt>
                <c:pt idx="47">
                  <c:v>62.5</c:v>
                </c:pt>
                <c:pt idx="48">
                  <c:v>37.5008874689386</c:v>
                </c:pt>
                <c:pt idx="49">
                  <c:v>33.345945945945999</c:v>
                </c:pt>
                <c:pt idx="50">
                  <c:v>33.0902527075812</c:v>
                </c:pt>
                <c:pt idx="51">
                  <c:v>33.3333333333334</c:v>
                </c:pt>
              </c:numCache>
            </c:numRef>
          </c:val>
          <c:smooth val="0"/>
        </c:ser>
        <c:ser>
          <c:idx val="26"/>
          <c:order val="14"/>
          <c:tx>
            <c:strRef>
              <c:f>'Coffee (Adjusted)'!$AD$6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'Coffee (Adjusted)'!$A$7:$A$107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cat>
          <c:val>
            <c:numRef>
              <c:f>'Coffee (Adjusted)'!$AD$7:$AD$107</c:f>
              <c:numCache>
                <c:formatCode>General</c:formatCode>
                <c:ptCount val="71"/>
                <c:pt idx="37" formatCode="0.0000">
                  <c:v>110.18078566716699</c:v>
                </c:pt>
                <c:pt idx="38" formatCode="0.0000">
                  <c:v>62.733931892810403</c:v>
                </c:pt>
                <c:pt idx="39" formatCode="0.0000">
                  <c:v>83.282773300286408</c:v>
                </c:pt>
                <c:pt idx="40" formatCode="0.0000">
                  <c:v>69.470540058775399</c:v>
                </c:pt>
                <c:pt idx="41" formatCode="0.0000">
                  <c:v>34.725634725634798</c:v>
                </c:pt>
                <c:pt idx="42" formatCode="0.0000">
                  <c:v>79.039999999999992</c:v>
                </c:pt>
                <c:pt idx="43" formatCode="0.0000">
                  <c:v>109.60000000000001</c:v>
                </c:pt>
                <c:pt idx="44" formatCode="0.0000">
                  <c:v>66.6666666666666</c:v>
                </c:pt>
                <c:pt idx="45" formatCode="0.0000">
                  <c:v>37</c:v>
                </c:pt>
                <c:pt idx="46" formatCode="0.0000">
                  <c:v>39.200000000000003</c:v>
                </c:pt>
                <c:pt idx="47" formatCode="0.0000">
                  <c:v>38.134763513513604</c:v>
                </c:pt>
                <c:pt idx="48" formatCode="0.0000">
                  <c:v>70.993955810895599</c:v>
                </c:pt>
                <c:pt idx="49" formatCode="0.0000">
                  <c:v>77.499729731667202</c:v>
                </c:pt>
                <c:pt idx="50" formatCode="0.0000">
                  <c:v>97.363836662723202</c:v>
                </c:pt>
                <c:pt idx="51" formatCode="0.0000">
                  <c:v>113.3186813186814</c:v>
                </c:pt>
              </c:numCache>
            </c:numRef>
          </c:val>
          <c:smooth val="0"/>
        </c:ser>
        <c:ser>
          <c:idx val="0"/>
          <c:order val="15"/>
          <c:tx>
            <c:strRef>
              <c:f>'Coffee (Adjusted)'!$AE$6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'Coffee (Adjusted)'!$AE$7:$AE$107</c:f>
              <c:numCache>
                <c:formatCode>General</c:formatCode>
                <c:ptCount val="71"/>
                <c:pt idx="18" formatCode="_(* #,##0.0000_);_(* \(#,##0.0000\);_(* &quot;-&quot;??_);_(@_)">
                  <c:v>51.384595656223425</c:v>
                </c:pt>
                <c:pt idx="19" formatCode="_(* #,##0.0000_);_(* \(#,##0.0000\);_(* &quot;-&quot;??_);_(@_)">
                  <c:v>52.546117159028327</c:v>
                </c:pt>
                <c:pt idx="20" formatCode="_(* #,##0.0000_);_(* \(#,##0.0000\);_(* &quot;-&quot;??_);_(@_)">
                  <c:v>54.023504432690153</c:v>
                </c:pt>
                <c:pt idx="21" formatCode="_(* #,##0.0000_);_(* \(#,##0.0000\);_(* &quot;-&quot;??_);_(@_)">
                  <c:v>53.634126550416482</c:v>
                </c:pt>
                <c:pt idx="22" formatCode="_(* #,##0.0000_);_(* \(#,##0.0000\);_(* &quot;-&quot;??_);_(@_)">
                  <c:v>54.422270232763516</c:v>
                </c:pt>
                <c:pt idx="23" formatCode="_(* #,##0.0000_);_(* \(#,##0.0000\);_(* &quot;-&quot;??_);_(@_)">
                  <c:v>60.987424412123858</c:v>
                </c:pt>
                <c:pt idx="24" formatCode="_(* #,##0.0000_);_(* \(#,##0.0000\);_(* &quot;-&quot;??_);_(@_)">
                  <c:v>81.6870226512535</c:v>
                </c:pt>
                <c:pt idx="25" formatCode="_(* #,##0.0000_);_(* \(#,##0.0000\);_(* &quot;-&quot;??_);_(@_)">
                  <c:v>83.60675543509528</c:v>
                </c:pt>
                <c:pt idx="26" formatCode="_(* #,##0.0000_);_(* \(#,##0.0000\);_(* &quot;-&quot;??_);_(@_)">
                  <c:v>87.46449120345703</c:v>
                </c:pt>
                <c:pt idx="27" formatCode="_(* #,##0.0000_);_(* \(#,##0.0000\);_(* &quot;-&quot;??_);_(@_)">
                  <c:v>89.005582624819993</c:v>
                </c:pt>
                <c:pt idx="28" formatCode="_(* #,##0.0000_);_(* \(#,##0.0000\);_(* &quot;-&quot;??_);_(@_)">
                  <c:v>77.545183075731956</c:v>
                </c:pt>
                <c:pt idx="29" formatCode="_(* #,##0.0000_);_(* \(#,##0.0000\);_(* &quot;-&quot;??_);_(@_)">
                  <c:v>75.95874504116</c:v>
                </c:pt>
                <c:pt idx="30" formatCode="_(* #,##0.0000_);_(* \(#,##0.0000\);_(* &quot;-&quot;??_);_(@_)">
                  <c:v>77.423643560078347</c:v>
                </c:pt>
                <c:pt idx="31" formatCode="_(* #,##0.0000_);_(* \(#,##0.0000\);_(* &quot;-&quot;??_);_(@_)">
                  <c:v>73.20075337126265</c:v>
                </c:pt>
                <c:pt idx="32" formatCode="_(* #,##0.0000_);_(* \(#,##0.0000\);_(* &quot;-&quot;??_);_(@_)">
                  <c:v>70.186699871682862</c:v>
                </c:pt>
                <c:pt idx="33" formatCode="_(* #,##0.0000_);_(* \(#,##0.0000\);_(* &quot;-&quot;??_);_(@_)">
                  <c:v>64.577975351983071</c:v>
                </c:pt>
                <c:pt idx="34" formatCode="_(* #,##0.0000_);_(* \(#,##0.0000\);_(* &quot;-&quot;??_);_(@_)">
                  <c:v>66.915284691278771</c:v>
                </c:pt>
                <c:pt idx="35" formatCode="_(* #,##0.0000_);_(* \(#,##0.0000\);_(* &quot;-&quot;??_);_(@_)">
                  <c:v>59.794629370139617</c:v>
                </c:pt>
                <c:pt idx="36" formatCode="_(* #,##0.0000_);_(* \(#,##0.0000\);_(* &quot;-&quot;??_);_(@_)">
                  <c:v>53.853458185529696</c:v>
                </c:pt>
                <c:pt idx="37" formatCode="_(* #,##0.0000_);_(* \(#,##0.0000\);_(* &quot;-&quot;??_);_(@_)">
                  <c:v>59.143166478858348</c:v>
                </c:pt>
                <c:pt idx="38" formatCode="_(* #,##0.0000_);_(* \(#,##0.0000\);_(* &quot;-&quot;??_);_(@_)">
                  <c:v>78.47642277650661</c:v>
                </c:pt>
                <c:pt idx="39" formatCode="_(* #,##0.0000_);_(* \(#,##0.0000\);_(* &quot;-&quot;??_);_(@_)">
                  <c:v>72.093877679147624</c:v>
                </c:pt>
                <c:pt idx="40" formatCode="_(* #,##0.0000_);_(* \(#,##0.0000\);_(* &quot;-&quot;??_);_(@_)">
                  <c:v>97.085906655268815</c:v>
                </c:pt>
                <c:pt idx="41" formatCode="_(* #,##0.0000_);_(* \(#,##0.0000\);_(* &quot;-&quot;??_);_(@_)">
                  <c:v>91.947529538268057</c:v>
                </c:pt>
                <c:pt idx="42" formatCode="_(* #,##0.0000_);_(* \(#,##0.0000\);_(* &quot;-&quot;??_);_(@_)">
                  <c:v>83.344785078198115</c:v>
                </c:pt>
                <c:pt idx="43" formatCode="_(* #,##0.0000_);_(* \(#,##0.0000\);_(* &quot;-&quot;??_);_(@_)">
                  <c:v>87.082396487881113</c:v>
                </c:pt>
                <c:pt idx="44" formatCode="_(* #,##0.0000_);_(* \(#,##0.0000\);_(* &quot;-&quot;??_);_(@_)">
                  <c:v>71.821267824411038</c:v>
                </c:pt>
                <c:pt idx="45" formatCode="_(* #,##0.0000_);_(* \(#,##0.0000\);_(* &quot;-&quot;??_);_(@_)">
                  <c:v>75.4692321377876</c:v>
                </c:pt>
                <c:pt idx="46" formatCode="_(* #,##0.0000_);_(* \(#,##0.0000\);_(* &quot;-&quot;??_);_(@_)">
                  <c:v>86.797241738323549</c:v>
                </c:pt>
                <c:pt idx="47" formatCode="_(* #,##0.0000_);_(* \(#,##0.0000\);_(* &quot;-&quot;??_);_(@_)">
                  <c:v>92.393338041750297</c:v>
                </c:pt>
                <c:pt idx="48" formatCode="_(* #,##0.0000_);_(* \(#,##0.0000\);_(* &quot;-&quot;??_);_(@_)">
                  <c:v>81.922141016567622</c:v>
                </c:pt>
                <c:pt idx="49" formatCode="_(* #,##0.0000_);_(* \(#,##0.0000\);_(* &quot;-&quot;??_);_(@_)">
                  <c:v>86.393118464318519</c:v>
                </c:pt>
                <c:pt idx="50" formatCode="_(* #,##0.0000_);_(* \(#,##0.0000\);_(* &quot;-&quot;??_);_(@_)">
                  <c:v>70.360650144124989</c:v>
                </c:pt>
                <c:pt idx="51" formatCode="_(* #,##0.0000_);_(* \(#,##0.0000\);_(* &quot;-&quot;??_);_(@_)">
                  <c:v>66.466231926989707</c:v>
                </c:pt>
                <c:pt idx="52" formatCode="_(* #,##0.0000_);_(* \(#,##0.0000\);_(* &quot;-&quot;??_);_(@_)">
                  <c:v>65.360215180244822</c:v>
                </c:pt>
                <c:pt idx="53" formatCode="_(* #,##0.0000_);_(* \(#,##0.0000\);_(* &quot;-&quot;??_);_(@_)">
                  <c:v>65.449965634462131</c:v>
                </c:pt>
                <c:pt idx="54" formatCode="_(* #,##0.0000_);_(* \(#,##0.0000\);_(* &quot;-&quot;??_);_(@_)">
                  <c:v>62.597251883235934</c:v>
                </c:pt>
                <c:pt idx="55" formatCode="_(* #,##0.0000_);_(* \(#,##0.0000\);_(* &quot;-&quot;??_);_(@_)">
                  <c:v>67.18198557851278</c:v>
                </c:pt>
                <c:pt idx="56" formatCode="_(* #,##0.0000_);_(* \(#,##0.0000\);_(* &quot;-&quot;??_);_(@_)">
                  <c:v>65.030956571955286</c:v>
                </c:pt>
                <c:pt idx="57" formatCode="_(* #,##0.0000_);_(* \(#,##0.0000\);_(* &quot;-&quot;??_);_(@_)">
                  <c:v>58.249581312967464</c:v>
                </c:pt>
                <c:pt idx="58" formatCode="_(* #,##0.0000_);_(* \(#,##0.0000\);_(* &quot;-&quot;??_);_(@_)">
                  <c:v>60.844436073601543</c:v>
                </c:pt>
                <c:pt idx="59" formatCode="_(* #,##0.0000_);_(* \(#,##0.0000\);_(* &quot;-&quot;??_);_(@_)">
                  <c:v>61.363278171788807</c:v>
                </c:pt>
                <c:pt idx="60" formatCode="_(* #,##0.0000_);_(* \(#,##0.0000\);_(* &quot;-&quot;??_);_(@_)">
                  <c:v>62.837026370650563</c:v>
                </c:pt>
                <c:pt idx="61" formatCode="_(* #,##0.0000_);_(* \(#,##0.0000\);_(* &quot;-&quot;??_);_(@_)">
                  <c:v>65.215446154072197</c:v>
                </c:pt>
                <c:pt idx="62" formatCode="_(* #,##0.0000_);_(* \(#,##0.0000\);_(* &quot;-&quot;??_);_(@_)">
                  <c:v>74.450919800070508</c:v>
                </c:pt>
                <c:pt idx="63" formatCode="_(* #,##0.0000_);_(* \(#,##0.0000\);_(* &quot;-&quot;??_);_(@_)">
                  <c:v>78.171459820659379</c:v>
                </c:pt>
                <c:pt idx="64" formatCode="_(* #,##0.0000_);_(* \(#,##0.0000\);_(* &quot;-&quot;??_);_(@_)">
                  <c:v>78.830473258945744</c:v>
                </c:pt>
                <c:pt idx="65" formatCode="_(* #,##0.0000_);_(* \(#,##0.0000\);_(* &quot;-&quot;??_);_(@_)">
                  <c:v>75.932353974255676</c:v>
                </c:pt>
                <c:pt idx="66" formatCode="_(* #,##0.0000_);_(* \(#,##0.0000\);_(* &quot;-&quot;??_);_(@_)">
                  <c:v>74.47774287573931</c:v>
                </c:pt>
                <c:pt idx="67" formatCode="_(* #,##0.0000_);_(* \(#,##0.0000\);_(* &quot;-&quot;??_);_(@_)">
                  <c:v>72.595682711123914</c:v>
                </c:pt>
                <c:pt idx="68" formatCode="_(* #,##0.0000_);_(* \(#,##0.0000\);_(* &quot;-&quot;??_);_(@_)">
                  <c:v>67.716854346291925</c:v>
                </c:pt>
                <c:pt idx="69" formatCode="_(* #,##0.0000_);_(* \(#,##0.0000\);_(* &quot;-&quot;??_);_(@_)">
                  <c:v>72.845806026434289</c:v>
                </c:pt>
                <c:pt idx="70" formatCode="_(* #,##0.0000_);_(* \(#,##0.0000\);_(* &quot;-&quot;??_);_(@_)">
                  <c:v>125.76597532295523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38800"/>
        <c:axId val="406639360"/>
      </c:lineChart>
      <c:catAx>
        <c:axId val="4066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639360"/>
        <c:crosses val="autoZero"/>
        <c:auto val="1"/>
        <c:lblAlgn val="ctr"/>
        <c:lblOffset val="100"/>
        <c:noMultiLvlLbl val="0"/>
      </c:catAx>
      <c:valAx>
        <c:axId val="40663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63880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47122307012395"/>
          <c:y val="0.18965593802285285"/>
          <c:w val="0.22110204171136705"/>
          <c:h val="0.68889034263466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(All)'!$H$7:$H$107</c:f>
              <c:numCache>
                <c:formatCode>0.0000</c:formatCode>
                <c:ptCount val="71"/>
                <c:pt idx="37">
                  <c:v>46.614510197258525</c:v>
                </c:pt>
                <c:pt idx="38">
                  <c:v>48.204463176095516</c:v>
                </c:pt>
                <c:pt idx="39">
                  <c:v>47.010515773660543</c:v>
                </c:pt>
                <c:pt idx="40">
                  <c:v>47.636992885983425</c:v>
                </c:pt>
                <c:pt idx="41">
                  <c:v>49.042122005027871</c:v>
                </c:pt>
                <c:pt idx="42">
                  <c:v>93.3333333333334</c:v>
                </c:pt>
                <c:pt idx="43">
                  <c:v>93.3333333333334</c:v>
                </c:pt>
                <c:pt idx="44">
                  <c:v>79.999999999999972</c:v>
                </c:pt>
                <c:pt idx="45">
                  <c:v>79.999999999999972</c:v>
                </c:pt>
                <c:pt idx="46">
                  <c:v>79.999999999999972</c:v>
                </c:pt>
                <c:pt idx="47">
                  <c:v>79.999999999999972</c:v>
                </c:pt>
                <c:pt idx="48">
                  <c:v>79.999999999999972</c:v>
                </c:pt>
                <c:pt idx="49">
                  <c:v>79.999999999999972</c:v>
                </c:pt>
                <c:pt idx="50">
                  <c:v>53.273942093541123</c:v>
                </c:pt>
                <c:pt idx="51">
                  <c:v>79.108932947204394</c:v>
                </c:pt>
                <c:pt idx="52">
                  <c:v>53.333333333333314</c:v>
                </c:pt>
                <c:pt idx="53">
                  <c:v>40.000000000000099</c:v>
                </c:pt>
                <c:pt idx="54">
                  <c:v>43.333545121460382</c:v>
                </c:pt>
                <c:pt idx="55">
                  <c:v>43.333126563695366</c:v>
                </c:pt>
                <c:pt idx="56">
                  <c:v>45.33349166765619</c:v>
                </c:pt>
                <c:pt idx="57">
                  <c:v>46.666203156504288</c:v>
                </c:pt>
                <c:pt idx="58">
                  <c:v>40.000000000000099</c:v>
                </c:pt>
                <c:pt idx="59">
                  <c:v>41.333024047011428</c:v>
                </c:pt>
                <c:pt idx="60">
                  <c:v>42.000152975370916</c:v>
                </c:pt>
                <c:pt idx="61">
                  <c:v>53.333333333333314</c:v>
                </c:pt>
                <c:pt idx="62">
                  <c:v>53.333333333333314</c:v>
                </c:pt>
                <c:pt idx="63">
                  <c:v>53.333333333333314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(All)'!$H$7:$H$107</c:f>
              <c:numCache>
                <c:formatCode>0.0000</c:formatCode>
                <c:ptCount val="71"/>
                <c:pt idx="37">
                  <c:v>46.614510197258525</c:v>
                </c:pt>
                <c:pt idx="38">
                  <c:v>48.204463176095516</c:v>
                </c:pt>
                <c:pt idx="39">
                  <c:v>47.010515773660543</c:v>
                </c:pt>
                <c:pt idx="40">
                  <c:v>47.636992885983425</c:v>
                </c:pt>
                <c:pt idx="41">
                  <c:v>49.042122005027871</c:v>
                </c:pt>
                <c:pt idx="42">
                  <c:v>93.3333333333334</c:v>
                </c:pt>
                <c:pt idx="43">
                  <c:v>93.3333333333334</c:v>
                </c:pt>
                <c:pt idx="44">
                  <c:v>79.999999999999972</c:v>
                </c:pt>
                <c:pt idx="45">
                  <c:v>79.999999999999972</c:v>
                </c:pt>
                <c:pt idx="46">
                  <c:v>79.999999999999972</c:v>
                </c:pt>
                <c:pt idx="47">
                  <c:v>79.999999999999972</c:v>
                </c:pt>
                <c:pt idx="48">
                  <c:v>79.999999999999972</c:v>
                </c:pt>
                <c:pt idx="49">
                  <c:v>79.999999999999972</c:v>
                </c:pt>
                <c:pt idx="50">
                  <c:v>53.273942093541123</c:v>
                </c:pt>
                <c:pt idx="51">
                  <c:v>79.108932947204394</c:v>
                </c:pt>
                <c:pt idx="52">
                  <c:v>53.333333333333314</c:v>
                </c:pt>
                <c:pt idx="53">
                  <c:v>40.000000000000099</c:v>
                </c:pt>
                <c:pt idx="54">
                  <c:v>43.333545121460382</c:v>
                </c:pt>
                <c:pt idx="55">
                  <c:v>43.333126563695366</c:v>
                </c:pt>
                <c:pt idx="56">
                  <c:v>45.33349166765619</c:v>
                </c:pt>
                <c:pt idx="57">
                  <c:v>46.666203156504288</c:v>
                </c:pt>
                <c:pt idx="58">
                  <c:v>40.000000000000099</c:v>
                </c:pt>
                <c:pt idx="59">
                  <c:v>41.333024047011428</c:v>
                </c:pt>
                <c:pt idx="60">
                  <c:v>42.000152975370916</c:v>
                </c:pt>
                <c:pt idx="61">
                  <c:v>53.333333333333314</c:v>
                </c:pt>
                <c:pt idx="62">
                  <c:v>53.333333333333314</c:v>
                </c:pt>
                <c:pt idx="63">
                  <c:v>53.333333333333314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61744"/>
        <c:axId val="604061184"/>
      </c:scatterChart>
      <c:valAx>
        <c:axId val="6040617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61184"/>
        <c:crosses val="autoZero"/>
        <c:crossBetween val="midCat"/>
        <c:majorUnit val="5"/>
      </c:valAx>
      <c:valAx>
        <c:axId val="6040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61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(All)'!$K$7:$K$107</c:f>
              <c:numCache>
                <c:formatCode>0.0000</c:formatCode>
                <c:ptCount val="71"/>
                <c:pt idx="34">
                  <c:v>81.454545454545524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(All)'!$K$7:$K$107</c:f>
              <c:numCache>
                <c:formatCode>0.0000</c:formatCode>
                <c:ptCount val="71"/>
                <c:pt idx="34">
                  <c:v>81.454545454545524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58384"/>
        <c:axId val="604057824"/>
      </c:scatterChart>
      <c:valAx>
        <c:axId val="6040583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57824"/>
        <c:crosses val="autoZero"/>
        <c:crossBetween val="midCat"/>
        <c:majorUnit val="5"/>
      </c:valAx>
      <c:valAx>
        <c:axId val="6040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583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(All)'!$L$7:$L$107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(All)'!$L$7:$L$107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55024"/>
        <c:axId val="604054464"/>
      </c:scatterChart>
      <c:valAx>
        <c:axId val="6040550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54464"/>
        <c:crosses val="autoZero"/>
        <c:crossBetween val="midCat"/>
        <c:majorUnit val="5"/>
      </c:valAx>
      <c:valAx>
        <c:axId val="60405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550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(All)'!$M$7:$M$107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(All)'!$M$7:$M$107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51664"/>
        <c:axId val="604051104"/>
      </c:scatterChart>
      <c:valAx>
        <c:axId val="6040516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51104"/>
        <c:crosses val="autoZero"/>
        <c:crossBetween val="midCat"/>
        <c:majorUnit val="5"/>
      </c:valAx>
      <c:valAx>
        <c:axId val="6040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516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(All)'!$T$7:$T$107</c:f>
              <c:numCache>
                <c:formatCode>0.0000</c:formatCode>
                <c:ptCount val="71"/>
                <c:pt idx="32">
                  <c:v>65.454545454545453</c:v>
                </c:pt>
                <c:pt idx="34">
                  <c:v>75.719298245614041</c:v>
                </c:pt>
                <c:pt idx="35">
                  <c:v>79.514767932489434</c:v>
                </c:pt>
                <c:pt idx="36">
                  <c:v>97.013429544998999</c:v>
                </c:pt>
                <c:pt idx="37">
                  <c:v>233.62122495060686</c:v>
                </c:pt>
                <c:pt idx="38">
                  <c:v>216.16464704750913</c:v>
                </c:pt>
                <c:pt idx="39">
                  <c:v>40.928859894377133</c:v>
                </c:pt>
                <c:pt idx="40">
                  <c:v>115.14285714285714</c:v>
                </c:pt>
                <c:pt idx="41">
                  <c:v>115.10857142857142</c:v>
                </c:pt>
                <c:pt idx="42">
                  <c:v>115.19999999999999</c:v>
                </c:pt>
                <c:pt idx="43">
                  <c:v>106.66666666666666</c:v>
                </c:pt>
                <c:pt idx="44">
                  <c:v>101.58730158730158</c:v>
                </c:pt>
                <c:pt idx="48">
                  <c:v>16.074418604651164</c:v>
                </c:pt>
                <c:pt idx="51">
                  <c:v>47.41379310344827</c:v>
                </c:pt>
                <c:pt idx="52">
                  <c:v>47.770700636942678</c:v>
                </c:pt>
                <c:pt idx="53">
                  <c:v>48.421052631578945</c:v>
                </c:pt>
                <c:pt idx="54">
                  <c:v>61.871345029239762</c:v>
                </c:pt>
                <c:pt idx="58">
                  <c:v>55.555555555555557</c:v>
                </c:pt>
                <c:pt idx="59">
                  <c:v>87.5</c:v>
                </c:pt>
                <c:pt idx="60">
                  <c:v>74</c:v>
                </c:pt>
                <c:pt idx="61">
                  <c:v>80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(All)'!$T$7:$T$107</c:f>
              <c:numCache>
                <c:formatCode>0.0000</c:formatCode>
                <c:ptCount val="71"/>
                <c:pt idx="32">
                  <c:v>65.454545454545453</c:v>
                </c:pt>
                <c:pt idx="34">
                  <c:v>75.719298245614041</c:v>
                </c:pt>
                <c:pt idx="35">
                  <c:v>79.514767932489434</c:v>
                </c:pt>
                <c:pt idx="36">
                  <c:v>97.013429544998999</c:v>
                </c:pt>
                <c:pt idx="37">
                  <c:v>233.62122495060686</c:v>
                </c:pt>
                <c:pt idx="38">
                  <c:v>216.16464704750913</c:v>
                </c:pt>
                <c:pt idx="39">
                  <c:v>40.928859894377133</c:v>
                </c:pt>
                <c:pt idx="40">
                  <c:v>115.14285714285714</c:v>
                </c:pt>
                <c:pt idx="41">
                  <c:v>115.10857142857142</c:v>
                </c:pt>
                <c:pt idx="42">
                  <c:v>115.19999999999999</c:v>
                </c:pt>
                <c:pt idx="43">
                  <c:v>106.66666666666666</c:v>
                </c:pt>
                <c:pt idx="44">
                  <c:v>101.58730158730158</c:v>
                </c:pt>
                <c:pt idx="48">
                  <c:v>16.074418604651164</c:v>
                </c:pt>
                <c:pt idx="51">
                  <c:v>47.41379310344827</c:v>
                </c:pt>
                <c:pt idx="52">
                  <c:v>47.770700636942678</c:v>
                </c:pt>
                <c:pt idx="53">
                  <c:v>48.421052631578945</c:v>
                </c:pt>
                <c:pt idx="54">
                  <c:v>61.871345029239762</c:v>
                </c:pt>
                <c:pt idx="58">
                  <c:v>55.555555555555557</c:v>
                </c:pt>
                <c:pt idx="59">
                  <c:v>87.5</c:v>
                </c:pt>
                <c:pt idx="60">
                  <c:v>74</c:v>
                </c:pt>
                <c:pt idx="61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48304"/>
        <c:axId val="604047744"/>
      </c:scatterChart>
      <c:valAx>
        <c:axId val="6040483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47744"/>
        <c:crosses val="autoZero"/>
        <c:crossBetween val="midCat"/>
        <c:majorUnit val="5"/>
      </c:valAx>
      <c:valAx>
        <c:axId val="6040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48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(All)'!$U$7:$U$107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(All)'!$U$7:$U$107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801248"/>
        <c:axId val="572804608"/>
      </c:scatterChart>
      <c:valAx>
        <c:axId val="572801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2804608"/>
        <c:crosses val="autoZero"/>
        <c:crossBetween val="midCat"/>
        <c:majorUnit val="5"/>
      </c:valAx>
      <c:valAx>
        <c:axId val="5728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2801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(All)'!$V$7:$V$107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(All)'!$V$7:$V$107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53104"/>
        <c:axId val="186895184"/>
      </c:scatterChart>
      <c:valAx>
        <c:axId val="986531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95184"/>
        <c:crosses val="autoZero"/>
        <c:crossBetween val="midCat"/>
        <c:majorUnit val="5"/>
      </c:valAx>
      <c:valAx>
        <c:axId val="18689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6531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(All)'!$W$7:$W$107</c:f>
              <c:numCache>
                <c:formatCode>0.0000</c:formatCode>
                <c:ptCount val="71"/>
                <c:pt idx="26">
                  <c:v>101.81818181818183</c:v>
                </c:pt>
                <c:pt idx="28">
                  <c:v>80.181818181818187</c:v>
                </c:pt>
                <c:pt idx="29">
                  <c:v>111.86424242424242</c:v>
                </c:pt>
                <c:pt idx="30">
                  <c:v>64.838661710037172</c:v>
                </c:pt>
                <c:pt idx="31">
                  <c:v>61.090909090909086</c:v>
                </c:pt>
                <c:pt idx="32">
                  <c:v>61.090909090909086</c:v>
                </c:pt>
                <c:pt idx="33">
                  <c:v>71.176973496722709</c:v>
                </c:pt>
                <c:pt idx="43">
                  <c:v>63.333333333333329</c:v>
                </c:pt>
                <c:pt idx="45">
                  <c:v>52.168242582328006</c:v>
                </c:pt>
                <c:pt idx="46">
                  <c:v>50.7134</c:v>
                </c:pt>
                <c:pt idx="48">
                  <c:v>29.126766666666665</c:v>
                </c:pt>
                <c:pt idx="49">
                  <c:v>36.984220000000001</c:v>
                </c:pt>
                <c:pt idx="50">
                  <c:v>38.945454545454545</c:v>
                </c:pt>
                <c:pt idx="51">
                  <c:v>41.575757575757578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(All)'!$W$7:$W$107</c:f>
              <c:numCache>
                <c:formatCode>0.0000</c:formatCode>
                <c:ptCount val="71"/>
                <c:pt idx="26">
                  <c:v>101.81818181818183</c:v>
                </c:pt>
                <c:pt idx="28">
                  <c:v>80.181818181818187</c:v>
                </c:pt>
                <c:pt idx="29">
                  <c:v>111.86424242424242</c:v>
                </c:pt>
                <c:pt idx="30">
                  <c:v>64.838661710037172</c:v>
                </c:pt>
                <c:pt idx="31">
                  <c:v>61.090909090909086</c:v>
                </c:pt>
                <c:pt idx="32">
                  <c:v>61.090909090909086</c:v>
                </c:pt>
                <c:pt idx="33">
                  <c:v>71.176973496722709</c:v>
                </c:pt>
                <c:pt idx="43">
                  <c:v>63.333333333333329</c:v>
                </c:pt>
                <c:pt idx="45">
                  <c:v>52.168242582328006</c:v>
                </c:pt>
                <c:pt idx="46">
                  <c:v>50.7134</c:v>
                </c:pt>
                <c:pt idx="48">
                  <c:v>29.126766666666665</c:v>
                </c:pt>
                <c:pt idx="49">
                  <c:v>36.984220000000001</c:v>
                </c:pt>
                <c:pt idx="50">
                  <c:v>38.945454545454545</c:v>
                </c:pt>
                <c:pt idx="51">
                  <c:v>41.575757575757578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97984"/>
        <c:axId val="186898544"/>
      </c:scatterChart>
      <c:valAx>
        <c:axId val="186897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98544"/>
        <c:crosses val="autoZero"/>
        <c:crossBetween val="midCat"/>
        <c:majorUnit val="5"/>
      </c:valAx>
      <c:valAx>
        <c:axId val="18689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97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(All)'!$Y$7:$Y$107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(All)'!$Y$7:$Y$107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901344"/>
        <c:axId val="186901904"/>
      </c:scatterChart>
      <c:valAx>
        <c:axId val="186901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901904"/>
        <c:crosses val="autoZero"/>
        <c:crossBetween val="midCat"/>
        <c:majorUnit val="5"/>
      </c:valAx>
      <c:valAx>
        <c:axId val="1869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901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(All)'!$C$7:$C$107</c:f>
              <c:numCache>
                <c:formatCode>0.0000</c:formatCode>
                <c:ptCount val="71"/>
                <c:pt idx="4">
                  <c:v>53.058577519236813</c:v>
                </c:pt>
                <c:pt idx="5">
                  <c:v>59.149915037084924</c:v>
                </c:pt>
                <c:pt idx="6">
                  <c:v>58.881160334527678</c:v>
                </c:pt>
                <c:pt idx="7">
                  <c:v>65.438329344781906</c:v>
                </c:pt>
                <c:pt idx="8">
                  <c:v>64.296875320494266</c:v>
                </c:pt>
                <c:pt idx="9">
                  <c:v>67.028660798129792</c:v>
                </c:pt>
                <c:pt idx="10">
                  <c:v>68.831253179227573</c:v>
                </c:pt>
                <c:pt idx="11">
                  <c:v>70.493010434069078</c:v>
                </c:pt>
                <c:pt idx="12">
                  <c:v>78.683919681775961</c:v>
                </c:pt>
                <c:pt idx="13">
                  <c:v>79.314873173087378</c:v>
                </c:pt>
                <c:pt idx="14">
                  <c:v>73.921682171917126</c:v>
                </c:pt>
                <c:pt idx="15">
                  <c:v>74.599999999999994</c:v>
                </c:pt>
                <c:pt idx="16">
                  <c:v>72.2</c:v>
                </c:pt>
                <c:pt idx="17">
                  <c:v>71</c:v>
                </c:pt>
                <c:pt idx="18">
                  <c:v>62.599999999999994</c:v>
                </c:pt>
                <c:pt idx="19">
                  <c:v>63.6</c:v>
                </c:pt>
                <c:pt idx="20">
                  <c:v>61.6</c:v>
                </c:pt>
                <c:pt idx="21">
                  <c:v>63</c:v>
                </c:pt>
                <c:pt idx="22">
                  <c:v>70.8</c:v>
                </c:pt>
                <c:pt idx="23">
                  <c:v>88.4</c:v>
                </c:pt>
                <c:pt idx="24">
                  <c:v>100.60000000000001</c:v>
                </c:pt>
                <c:pt idx="25">
                  <c:v>94.600000000000009</c:v>
                </c:pt>
                <c:pt idx="26">
                  <c:v>93.6</c:v>
                </c:pt>
                <c:pt idx="27">
                  <c:v>96.6</c:v>
                </c:pt>
                <c:pt idx="28">
                  <c:v>93.2</c:v>
                </c:pt>
                <c:pt idx="29">
                  <c:v>88</c:v>
                </c:pt>
                <c:pt idx="30">
                  <c:v>88.800000000000011</c:v>
                </c:pt>
                <c:pt idx="31">
                  <c:v>77.400000000000006</c:v>
                </c:pt>
                <c:pt idx="32">
                  <c:v>76.2</c:v>
                </c:pt>
                <c:pt idx="33">
                  <c:v>70.199999999999989</c:v>
                </c:pt>
                <c:pt idx="34">
                  <c:v>66</c:v>
                </c:pt>
                <c:pt idx="35">
                  <c:v>63.8</c:v>
                </c:pt>
                <c:pt idx="36">
                  <c:v>65.400000000000006</c:v>
                </c:pt>
                <c:pt idx="37">
                  <c:v>81.199999999999989</c:v>
                </c:pt>
                <c:pt idx="38">
                  <c:v>75.400000000000006</c:v>
                </c:pt>
                <c:pt idx="39">
                  <c:v>83.4</c:v>
                </c:pt>
                <c:pt idx="40">
                  <c:v>92.6</c:v>
                </c:pt>
                <c:pt idx="41">
                  <c:v>94.600000000000009</c:v>
                </c:pt>
                <c:pt idx="42">
                  <c:v>93</c:v>
                </c:pt>
                <c:pt idx="43">
                  <c:v>96.4</c:v>
                </c:pt>
                <c:pt idx="44">
                  <c:v>96.4</c:v>
                </c:pt>
                <c:pt idx="45">
                  <c:v>97.6</c:v>
                </c:pt>
                <c:pt idx="46">
                  <c:v>99.800000000000011</c:v>
                </c:pt>
                <c:pt idx="47">
                  <c:v>94.800000000000011</c:v>
                </c:pt>
                <c:pt idx="48">
                  <c:v>77.8</c:v>
                </c:pt>
                <c:pt idx="49">
                  <c:v>67.599999999999994</c:v>
                </c:pt>
                <c:pt idx="50">
                  <c:v>67</c:v>
                </c:pt>
                <c:pt idx="51">
                  <c:v>69.400000000000006</c:v>
                </c:pt>
                <c:pt idx="52">
                  <c:v>56.8</c:v>
                </c:pt>
                <c:pt idx="53">
                  <c:v>54.800000000000004</c:v>
                </c:pt>
                <c:pt idx="54">
                  <c:v>63</c:v>
                </c:pt>
                <c:pt idx="55">
                  <c:v>55.4</c:v>
                </c:pt>
                <c:pt idx="56">
                  <c:v>52.800000000000004</c:v>
                </c:pt>
                <c:pt idx="57">
                  <c:v>46.2</c:v>
                </c:pt>
                <c:pt idx="58">
                  <c:v>55.599999999999994</c:v>
                </c:pt>
                <c:pt idx="59">
                  <c:v>50.599999999999994</c:v>
                </c:pt>
                <c:pt idx="60">
                  <c:v>49.2</c:v>
                </c:pt>
                <c:pt idx="61">
                  <c:v>63.2</c:v>
                </c:pt>
                <c:pt idx="62">
                  <c:v>74.800000000000011</c:v>
                </c:pt>
                <c:pt idx="63">
                  <c:v>69</c:v>
                </c:pt>
                <c:pt idx="64">
                  <c:v>68.400000000000006</c:v>
                </c:pt>
                <c:pt idx="65">
                  <c:v>67.400000000000006</c:v>
                </c:pt>
                <c:pt idx="66">
                  <c:v>58</c:v>
                </c:pt>
                <c:pt idx="67">
                  <c:v>70</c:v>
                </c:pt>
                <c:pt idx="68">
                  <c:v>89.2</c:v>
                </c:pt>
                <c:pt idx="69">
                  <c:v>112.4</c:v>
                </c:pt>
                <c:pt idx="70">
                  <c:v>120.8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11952"/>
        <c:axId val="308412512"/>
      </c:scatterChart>
      <c:valAx>
        <c:axId val="308411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12512"/>
        <c:crosses val="autoZero"/>
        <c:crossBetween val="midCat"/>
        <c:majorUnit val="5"/>
      </c:valAx>
      <c:valAx>
        <c:axId val="30841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11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(All)'!$X$7:$X$107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(All)'!$X$7:$X$107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47344"/>
        <c:axId val="538347904"/>
      </c:scatterChart>
      <c:valAx>
        <c:axId val="538347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47904"/>
        <c:crosses val="autoZero"/>
        <c:crossBetween val="midCat"/>
        <c:majorUnit val="5"/>
      </c:valAx>
      <c:valAx>
        <c:axId val="53834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47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(Malatya),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(All)'!$Z$7:$Z$107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(All)'!$Z$7:$Z$107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50704"/>
        <c:axId val="538351264"/>
      </c:scatterChart>
      <c:valAx>
        <c:axId val="5383507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51264"/>
        <c:crosses val="autoZero"/>
        <c:crossBetween val="midCat"/>
        <c:majorUnit val="5"/>
      </c:valAx>
      <c:valAx>
        <c:axId val="53835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50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(Geyve),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(All)'!$AC$7:$AC$107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(All)'!$AC$7:$AC$107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515760"/>
        <c:axId val="537516320"/>
      </c:scatterChart>
      <c:valAx>
        <c:axId val="537515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7516320"/>
        <c:crosses val="autoZero"/>
        <c:crossBetween val="midCat"/>
        <c:majorUnit val="5"/>
      </c:valAx>
      <c:valAx>
        <c:axId val="53751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7515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Exports,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(All)'!$AA$7:$AA$107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(All)'!$AA$7:$AA$107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519120"/>
        <c:axId val="537519680"/>
      </c:scatterChart>
      <c:valAx>
        <c:axId val="537519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7519680"/>
        <c:crosses val="autoZero"/>
        <c:crossBetween val="midCat"/>
        <c:majorUnit val="5"/>
      </c:valAx>
      <c:valAx>
        <c:axId val="53751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7519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Bazaar (Local),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(All)'!$AB$7:$AB$107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(All)'!$AB$7:$AB$107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522480"/>
        <c:axId val="300537936"/>
      </c:scatterChart>
      <c:valAx>
        <c:axId val="537522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37936"/>
        <c:crosses val="autoZero"/>
        <c:crossBetween val="midCat"/>
        <c:majorUnit val="5"/>
      </c:valAx>
      <c:valAx>
        <c:axId val="3005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7522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(All)'!$AD$7:$AD$107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(All)'!$AD$7:$AD$107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540736"/>
        <c:axId val="300541296"/>
      </c:scatterChart>
      <c:valAx>
        <c:axId val="300540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1296"/>
        <c:crosses val="autoZero"/>
        <c:crossBetween val="midCat"/>
        <c:majorUnit val="5"/>
      </c:valAx>
      <c:valAx>
        <c:axId val="3005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0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(All)'!$AE$7:$AE$107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(All)'!$AE$7:$AE$107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544096"/>
        <c:axId val="300544656"/>
      </c:scatterChart>
      <c:valAx>
        <c:axId val="300544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4656"/>
        <c:crosses val="autoZero"/>
        <c:crossBetween val="midCat"/>
        <c:majorUnit val="5"/>
      </c:valAx>
      <c:valAx>
        <c:axId val="30054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544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(All)'!$AJ$7:$AJ$107</c:f>
              <c:numCache>
                <c:formatCode>0.0000</c:formatCode>
                <c:ptCount val="71"/>
                <c:pt idx="60">
                  <c:v>43.022820800598581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(All)'!$AJ$7:$AJ$107</c:f>
              <c:numCache>
                <c:formatCode>0.0000</c:formatCode>
                <c:ptCount val="71"/>
                <c:pt idx="60">
                  <c:v>43.022820800598581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25776"/>
        <c:axId val="184926336"/>
      </c:scatterChart>
      <c:valAx>
        <c:axId val="184925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926336"/>
        <c:crosses val="autoZero"/>
        <c:crossBetween val="midCat"/>
        <c:majorUnit val="5"/>
      </c:valAx>
      <c:valAx>
        <c:axId val="18492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925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(All)'!$AI$7:$AI$107</c:f>
              <c:numCache>
                <c:formatCode>0.0000</c:formatCode>
                <c:ptCount val="71"/>
                <c:pt idx="60">
                  <c:v>49.734338317064129</c:v>
                </c:pt>
                <c:pt idx="61">
                  <c:v>68.285912560721727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(All)'!$AI$7:$AI$107</c:f>
              <c:numCache>
                <c:formatCode>0.0000</c:formatCode>
                <c:ptCount val="71"/>
                <c:pt idx="60">
                  <c:v>49.734338317064129</c:v>
                </c:pt>
                <c:pt idx="61">
                  <c:v>68.285912560721727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29136"/>
        <c:axId val="184929696"/>
      </c:scatterChart>
      <c:valAx>
        <c:axId val="184929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929696"/>
        <c:crosses val="autoZero"/>
        <c:crossBetween val="midCat"/>
        <c:majorUnit val="5"/>
      </c:valAx>
      <c:valAx>
        <c:axId val="18492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929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(All)'!$AK$7:$AK$107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(All)'!$AK$7:$AK$107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83664"/>
        <c:axId val="343684224"/>
      </c:scatterChart>
      <c:valAx>
        <c:axId val="3436836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3684224"/>
        <c:crosses val="autoZero"/>
        <c:crossBetween val="midCat"/>
        <c:majorUnit val="5"/>
      </c:valAx>
      <c:valAx>
        <c:axId val="34368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36836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(All)'!$F$7:$F$107</c:f>
              <c:numCache>
                <c:formatCode>0.0000</c:formatCode>
                <c:ptCount val="71"/>
                <c:pt idx="27">
                  <c:v>49.527739735265342</c:v>
                </c:pt>
                <c:pt idx="28">
                  <c:v>51.874999999999901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19232"/>
        <c:axId val="308419792"/>
      </c:scatterChart>
      <c:valAx>
        <c:axId val="308419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19792"/>
        <c:crosses val="autoZero"/>
        <c:crossBetween val="midCat"/>
        <c:majorUnit val="5"/>
      </c:valAx>
      <c:valAx>
        <c:axId val="30841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19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(All)'!$AL$7:$AL$107</c:f>
              <c:numCache>
                <c:formatCode>0.0000</c:formatCode>
                <c:ptCount val="71"/>
                <c:pt idx="35">
                  <c:v>60.486048604860478</c:v>
                </c:pt>
                <c:pt idx="37">
                  <c:v>108.11881188118819</c:v>
                </c:pt>
                <c:pt idx="47">
                  <c:v>48.47</c:v>
                </c:pt>
                <c:pt idx="57">
                  <c:v>38.596491228070178</c:v>
                </c:pt>
                <c:pt idx="60">
                  <c:v>48.07692307692308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(All)'!$AL$7:$AL$107</c:f>
              <c:numCache>
                <c:formatCode>0.0000</c:formatCode>
                <c:ptCount val="71"/>
                <c:pt idx="35">
                  <c:v>60.486048604860478</c:v>
                </c:pt>
                <c:pt idx="37">
                  <c:v>108.11881188118819</c:v>
                </c:pt>
                <c:pt idx="47">
                  <c:v>48.47</c:v>
                </c:pt>
                <c:pt idx="57">
                  <c:v>38.596491228070178</c:v>
                </c:pt>
                <c:pt idx="60">
                  <c:v>48.07692307692308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87024"/>
        <c:axId val="343687584"/>
      </c:scatterChart>
      <c:valAx>
        <c:axId val="3436870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3687584"/>
        <c:crosses val="autoZero"/>
        <c:crossBetween val="midCat"/>
        <c:majorUnit val="5"/>
      </c:valAx>
      <c:valAx>
        <c:axId val="3436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36870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(All)'!$AM$7:$AM$107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(All)'!$AM$7:$AM$107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90384"/>
        <c:axId val="362569792"/>
      </c:scatterChart>
      <c:valAx>
        <c:axId val="3436903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569792"/>
        <c:crosses val="autoZero"/>
        <c:crossBetween val="midCat"/>
        <c:majorUnit val="5"/>
      </c:valAx>
      <c:valAx>
        <c:axId val="362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36903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(All)'!$AN$7:$AN$107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(All)'!$AN$7:$AN$107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572592"/>
        <c:axId val="362573152"/>
      </c:scatterChart>
      <c:valAx>
        <c:axId val="362572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573152"/>
        <c:crosses val="autoZero"/>
        <c:crossBetween val="midCat"/>
        <c:majorUnit val="5"/>
      </c:valAx>
      <c:valAx>
        <c:axId val="36257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572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(All)'!$AO$7:$AO$107</c:f>
              <c:numCache>
                <c:formatCode>0.0000</c:formatCode>
                <c:ptCount val="71"/>
                <c:pt idx="15">
                  <c:v>93.333333333333343</c:v>
                </c:pt>
                <c:pt idx="16">
                  <c:v>93.333333333333343</c:v>
                </c:pt>
                <c:pt idx="17">
                  <c:v>93.333333333333343</c:v>
                </c:pt>
                <c:pt idx="18">
                  <c:v>93.333333333333343</c:v>
                </c:pt>
                <c:pt idx="19">
                  <c:v>93.333333333333343</c:v>
                </c:pt>
                <c:pt idx="20">
                  <c:v>80</c:v>
                </c:pt>
                <c:pt idx="21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60</c:v>
                </c:pt>
                <c:pt idx="31">
                  <c:v>50.028490028490033</c:v>
                </c:pt>
                <c:pt idx="32">
                  <c:v>60</c:v>
                </c:pt>
                <c:pt idx="33">
                  <c:v>99.934853420195452</c:v>
                </c:pt>
                <c:pt idx="34">
                  <c:v>79.980449657869016</c:v>
                </c:pt>
                <c:pt idx="35">
                  <c:v>83.994413407821241</c:v>
                </c:pt>
                <c:pt idx="36">
                  <c:v>83.989361702127653</c:v>
                </c:pt>
                <c:pt idx="37">
                  <c:v>84.005102040816325</c:v>
                </c:pt>
                <c:pt idx="38">
                  <c:v>80.017746228926342</c:v>
                </c:pt>
                <c:pt idx="39">
                  <c:v>91.989528795811509</c:v>
                </c:pt>
                <c:pt idx="40">
                  <c:v>92.16901408450704</c:v>
                </c:pt>
                <c:pt idx="41">
                  <c:v>92.012383900928796</c:v>
                </c:pt>
                <c:pt idx="42">
                  <c:v>80.017714791851205</c:v>
                </c:pt>
                <c:pt idx="43">
                  <c:v>63.989681857265694</c:v>
                </c:pt>
                <c:pt idx="44">
                  <c:v>40</c:v>
                </c:pt>
                <c:pt idx="45">
                  <c:v>36.014388489208635</c:v>
                </c:pt>
                <c:pt idx="46">
                  <c:v>38.337801608579085</c:v>
                </c:pt>
                <c:pt idx="47">
                  <c:v>33.94736842105263</c:v>
                </c:pt>
                <c:pt idx="48">
                  <c:v>34</c:v>
                </c:pt>
                <c:pt idx="49">
                  <c:v>34.006054490413725</c:v>
                </c:pt>
                <c:pt idx="50">
                  <c:v>40</c:v>
                </c:pt>
                <c:pt idx="51">
                  <c:v>39.975155279503106</c:v>
                </c:pt>
                <c:pt idx="52">
                  <c:v>40.015186028853449</c:v>
                </c:pt>
                <c:pt idx="53">
                  <c:v>42.022471910112358</c:v>
                </c:pt>
                <c:pt idx="54">
                  <c:v>34.179301252471987</c:v>
                </c:pt>
                <c:pt idx="55">
                  <c:v>36.346356916578671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(All)'!$AO$7:$AO$107</c:f>
              <c:numCache>
                <c:formatCode>0.0000</c:formatCode>
                <c:ptCount val="71"/>
                <c:pt idx="15">
                  <c:v>93.333333333333343</c:v>
                </c:pt>
                <c:pt idx="16">
                  <c:v>93.333333333333343</c:v>
                </c:pt>
                <c:pt idx="17">
                  <c:v>93.333333333333343</c:v>
                </c:pt>
                <c:pt idx="18">
                  <c:v>93.333333333333343</c:v>
                </c:pt>
                <c:pt idx="19">
                  <c:v>93.333333333333343</c:v>
                </c:pt>
                <c:pt idx="20">
                  <c:v>80</c:v>
                </c:pt>
                <c:pt idx="21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60</c:v>
                </c:pt>
                <c:pt idx="30">
                  <c:v>60</c:v>
                </c:pt>
                <c:pt idx="31">
                  <c:v>50.028490028490033</c:v>
                </c:pt>
                <c:pt idx="32">
                  <c:v>60</c:v>
                </c:pt>
                <c:pt idx="33">
                  <c:v>99.934853420195452</c:v>
                </c:pt>
                <c:pt idx="34">
                  <c:v>79.980449657869016</c:v>
                </c:pt>
                <c:pt idx="35">
                  <c:v>83.994413407821241</c:v>
                </c:pt>
                <c:pt idx="36">
                  <c:v>83.989361702127653</c:v>
                </c:pt>
                <c:pt idx="37">
                  <c:v>84.005102040816325</c:v>
                </c:pt>
                <c:pt idx="38">
                  <c:v>80.017746228926342</c:v>
                </c:pt>
                <c:pt idx="39">
                  <c:v>91.989528795811509</c:v>
                </c:pt>
                <c:pt idx="40">
                  <c:v>92.16901408450704</c:v>
                </c:pt>
                <c:pt idx="41">
                  <c:v>92.012383900928796</c:v>
                </c:pt>
                <c:pt idx="42">
                  <c:v>80.017714791851205</c:v>
                </c:pt>
                <c:pt idx="43">
                  <c:v>63.989681857265694</c:v>
                </c:pt>
                <c:pt idx="44">
                  <c:v>40</c:v>
                </c:pt>
                <c:pt idx="45">
                  <c:v>36.014388489208635</c:v>
                </c:pt>
                <c:pt idx="46">
                  <c:v>38.337801608579085</c:v>
                </c:pt>
                <c:pt idx="47">
                  <c:v>33.94736842105263</c:v>
                </c:pt>
                <c:pt idx="48">
                  <c:v>34</c:v>
                </c:pt>
                <c:pt idx="49">
                  <c:v>34.006054490413725</c:v>
                </c:pt>
                <c:pt idx="50">
                  <c:v>40</c:v>
                </c:pt>
                <c:pt idx="51">
                  <c:v>39.975155279503106</c:v>
                </c:pt>
                <c:pt idx="52">
                  <c:v>40.015186028853449</c:v>
                </c:pt>
                <c:pt idx="53">
                  <c:v>42.022471910112358</c:v>
                </c:pt>
                <c:pt idx="54">
                  <c:v>34.179301252471987</c:v>
                </c:pt>
                <c:pt idx="55">
                  <c:v>36.346356916578671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575952"/>
        <c:axId val="362576512"/>
      </c:scatterChart>
      <c:valAx>
        <c:axId val="362575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576512"/>
        <c:crosses val="autoZero"/>
        <c:crossBetween val="midCat"/>
        <c:majorUnit val="5"/>
      </c:valAx>
      <c:valAx>
        <c:axId val="3625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575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(All)'!$AP$7:$AP$107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(All)'!$AQ$7:$AQ$107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82208"/>
        <c:axId val="406882768"/>
      </c:scatterChart>
      <c:valAx>
        <c:axId val="406882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82768"/>
        <c:crosses val="autoZero"/>
        <c:crossBetween val="midCat"/>
        <c:majorUnit val="5"/>
      </c:valAx>
      <c:valAx>
        <c:axId val="40688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82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(All)'!$AQ$7:$AQ$107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(All)'!$AQ$7:$AQ$107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85568"/>
        <c:axId val="406886128"/>
      </c:scatterChart>
      <c:valAx>
        <c:axId val="406885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86128"/>
        <c:crosses val="autoZero"/>
        <c:crossBetween val="midCat"/>
        <c:majorUnit val="5"/>
      </c:valAx>
      <c:valAx>
        <c:axId val="40688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85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(All)'!$AR$7:$AR$107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(All)'!$AR$7:$AR$107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725232"/>
        <c:axId val="614725792"/>
      </c:scatterChart>
      <c:valAx>
        <c:axId val="614725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25792"/>
        <c:crosses val="autoZero"/>
        <c:crossBetween val="midCat"/>
        <c:majorUnit val="5"/>
      </c:valAx>
      <c:valAx>
        <c:axId val="6147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25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(All)'!$AS$7:$AS$107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(All)'!$AS$7:$AS$107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728592"/>
        <c:axId val="614729152"/>
      </c:scatterChart>
      <c:valAx>
        <c:axId val="614728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29152"/>
        <c:crosses val="autoZero"/>
        <c:crossBetween val="midCat"/>
        <c:majorUnit val="5"/>
      </c:valAx>
      <c:valAx>
        <c:axId val="6147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28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Adana,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(All)'!$AT$7:$AT$107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(All)'!$AT$7:$AT$107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731952"/>
        <c:axId val="614732512"/>
      </c:scatterChart>
      <c:valAx>
        <c:axId val="614731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32512"/>
        <c:crosses val="autoZero"/>
        <c:crossBetween val="midCat"/>
        <c:majorUnit val="5"/>
      </c:valAx>
      <c:valAx>
        <c:axId val="6147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31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(All)'!$AU$7:$AU$107</c:f>
              <c:numCache>
                <c:formatCode>0.0000</c:formatCode>
                <c:ptCount val="71"/>
                <c:pt idx="14">
                  <c:v>78</c:v>
                </c:pt>
                <c:pt idx="15">
                  <c:v>85</c:v>
                </c:pt>
                <c:pt idx="16">
                  <c:v>80</c:v>
                </c:pt>
                <c:pt idx="18">
                  <c:v>70</c:v>
                </c:pt>
                <c:pt idx="19">
                  <c:v>72</c:v>
                </c:pt>
                <c:pt idx="21">
                  <c:v>100</c:v>
                </c:pt>
                <c:pt idx="22">
                  <c:v>100</c:v>
                </c:pt>
                <c:pt idx="24">
                  <c:v>120</c:v>
                </c:pt>
                <c:pt idx="25">
                  <c:v>100</c:v>
                </c:pt>
                <c:pt idx="26">
                  <c:v>90</c:v>
                </c:pt>
                <c:pt idx="27">
                  <c:v>88.948322732242175</c:v>
                </c:pt>
                <c:pt idx="28">
                  <c:v>88.904374999999987</c:v>
                </c:pt>
                <c:pt idx="29">
                  <c:v>136.43277361460957</c:v>
                </c:pt>
                <c:pt idx="30">
                  <c:v>95.254687499999989</c:v>
                </c:pt>
                <c:pt idx="31">
                  <c:v>82.555885244746264</c:v>
                </c:pt>
                <c:pt idx="32">
                  <c:v>47.673615200047102</c:v>
                </c:pt>
                <c:pt idx="33">
                  <c:v>55.565234374999996</c:v>
                </c:pt>
                <c:pt idx="34">
                  <c:v>59.534599134286822</c:v>
                </c:pt>
                <c:pt idx="35">
                  <c:v>47.627343749999994</c:v>
                </c:pt>
                <c:pt idx="36">
                  <c:v>51.029296875</c:v>
                </c:pt>
                <c:pt idx="38">
                  <c:v>50.802430447169833</c:v>
                </c:pt>
                <c:pt idx="39">
                  <c:v>50.802308621767821</c:v>
                </c:pt>
                <c:pt idx="40">
                  <c:v>50.802605648374588</c:v>
                </c:pt>
                <c:pt idx="41">
                  <c:v>50.802500000000002</c:v>
                </c:pt>
                <c:pt idx="42">
                  <c:v>56.7768332497781</c:v>
                </c:pt>
                <c:pt idx="44">
                  <c:v>63.503124999999997</c:v>
                </c:pt>
                <c:pt idx="55">
                  <c:v>46.186999999999998</c:v>
                </c:pt>
                <c:pt idx="56">
                  <c:v>41.07779698691035</c:v>
                </c:pt>
                <c:pt idx="57">
                  <c:v>36.731372549019611</c:v>
                </c:pt>
                <c:pt idx="58">
                  <c:v>38.068405797101448</c:v>
                </c:pt>
                <c:pt idx="60">
                  <c:v>34.465534465534468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(All)'!$AU$7:$AU$107</c:f>
              <c:numCache>
                <c:formatCode>0.0000</c:formatCode>
                <c:ptCount val="71"/>
                <c:pt idx="14">
                  <c:v>78</c:v>
                </c:pt>
                <c:pt idx="15">
                  <c:v>85</c:v>
                </c:pt>
                <c:pt idx="16">
                  <c:v>80</c:v>
                </c:pt>
                <c:pt idx="18">
                  <c:v>70</c:v>
                </c:pt>
                <c:pt idx="19">
                  <c:v>72</c:v>
                </c:pt>
                <c:pt idx="21">
                  <c:v>100</c:v>
                </c:pt>
                <c:pt idx="22">
                  <c:v>100</c:v>
                </c:pt>
                <c:pt idx="24">
                  <c:v>120</c:v>
                </c:pt>
                <c:pt idx="25">
                  <c:v>100</c:v>
                </c:pt>
                <c:pt idx="26">
                  <c:v>90</c:v>
                </c:pt>
                <c:pt idx="27">
                  <c:v>88.948322732242175</c:v>
                </c:pt>
                <c:pt idx="28">
                  <c:v>88.904374999999987</c:v>
                </c:pt>
                <c:pt idx="29">
                  <c:v>136.43277361460957</c:v>
                </c:pt>
                <c:pt idx="30">
                  <c:v>95.254687499999989</c:v>
                </c:pt>
                <c:pt idx="31">
                  <c:v>82.555885244746264</c:v>
                </c:pt>
                <c:pt idx="32">
                  <c:v>47.673615200047102</c:v>
                </c:pt>
                <c:pt idx="33">
                  <c:v>55.565234374999996</c:v>
                </c:pt>
                <c:pt idx="34">
                  <c:v>59.534599134286822</c:v>
                </c:pt>
                <c:pt idx="35">
                  <c:v>47.627343749999994</c:v>
                </c:pt>
                <c:pt idx="36">
                  <c:v>51.029296875</c:v>
                </c:pt>
                <c:pt idx="38">
                  <c:v>50.802430447169833</c:v>
                </c:pt>
                <c:pt idx="39">
                  <c:v>50.802308621767821</c:v>
                </c:pt>
                <c:pt idx="40">
                  <c:v>50.802605648374588</c:v>
                </c:pt>
                <c:pt idx="41">
                  <c:v>50.802500000000002</c:v>
                </c:pt>
                <c:pt idx="42">
                  <c:v>56.7768332497781</c:v>
                </c:pt>
                <c:pt idx="44">
                  <c:v>63.503124999999997</c:v>
                </c:pt>
                <c:pt idx="55">
                  <c:v>46.186999999999998</c:v>
                </c:pt>
                <c:pt idx="56">
                  <c:v>41.07779698691035</c:v>
                </c:pt>
                <c:pt idx="57">
                  <c:v>36.731372549019611</c:v>
                </c:pt>
                <c:pt idx="58">
                  <c:v>38.068405797101448</c:v>
                </c:pt>
                <c:pt idx="60">
                  <c:v>34.465534465534468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735312"/>
        <c:axId val="614735872"/>
      </c:scatterChart>
      <c:valAx>
        <c:axId val="614735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35872"/>
        <c:crosses val="autoZero"/>
        <c:crossBetween val="midCat"/>
        <c:majorUnit val="5"/>
      </c:valAx>
      <c:valAx>
        <c:axId val="61473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3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(All)'!$G$7:$G$107</c:f>
              <c:numCache>
                <c:formatCode>0.0000</c:formatCode>
                <c:ptCount val="71"/>
                <c:pt idx="49">
                  <c:v>44.811598296029601</c:v>
                </c:pt>
                <c:pt idx="60">
                  <c:v>66.250000000000099</c:v>
                </c:pt>
                <c:pt idx="61">
                  <c:v>87.5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(All)'!$G$7:$G$107</c:f>
              <c:numCache>
                <c:formatCode>0.0000</c:formatCode>
                <c:ptCount val="71"/>
                <c:pt idx="49">
                  <c:v>44.811598296029601</c:v>
                </c:pt>
                <c:pt idx="60">
                  <c:v>66.250000000000099</c:v>
                </c:pt>
                <c:pt idx="61">
                  <c:v>87.5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23152"/>
        <c:axId val="308423712"/>
      </c:scatterChart>
      <c:valAx>
        <c:axId val="308423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23712"/>
        <c:crosses val="autoZero"/>
        <c:crossBetween val="midCat"/>
        <c:majorUnit val="5"/>
      </c:valAx>
      <c:valAx>
        <c:axId val="3084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23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(All)'!$AY$7:$AY$107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(All)'!$AY$7:$AY$107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738672"/>
        <c:axId val="614739232"/>
      </c:scatterChart>
      <c:valAx>
        <c:axId val="6147386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39232"/>
        <c:crosses val="autoZero"/>
        <c:crossBetween val="midCat"/>
        <c:majorUnit val="5"/>
      </c:valAx>
      <c:valAx>
        <c:axId val="6147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7386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(All)'!$BC$7:$BC$107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(All)'!$BC$7:$BC$107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23648"/>
        <c:axId val="363624208"/>
      </c:scatterChart>
      <c:valAx>
        <c:axId val="363623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24208"/>
        <c:crosses val="autoZero"/>
        <c:crossBetween val="midCat"/>
        <c:majorUnit val="5"/>
      </c:valAx>
      <c:valAx>
        <c:axId val="36362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23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(All)'!$AV$7:$AV$107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(All)'!$AV$7:$AV$107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27008"/>
        <c:axId val="363627568"/>
      </c:scatterChart>
      <c:valAx>
        <c:axId val="363627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27568"/>
        <c:crosses val="autoZero"/>
        <c:crossBetween val="midCat"/>
        <c:majorUnit val="5"/>
      </c:valAx>
      <c:valAx>
        <c:axId val="36362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27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(All)'!$AW$7:$AW$107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(All)'!$AW$7:$AW$107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30368"/>
        <c:axId val="363630928"/>
      </c:scatterChart>
      <c:valAx>
        <c:axId val="36363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30928"/>
        <c:crosses val="autoZero"/>
        <c:crossBetween val="midCat"/>
        <c:majorUnit val="5"/>
      </c:valAx>
      <c:valAx>
        <c:axId val="3636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3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(All)'!$AX$7:$AX$107</c:f>
              <c:numCache>
                <c:formatCode>0.0000</c:formatCode>
                <c:ptCount val="71"/>
                <c:pt idx="28">
                  <c:v>106.69456066945607</c:v>
                </c:pt>
                <c:pt idx="29">
                  <c:v>105.8</c:v>
                </c:pt>
                <c:pt idx="30">
                  <c:v>105.81560283687942</c:v>
                </c:pt>
                <c:pt idx="31">
                  <c:v>102.8132911392405</c:v>
                </c:pt>
                <c:pt idx="32">
                  <c:v>100.48034934497818</c:v>
                </c:pt>
                <c:pt idx="33">
                  <c:v>101.10045662100455</c:v>
                </c:pt>
                <c:pt idx="37">
                  <c:v>102.92561983471074</c:v>
                </c:pt>
                <c:pt idx="38">
                  <c:v>102.58590308370044</c:v>
                </c:pt>
                <c:pt idx="39">
                  <c:v>102.02845528455285</c:v>
                </c:pt>
                <c:pt idx="40">
                  <c:v>101.55882352941167</c:v>
                </c:pt>
                <c:pt idx="41">
                  <c:v>100.54999999999991</c:v>
                </c:pt>
                <c:pt idx="42">
                  <c:v>99.999999999999901</c:v>
                </c:pt>
                <c:pt idx="43">
                  <c:v>98.697674418604549</c:v>
                </c:pt>
                <c:pt idx="44">
                  <c:v>99.999999999999915</c:v>
                </c:pt>
                <c:pt idx="45">
                  <c:v>99.91150442477867</c:v>
                </c:pt>
                <c:pt idx="46">
                  <c:v>100.01041666666657</c:v>
                </c:pt>
                <c:pt idx="47">
                  <c:v>100.08695652173904</c:v>
                </c:pt>
                <c:pt idx="48">
                  <c:v>99.893162393162299</c:v>
                </c:pt>
                <c:pt idx="49">
                  <c:v>59.999999999999943</c:v>
                </c:pt>
                <c:pt idx="50">
                  <c:v>54.99999999999995</c:v>
                </c:pt>
                <c:pt idx="51">
                  <c:v>54.990494296577893</c:v>
                </c:pt>
                <c:pt idx="52">
                  <c:v>44.917431192660516</c:v>
                </c:pt>
                <c:pt idx="53">
                  <c:v>45.009242144177406</c:v>
                </c:pt>
                <c:pt idx="54">
                  <c:v>44.999999999999964</c:v>
                </c:pt>
                <c:pt idx="55">
                  <c:v>44.999999999999964</c:v>
                </c:pt>
                <c:pt idx="56">
                  <c:v>44.999999999999957</c:v>
                </c:pt>
                <c:pt idx="57">
                  <c:v>44.947643979057553</c:v>
                </c:pt>
                <c:pt idx="58">
                  <c:v>45.217391304347785</c:v>
                </c:pt>
                <c:pt idx="59">
                  <c:v>49.99999999999995</c:v>
                </c:pt>
                <c:pt idx="60">
                  <c:v>94.999999999999915</c:v>
                </c:pt>
                <c:pt idx="61">
                  <c:v>93.880327868852461</c:v>
                </c:pt>
                <c:pt idx="62">
                  <c:v>93.830000000000013</c:v>
                </c:pt>
                <c:pt idx="63">
                  <c:v>65.148750000000007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(All)'!$AX$7:$AX$107</c:f>
              <c:numCache>
                <c:formatCode>0.0000</c:formatCode>
                <c:ptCount val="71"/>
                <c:pt idx="28">
                  <c:v>106.69456066945607</c:v>
                </c:pt>
                <c:pt idx="29">
                  <c:v>105.8</c:v>
                </c:pt>
                <c:pt idx="30">
                  <c:v>105.81560283687942</c:v>
                </c:pt>
                <c:pt idx="31">
                  <c:v>102.8132911392405</c:v>
                </c:pt>
                <c:pt idx="32">
                  <c:v>100.48034934497818</c:v>
                </c:pt>
                <c:pt idx="33">
                  <c:v>101.10045662100455</c:v>
                </c:pt>
                <c:pt idx="37">
                  <c:v>102.92561983471074</c:v>
                </c:pt>
                <c:pt idx="38">
                  <c:v>102.58590308370044</c:v>
                </c:pt>
                <c:pt idx="39">
                  <c:v>102.02845528455285</c:v>
                </c:pt>
                <c:pt idx="40">
                  <c:v>101.55882352941167</c:v>
                </c:pt>
                <c:pt idx="41">
                  <c:v>100.54999999999991</c:v>
                </c:pt>
                <c:pt idx="42">
                  <c:v>99.999999999999901</c:v>
                </c:pt>
                <c:pt idx="43">
                  <c:v>98.697674418604549</c:v>
                </c:pt>
                <c:pt idx="44">
                  <c:v>99.999999999999915</c:v>
                </c:pt>
                <c:pt idx="45">
                  <c:v>99.91150442477867</c:v>
                </c:pt>
                <c:pt idx="46">
                  <c:v>100.01041666666657</c:v>
                </c:pt>
                <c:pt idx="47">
                  <c:v>100.08695652173904</c:v>
                </c:pt>
                <c:pt idx="48">
                  <c:v>99.893162393162299</c:v>
                </c:pt>
                <c:pt idx="49">
                  <c:v>59.999999999999943</c:v>
                </c:pt>
                <c:pt idx="50">
                  <c:v>54.99999999999995</c:v>
                </c:pt>
                <c:pt idx="51">
                  <c:v>54.990494296577893</c:v>
                </c:pt>
                <c:pt idx="52">
                  <c:v>44.917431192660516</c:v>
                </c:pt>
                <c:pt idx="53">
                  <c:v>45.009242144177406</c:v>
                </c:pt>
                <c:pt idx="54">
                  <c:v>44.999999999999964</c:v>
                </c:pt>
                <c:pt idx="55">
                  <c:v>44.999999999999964</c:v>
                </c:pt>
                <c:pt idx="56">
                  <c:v>44.999999999999957</c:v>
                </c:pt>
                <c:pt idx="57">
                  <c:v>44.947643979057553</c:v>
                </c:pt>
                <c:pt idx="58">
                  <c:v>45.217391304347785</c:v>
                </c:pt>
                <c:pt idx="59">
                  <c:v>49.99999999999995</c:v>
                </c:pt>
                <c:pt idx="60">
                  <c:v>94.999999999999915</c:v>
                </c:pt>
                <c:pt idx="61">
                  <c:v>93.880327868852461</c:v>
                </c:pt>
                <c:pt idx="62">
                  <c:v>93.830000000000013</c:v>
                </c:pt>
                <c:pt idx="63">
                  <c:v>65.148750000000007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33728"/>
        <c:axId val="363634288"/>
      </c:scatterChart>
      <c:valAx>
        <c:axId val="363633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34288"/>
        <c:crosses val="autoZero"/>
        <c:crossBetween val="midCat"/>
        <c:majorUnit val="5"/>
      </c:valAx>
      <c:valAx>
        <c:axId val="3636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33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(All)'!$AZ$7:$AZ$107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(All)'!$AZ$7:$AZ$107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37088"/>
        <c:axId val="363637648"/>
      </c:scatterChart>
      <c:valAx>
        <c:axId val="36363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37648"/>
        <c:crosses val="autoZero"/>
        <c:crossBetween val="midCat"/>
        <c:majorUnit val="5"/>
      </c:valAx>
      <c:valAx>
        <c:axId val="36363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363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(All)'!$BB$7:$BB$107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(All)'!$BB$7:$BB$107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61984"/>
        <c:axId val="624562544"/>
      </c:scatterChart>
      <c:valAx>
        <c:axId val="624561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62544"/>
        <c:crosses val="autoZero"/>
        <c:crossBetween val="midCat"/>
        <c:majorUnit val="5"/>
      </c:valAx>
      <c:valAx>
        <c:axId val="6245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61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(All)'!$BA$7:$BA$107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(All)'!$BA$7:$BA$107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65344"/>
        <c:axId val="624565904"/>
      </c:scatterChart>
      <c:valAx>
        <c:axId val="624565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65904"/>
        <c:crosses val="autoZero"/>
        <c:crossBetween val="midCat"/>
        <c:majorUnit val="5"/>
      </c:valAx>
      <c:valAx>
        <c:axId val="62456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65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(All)'!$BD$7:$BD$107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(All)'!$BD$7:$BD$107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68704"/>
        <c:axId val="624569264"/>
      </c:scatterChart>
      <c:valAx>
        <c:axId val="6245687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69264"/>
        <c:crosses val="autoZero"/>
        <c:crossBetween val="midCat"/>
        <c:majorUnit val="5"/>
      </c:valAx>
      <c:valAx>
        <c:axId val="62456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68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(All)'!$BE$7:$BE$107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(All)'!$BE$7:$BE$107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72064"/>
        <c:axId val="624572624"/>
      </c:scatterChart>
      <c:valAx>
        <c:axId val="6245720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72624"/>
        <c:crosses val="autoZero"/>
        <c:crossBetween val="midCat"/>
        <c:majorUnit val="5"/>
      </c:valAx>
      <c:valAx>
        <c:axId val="62457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72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(All)'!$I$7:$I$107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(All)'!$I$7:$I$107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26512"/>
        <c:axId val="308427072"/>
      </c:scatterChart>
      <c:valAx>
        <c:axId val="3084265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27072"/>
        <c:crosses val="autoZero"/>
        <c:crossBetween val="midCat"/>
        <c:majorUnit val="5"/>
      </c:valAx>
      <c:valAx>
        <c:axId val="3084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265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(All)'!$BF$7:$BF$107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(All)'!$BF$7:$BF$107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75424"/>
        <c:axId val="624575984"/>
      </c:scatterChart>
      <c:valAx>
        <c:axId val="624575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75984"/>
        <c:crosses val="autoZero"/>
        <c:crossBetween val="midCat"/>
        <c:majorUnit val="5"/>
      </c:valAx>
      <c:valAx>
        <c:axId val="62457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4575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(All)'!$BG$7:$BG$107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(All)'!$BG$7:$BG$107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052352"/>
        <c:axId val="610052912"/>
      </c:scatterChart>
      <c:valAx>
        <c:axId val="610052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52912"/>
        <c:crosses val="autoZero"/>
        <c:crossBetween val="midCat"/>
        <c:majorUnit val="5"/>
      </c:valAx>
      <c:valAx>
        <c:axId val="61005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52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(All)'!$BH$7:$BH$107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(All)'!$BH$7:$BH$107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055712"/>
        <c:axId val="610056272"/>
      </c:scatterChart>
      <c:valAx>
        <c:axId val="6100557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56272"/>
        <c:crosses val="autoZero"/>
        <c:crossBetween val="midCat"/>
        <c:majorUnit val="5"/>
      </c:valAx>
      <c:valAx>
        <c:axId val="61005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557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(All)'!$BI$7:$BI$107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(All)'!$BI$7:$BI$107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059072"/>
        <c:axId val="610059632"/>
      </c:scatterChart>
      <c:valAx>
        <c:axId val="610059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59632"/>
        <c:crosses val="autoZero"/>
        <c:crossBetween val="midCat"/>
        <c:majorUnit val="5"/>
      </c:valAx>
      <c:valAx>
        <c:axId val="61005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59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(All)'!$BJ$7:$BJ$107</c:f>
              <c:numCache>
                <c:formatCode>0.0000</c:formatCode>
                <c:ptCount val="71"/>
                <c:pt idx="50">
                  <c:v>54.371112122591398</c:v>
                </c:pt>
                <c:pt idx="51">
                  <c:v>63.827076452445198</c:v>
                </c:pt>
                <c:pt idx="52">
                  <c:v>56.243671724242397</c:v>
                </c:pt>
                <c:pt idx="53">
                  <c:v>56.117396338798599</c:v>
                </c:pt>
                <c:pt idx="54">
                  <c:v>65.053605952311202</c:v>
                </c:pt>
                <c:pt idx="55">
                  <c:v>53.9794477822646</c:v>
                </c:pt>
                <c:pt idx="57">
                  <c:v>60.380952380952394</c:v>
                </c:pt>
                <c:pt idx="58">
                  <c:v>91.9444444444444</c:v>
                </c:pt>
                <c:pt idx="59">
                  <c:v>79.902200488997593</c:v>
                </c:pt>
                <c:pt idx="60">
                  <c:v>73.214285714285808</c:v>
                </c:pt>
                <c:pt idx="61">
                  <c:v>161</c:v>
                </c:pt>
                <c:pt idx="62">
                  <c:v>126.8312757201646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(All)'!$BJ$7:$BJ$107</c:f>
              <c:numCache>
                <c:formatCode>0.0000</c:formatCode>
                <c:ptCount val="71"/>
                <c:pt idx="50">
                  <c:v>54.371112122591398</c:v>
                </c:pt>
                <c:pt idx="51">
                  <c:v>63.827076452445198</c:v>
                </c:pt>
                <c:pt idx="52">
                  <c:v>56.243671724242397</c:v>
                </c:pt>
                <c:pt idx="53">
                  <c:v>56.117396338798599</c:v>
                </c:pt>
                <c:pt idx="54">
                  <c:v>65.053605952311202</c:v>
                </c:pt>
                <c:pt idx="55">
                  <c:v>53.9794477822646</c:v>
                </c:pt>
                <c:pt idx="57">
                  <c:v>60.380952380952394</c:v>
                </c:pt>
                <c:pt idx="58">
                  <c:v>91.9444444444444</c:v>
                </c:pt>
                <c:pt idx="59">
                  <c:v>79.902200488997593</c:v>
                </c:pt>
                <c:pt idx="60">
                  <c:v>73.214285714285808</c:v>
                </c:pt>
                <c:pt idx="61">
                  <c:v>161</c:v>
                </c:pt>
                <c:pt idx="62">
                  <c:v>126.8312757201646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062432"/>
        <c:axId val="610062992"/>
      </c:scatterChart>
      <c:valAx>
        <c:axId val="610062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62992"/>
        <c:crosses val="autoZero"/>
        <c:crossBetween val="midCat"/>
        <c:majorUnit val="5"/>
      </c:valAx>
      <c:valAx>
        <c:axId val="61006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62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(All)'!$BK$7:$BK$107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(All)'!$BK$7:$BK$107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065792"/>
        <c:axId val="185323008"/>
      </c:scatterChart>
      <c:valAx>
        <c:axId val="610065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23008"/>
        <c:crosses val="autoZero"/>
        <c:crossBetween val="midCat"/>
        <c:majorUnit val="5"/>
      </c:valAx>
      <c:valAx>
        <c:axId val="1853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065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(All)'!$BL$7:$BL$107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(All)'!$BL$7:$BL$107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25808"/>
        <c:axId val="185326368"/>
      </c:scatterChart>
      <c:valAx>
        <c:axId val="185325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26368"/>
        <c:crosses val="autoZero"/>
        <c:crossBetween val="midCat"/>
        <c:majorUnit val="5"/>
      </c:valAx>
      <c:valAx>
        <c:axId val="18532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25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(All)'!$BM$7:$BM$107</c:f>
              <c:numCache>
                <c:formatCode>0.0000</c:formatCode>
                <c:ptCount val="71"/>
                <c:pt idx="44">
                  <c:v>103.38461538461549</c:v>
                </c:pt>
                <c:pt idx="57">
                  <c:v>75.533333333333346</c:v>
                </c:pt>
                <c:pt idx="58">
                  <c:v>74.65798045602601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159.99999999999994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(All)'!$BM$7:$BM$107</c:f>
              <c:numCache>
                <c:formatCode>0.0000</c:formatCode>
                <c:ptCount val="71"/>
                <c:pt idx="44">
                  <c:v>103.38461538461549</c:v>
                </c:pt>
                <c:pt idx="57">
                  <c:v>75.533333333333346</c:v>
                </c:pt>
                <c:pt idx="58">
                  <c:v>74.65798045602601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159.99999999999994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29168"/>
        <c:axId val="185329728"/>
      </c:scatterChart>
      <c:valAx>
        <c:axId val="185329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29728"/>
        <c:crosses val="autoZero"/>
        <c:crossBetween val="midCat"/>
        <c:majorUnit val="5"/>
      </c:valAx>
      <c:valAx>
        <c:axId val="18532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29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(All)'!$BN$7:$BN$107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(All)'!$BN$7:$BN$107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32528"/>
        <c:axId val="185333088"/>
      </c:scatterChart>
      <c:valAx>
        <c:axId val="185332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33088"/>
        <c:crosses val="autoZero"/>
        <c:crossBetween val="midCat"/>
        <c:majorUnit val="5"/>
      </c:valAx>
      <c:valAx>
        <c:axId val="18533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32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(All)'!$BO$7:$BO$107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(All)'!$BO$7:$BO$107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35888"/>
        <c:axId val="185336448"/>
      </c:scatterChart>
      <c:valAx>
        <c:axId val="185335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36448"/>
        <c:crosses val="autoZero"/>
        <c:crossBetween val="midCat"/>
        <c:majorUnit val="5"/>
      </c:valAx>
      <c:valAx>
        <c:axId val="18533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35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(All)'!$J$7:$J$107</c:f>
              <c:numCache>
                <c:formatCode>0.0000</c:formatCode>
                <c:ptCount val="71"/>
                <c:pt idx="11">
                  <c:v>64.500000000000099</c:v>
                </c:pt>
                <c:pt idx="12">
                  <c:v>80.666666666666529</c:v>
                </c:pt>
                <c:pt idx="13">
                  <c:v>85.000000000000071</c:v>
                </c:pt>
                <c:pt idx="14">
                  <c:v>72.833333333333215</c:v>
                </c:pt>
                <c:pt idx="15">
                  <c:v>74.166666666666558</c:v>
                </c:pt>
                <c:pt idx="19">
                  <c:v>64.484848484848513</c:v>
                </c:pt>
                <c:pt idx="23">
                  <c:v>85.473684210526301</c:v>
                </c:pt>
                <c:pt idx="61">
                  <c:v>72.666666666666686</c:v>
                </c:pt>
                <c:pt idx="62">
                  <c:v>79.999999999999972</c:v>
                </c:pt>
                <c:pt idx="63">
                  <c:v>75.25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(All)'!$J$7:$J$107</c:f>
              <c:numCache>
                <c:formatCode>0.0000</c:formatCode>
                <c:ptCount val="71"/>
                <c:pt idx="11">
                  <c:v>64.500000000000099</c:v>
                </c:pt>
                <c:pt idx="12">
                  <c:v>80.666666666666529</c:v>
                </c:pt>
                <c:pt idx="13">
                  <c:v>85.000000000000071</c:v>
                </c:pt>
                <c:pt idx="14">
                  <c:v>72.833333333333215</c:v>
                </c:pt>
                <c:pt idx="15">
                  <c:v>74.166666666666558</c:v>
                </c:pt>
                <c:pt idx="19">
                  <c:v>64.484848484848513</c:v>
                </c:pt>
                <c:pt idx="23">
                  <c:v>85.473684210526301</c:v>
                </c:pt>
                <c:pt idx="61">
                  <c:v>72.666666666666686</c:v>
                </c:pt>
                <c:pt idx="62">
                  <c:v>79.999999999999972</c:v>
                </c:pt>
                <c:pt idx="63">
                  <c:v>75.25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29872"/>
        <c:axId val="308430432"/>
      </c:scatterChart>
      <c:valAx>
        <c:axId val="3084298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30432"/>
        <c:crosses val="autoZero"/>
        <c:crossBetween val="midCat"/>
        <c:majorUnit val="5"/>
      </c:valAx>
      <c:valAx>
        <c:axId val="30843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429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(All)'!$BP$7:$BP$107</c:f>
              <c:numCache>
                <c:formatCode>0.0000</c:formatCode>
                <c:ptCount val="71"/>
                <c:pt idx="62">
                  <c:v>134.43360840210045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(All)'!$BP$7:$BP$107</c:f>
              <c:numCache>
                <c:formatCode>0.0000</c:formatCode>
                <c:ptCount val="71"/>
                <c:pt idx="62">
                  <c:v>134.43360840210045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71824"/>
        <c:axId val="581972384"/>
      </c:scatterChart>
      <c:valAx>
        <c:axId val="581971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72384"/>
        <c:crosses val="autoZero"/>
        <c:crossBetween val="midCat"/>
        <c:majorUnit val="5"/>
      </c:valAx>
      <c:valAx>
        <c:axId val="58197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71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(All)'!$BQ$7:$BQ$107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(All)'!$BQ$7:$BQ$107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75184"/>
        <c:axId val="581975744"/>
      </c:scatterChart>
      <c:valAx>
        <c:axId val="581975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75744"/>
        <c:crosses val="autoZero"/>
        <c:crossBetween val="midCat"/>
        <c:majorUnit val="5"/>
      </c:valAx>
      <c:valAx>
        <c:axId val="58197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75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(All)'!$BR$7:$BR$107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(All)'!$BR$7:$BR$107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78544"/>
        <c:axId val="581979104"/>
      </c:scatterChart>
      <c:valAx>
        <c:axId val="581978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79104"/>
        <c:crosses val="autoZero"/>
        <c:crossBetween val="midCat"/>
        <c:majorUnit val="5"/>
      </c:valAx>
      <c:valAx>
        <c:axId val="58197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78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(All)'!$BS$7:$BS$107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(All)'!$BS$7:$BS$107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81904"/>
        <c:axId val="581982464"/>
      </c:scatterChart>
      <c:valAx>
        <c:axId val="5819819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82464"/>
        <c:crosses val="autoZero"/>
        <c:crossBetween val="midCat"/>
        <c:majorUnit val="5"/>
      </c:valAx>
      <c:valAx>
        <c:axId val="5819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819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(All)'!$BT$7:$BT$107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(All)'!$BT$7:$BT$107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85264"/>
        <c:axId val="581985824"/>
      </c:scatterChart>
      <c:valAx>
        <c:axId val="581985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85824"/>
        <c:crosses val="autoZero"/>
        <c:crossBetween val="midCat"/>
        <c:majorUnit val="5"/>
      </c:valAx>
      <c:valAx>
        <c:axId val="58198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985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(All)'!$BU$7:$BU$107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(All)'!$BU$7:$BU$107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39792"/>
        <c:axId val="610640352"/>
      </c:scatterChart>
      <c:valAx>
        <c:axId val="610639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40352"/>
        <c:crosses val="autoZero"/>
        <c:crossBetween val="midCat"/>
        <c:majorUnit val="5"/>
      </c:valAx>
      <c:valAx>
        <c:axId val="61064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39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(All)'!$BV$7:$BV$107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(All)'!$BV$7:$BV$107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43152"/>
        <c:axId val="610643712"/>
      </c:scatterChart>
      <c:valAx>
        <c:axId val="610643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43712"/>
        <c:crosses val="autoZero"/>
        <c:crossBetween val="midCat"/>
        <c:majorUnit val="5"/>
      </c:valAx>
      <c:valAx>
        <c:axId val="61064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43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(All)'!$BW$7:$BW$107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(All)'!$BW$7:$BW$107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46512"/>
        <c:axId val="610647072"/>
      </c:scatterChart>
      <c:valAx>
        <c:axId val="6106465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47072"/>
        <c:crosses val="autoZero"/>
        <c:crossBetween val="midCat"/>
        <c:majorUnit val="5"/>
      </c:valAx>
      <c:valAx>
        <c:axId val="61064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465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(All)'!$BX$7:$BX$107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(All)'!$BX$7:$BX$107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49872"/>
        <c:axId val="610650432"/>
      </c:scatterChart>
      <c:valAx>
        <c:axId val="6106498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50432"/>
        <c:crosses val="autoZero"/>
        <c:crossBetween val="midCat"/>
        <c:majorUnit val="5"/>
      </c:valAx>
      <c:valAx>
        <c:axId val="6106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49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(All)'!$BY$7:$BY$107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(All)'!$BY$7:$BY$107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53232"/>
        <c:axId val="610653792"/>
      </c:scatterChart>
      <c:valAx>
        <c:axId val="610653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53792"/>
        <c:crosses val="autoZero"/>
        <c:crossBetween val="midCat"/>
        <c:majorUnit val="5"/>
      </c:valAx>
      <c:valAx>
        <c:axId val="6106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653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(All)'!$Q$7:$Q$107</c:f>
              <c:numCache>
                <c:formatCode>0.0000</c:formatCode>
                <c:ptCount val="71"/>
                <c:pt idx="24">
                  <c:v>118.57289056710317</c:v>
                </c:pt>
                <c:pt idx="25">
                  <c:v>118.79380889302416</c:v>
                </c:pt>
                <c:pt idx="26">
                  <c:v>132.62064830458661</c:v>
                </c:pt>
                <c:pt idx="27">
                  <c:v>111.65427405678672</c:v>
                </c:pt>
                <c:pt idx="29">
                  <c:v>77.433908632224032</c:v>
                </c:pt>
                <c:pt idx="30">
                  <c:v>78.755821142100487</c:v>
                </c:pt>
                <c:pt idx="31">
                  <c:v>67.337690939342423</c:v>
                </c:pt>
                <c:pt idx="32">
                  <c:v>66.322351725940123</c:v>
                </c:pt>
                <c:pt idx="33">
                  <c:v>66.927161137370021</c:v>
                </c:pt>
                <c:pt idx="34">
                  <c:v>65.104138302508701</c:v>
                </c:pt>
                <c:pt idx="35">
                  <c:v>56</c:v>
                </c:pt>
                <c:pt idx="36">
                  <c:v>64.000000000000057</c:v>
                </c:pt>
                <c:pt idx="37">
                  <c:v>73.68421052631588</c:v>
                </c:pt>
                <c:pt idx="38">
                  <c:v>66.926829268292678</c:v>
                </c:pt>
                <c:pt idx="39">
                  <c:v>70</c:v>
                </c:pt>
                <c:pt idx="40">
                  <c:v>87.630208333333357</c:v>
                </c:pt>
                <c:pt idx="41">
                  <c:v>90.625000000000028</c:v>
                </c:pt>
                <c:pt idx="42">
                  <c:v>81.000000000000043</c:v>
                </c:pt>
                <c:pt idx="43">
                  <c:v>106.43564356435651</c:v>
                </c:pt>
                <c:pt idx="44">
                  <c:v>102.73076923076911</c:v>
                </c:pt>
                <c:pt idx="45">
                  <c:v>84.302325581395266</c:v>
                </c:pt>
                <c:pt idx="46">
                  <c:v>87.5</c:v>
                </c:pt>
                <c:pt idx="47">
                  <c:v>62.927007299270009</c:v>
                </c:pt>
                <c:pt idx="48">
                  <c:v>40.000000000000099</c:v>
                </c:pt>
                <c:pt idx="49">
                  <c:v>32.000000000000028</c:v>
                </c:pt>
                <c:pt idx="50">
                  <c:v>50.133333333333375</c:v>
                </c:pt>
                <c:pt idx="51">
                  <c:v>47.416020671834531</c:v>
                </c:pt>
                <c:pt idx="52">
                  <c:v>38.065843621399104</c:v>
                </c:pt>
                <c:pt idx="53">
                  <c:v>37.041884816753821</c:v>
                </c:pt>
                <c:pt idx="54">
                  <c:v>42.348484848484858</c:v>
                </c:pt>
                <c:pt idx="55">
                  <c:v>44.602272727272734</c:v>
                </c:pt>
                <c:pt idx="56">
                  <c:v>43.037974683544284</c:v>
                </c:pt>
                <c:pt idx="57">
                  <c:v>52.570224719101155</c:v>
                </c:pt>
                <c:pt idx="58">
                  <c:v>45.693240901213251</c:v>
                </c:pt>
                <c:pt idx="59">
                  <c:v>47.435114503816699</c:v>
                </c:pt>
                <c:pt idx="60">
                  <c:v>54.499999999999908</c:v>
                </c:pt>
                <c:pt idx="61">
                  <c:v>60.508397932816514</c:v>
                </c:pt>
                <c:pt idx="62">
                  <c:v>84.642857142857224</c:v>
                </c:pt>
                <c:pt idx="63">
                  <c:v>52.399999999999906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(All)'!$Q$7:$Q$107</c:f>
              <c:numCache>
                <c:formatCode>0.0000</c:formatCode>
                <c:ptCount val="71"/>
                <c:pt idx="24">
                  <c:v>118.57289056710317</c:v>
                </c:pt>
                <c:pt idx="25">
                  <c:v>118.79380889302416</c:v>
                </c:pt>
                <c:pt idx="26">
                  <c:v>132.62064830458661</c:v>
                </c:pt>
                <c:pt idx="27">
                  <c:v>111.65427405678672</c:v>
                </c:pt>
                <c:pt idx="29">
                  <c:v>77.433908632224032</c:v>
                </c:pt>
                <c:pt idx="30">
                  <c:v>78.755821142100487</c:v>
                </c:pt>
                <c:pt idx="31">
                  <c:v>67.337690939342423</c:v>
                </c:pt>
                <c:pt idx="32">
                  <c:v>66.322351725940123</c:v>
                </c:pt>
                <c:pt idx="33">
                  <c:v>66.927161137370021</c:v>
                </c:pt>
                <c:pt idx="34">
                  <c:v>65.104138302508701</c:v>
                </c:pt>
                <c:pt idx="35">
                  <c:v>56</c:v>
                </c:pt>
                <c:pt idx="36">
                  <c:v>64.000000000000057</c:v>
                </c:pt>
                <c:pt idx="37">
                  <c:v>73.68421052631588</c:v>
                </c:pt>
                <c:pt idx="38">
                  <c:v>66.926829268292678</c:v>
                </c:pt>
                <c:pt idx="39">
                  <c:v>70</c:v>
                </c:pt>
                <c:pt idx="40">
                  <c:v>87.630208333333357</c:v>
                </c:pt>
                <c:pt idx="41">
                  <c:v>90.625000000000028</c:v>
                </c:pt>
                <c:pt idx="42">
                  <c:v>81.000000000000043</c:v>
                </c:pt>
                <c:pt idx="43">
                  <c:v>106.43564356435651</c:v>
                </c:pt>
                <c:pt idx="44">
                  <c:v>102.73076923076911</c:v>
                </c:pt>
                <c:pt idx="45">
                  <c:v>84.302325581395266</c:v>
                </c:pt>
                <c:pt idx="46">
                  <c:v>87.5</c:v>
                </c:pt>
                <c:pt idx="47">
                  <c:v>62.927007299270009</c:v>
                </c:pt>
                <c:pt idx="48">
                  <c:v>40.000000000000099</c:v>
                </c:pt>
                <c:pt idx="49">
                  <c:v>32.000000000000028</c:v>
                </c:pt>
                <c:pt idx="50">
                  <c:v>50.133333333333375</c:v>
                </c:pt>
                <c:pt idx="51">
                  <c:v>47.416020671834531</c:v>
                </c:pt>
                <c:pt idx="52">
                  <c:v>38.065843621399104</c:v>
                </c:pt>
                <c:pt idx="53">
                  <c:v>37.041884816753821</c:v>
                </c:pt>
                <c:pt idx="54">
                  <c:v>42.348484848484858</c:v>
                </c:pt>
                <c:pt idx="55">
                  <c:v>44.602272727272734</c:v>
                </c:pt>
                <c:pt idx="56">
                  <c:v>43.037974683544284</c:v>
                </c:pt>
                <c:pt idx="57">
                  <c:v>52.570224719101155</c:v>
                </c:pt>
                <c:pt idx="58">
                  <c:v>45.693240901213251</c:v>
                </c:pt>
                <c:pt idx="59">
                  <c:v>47.435114503816699</c:v>
                </c:pt>
                <c:pt idx="60">
                  <c:v>54.499999999999908</c:v>
                </c:pt>
                <c:pt idx="61">
                  <c:v>60.508397932816514</c:v>
                </c:pt>
                <c:pt idx="62">
                  <c:v>84.642857142857224</c:v>
                </c:pt>
                <c:pt idx="63">
                  <c:v>52.399999999999906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76304"/>
        <c:axId val="604075744"/>
      </c:scatterChart>
      <c:valAx>
        <c:axId val="6040763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75744"/>
        <c:crosses val="autoZero"/>
        <c:crossBetween val="midCat"/>
        <c:majorUnit val="5"/>
      </c:valAx>
      <c:valAx>
        <c:axId val="60407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76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(All)'!$BZ$7:$BZ$107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(All)'!$BZ$7:$BZ$107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97424"/>
        <c:axId val="225097984"/>
      </c:scatterChart>
      <c:valAx>
        <c:axId val="225097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097984"/>
        <c:crosses val="autoZero"/>
        <c:crossBetween val="midCat"/>
        <c:majorUnit val="5"/>
      </c:valAx>
      <c:valAx>
        <c:axId val="2250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097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(All)'!$CA$7:$CA$107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(All)'!$CA$7:$CA$107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00784"/>
        <c:axId val="225101344"/>
      </c:scatterChart>
      <c:valAx>
        <c:axId val="2251007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01344"/>
        <c:crosses val="autoZero"/>
        <c:crossBetween val="midCat"/>
        <c:majorUnit val="5"/>
      </c:valAx>
      <c:valAx>
        <c:axId val="2251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00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(All)'!$CB$7:$CB$107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(All)'!$CB$7:$CB$107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04144"/>
        <c:axId val="225104704"/>
      </c:scatterChart>
      <c:valAx>
        <c:axId val="225104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04704"/>
        <c:crosses val="autoZero"/>
        <c:crossBetween val="midCat"/>
        <c:majorUnit val="5"/>
      </c:valAx>
      <c:valAx>
        <c:axId val="22510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04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(All)'!$CC$7:$CC$107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(All)'!$CC$7:$CC$107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07504"/>
        <c:axId val="225108064"/>
      </c:scatterChart>
      <c:valAx>
        <c:axId val="2251075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08064"/>
        <c:crosses val="autoZero"/>
        <c:crossBetween val="midCat"/>
        <c:majorUnit val="5"/>
      </c:valAx>
      <c:valAx>
        <c:axId val="2251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075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(All)'!$CD$7:$CD$107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(All)'!$CD$7:$CD$107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10864"/>
        <c:axId val="225111424"/>
      </c:scatterChart>
      <c:valAx>
        <c:axId val="225110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11424"/>
        <c:crosses val="autoZero"/>
        <c:crossBetween val="midCat"/>
        <c:majorUnit val="5"/>
      </c:valAx>
      <c:valAx>
        <c:axId val="2251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110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(All)'!$CE$7:$CE$107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(All)'!$CE$7:$CE$107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551504"/>
        <c:axId val="610552064"/>
      </c:scatterChart>
      <c:valAx>
        <c:axId val="6105515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52064"/>
        <c:crosses val="autoZero"/>
        <c:crossBetween val="midCat"/>
        <c:majorUnit val="5"/>
      </c:valAx>
      <c:valAx>
        <c:axId val="6105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515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(All)'!$CF$7:$CF$107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(All)'!$CF$7:$CF$107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554864"/>
        <c:axId val="610555424"/>
      </c:scatterChart>
      <c:valAx>
        <c:axId val="610554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55424"/>
        <c:crosses val="autoZero"/>
        <c:crossBetween val="midCat"/>
        <c:majorUnit val="5"/>
      </c:valAx>
      <c:valAx>
        <c:axId val="61055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54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(All)'!$CG$7:$CG$107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(All)'!$CG$7:$CG$107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558224"/>
        <c:axId val="610558784"/>
      </c:scatterChart>
      <c:valAx>
        <c:axId val="610558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58784"/>
        <c:crosses val="autoZero"/>
        <c:crossBetween val="midCat"/>
        <c:majorUnit val="5"/>
      </c:valAx>
      <c:valAx>
        <c:axId val="61055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58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(All)'!$CH$7:$CH$107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(All)'!$CH$7:$CH$107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561584"/>
        <c:axId val="610562144"/>
      </c:scatterChart>
      <c:valAx>
        <c:axId val="610561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62144"/>
        <c:crosses val="autoZero"/>
        <c:crossBetween val="midCat"/>
        <c:majorUnit val="5"/>
      </c:valAx>
      <c:valAx>
        <c:axId val="6105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61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(All)'!$CI$7:$CI$107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(All)'!$CI$7:$CI$107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564944"/>
        <c:axId val="610565504"/>
      </c:scatterChart>
      <c:valAx>
        <c:axId val="610564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65504"/>
        <c:crosses val="autoZero"/>
        <c:crossBetween val="midCat"/>
        <c:majorUnit val="5"/>
      </c:valAx>
      <c:valAx>
        <c:axId val="61056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64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(All)'!$R$7:$R$107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(All)'!$R$7:$R$107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72944"/>
        <c:axId val="604072384"/>
      </c:scatterChart>
      <c:valAx>
        <c:axId val="604072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72384"/>
        <c:crosses val="autoZero"/>
        <c:crossBetween val="midCat"/>
        <c:majorUnit val="5"/>
      </c:valAx>
      <c:valAx>
        <c:axId val="60407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72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(All)'!$CJ$7:$CJ$107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(All)'!$CJ$7:$CJ$107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0368"/>
        <c:axId val="406660928"/>
      </c:scatterChart>
      <c:valAx>
        <c:axId val="40666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60928"/>
        <c:crosses val="autoZero"/>
        <c:crossBetween val="midCat"/>
        <c:majorUnit val="5"/>
      </c:valAx>
      <c:valAx>
        <c:axId val="4066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6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(All)'!$CK$7:$CK$107</c:f>
              <c:numCache>
                <c:formatCode>0.0000</c:formatCode>
                <c:ptCount val="71"/>
                <c:pt idx="38">
                  <c:v>93.411420204978043</c:v>
                </c:pt>
                <c:pt idx="39">
                  <c:v>81.080752884031568</c:v>
                </c:pt>
                <c:pt idx="41">
                  <c:v>92.857142857142861</c:v>
                </c:pt>
                <c:pt idx="42">
                  <c:v>93.749707602339186</c:v>
                </c:pt>
                <c:pt idx="43">
                  <c:v>92.307246376811605</c:v>
                </c:pt>
                <c:pt idx="44">
                  <c:v>86.666666666666657</c:v>
                </c:pt>
                <c:pt idx="45">
                  <c:v>88.941935483870964</c:v>
                </c:pt>
                <c:pt idx="46">
                  <c:v>82.35</c:v>
                </c:pt>
                <c:pt idx="47">
                  <c:v>78.751807228915666</c:v>
                </c:pt>
                <c:pt idx="48">
                  <c:v>52.501061571125263</c:v>
                </c:pt>
                <c:pt idx="49">
                  <c:v>48.501098901098906</c:v>
                </c:pt>
                <c:pt idx="50">
                  <c:v>46.756714795839152</c:v>
                </c:pt>
                <c:pt idx="51">
                  <c:v>46.699394534446085</c:v>
                </c:pt>
                <c:pt idx="52">
                  <c:v>41.76484070593628</c:v>
                </c:pt>
                <c:pt idx="53">
                  <c:v>40.350877192982459</c:v>
                </c:pt>
                <c:pt idx="54">
                  <c:v>42.731849200134242</c:v>
                </c:pt>
                <c:pt idx="55">
                  <c:v>54.66734097550011</c:v>
                </c:pt>
                <c:pt idx="56">
                  <c:v>47.928367563937542</c:v>
                </c:pt>
                <c:pt idx="57">
                  <c:v>53.333333333333329</c:v>
                </c:pt>
                <c:pt idx="58">
                  <c:v>42.666666666666664</c:v>
                </c:pt>
                <c:pt idx="59">
                  <c:v>51.999999999999993</c:v>
                </c:pt>
                <c:pt idx="60">
                  <c:v>79.998063704133983</c:v>
                </c:pt>
                <c:pt idx="61">
                  <c:v>76.572465960665653</c:v>
                </c:pt>
                <c:pt idx="62">
                  <c:v>83.554999999999993</c:v>
                </c:pt>
                <c:pt idx="63">
                  <c:v>69.334171644137058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(All)'!$CK$7:$CK$107</c:f>
              <c:numCache>
                <c:formatCode>0.0000</c:formatCode>
                <c:ptCount val="71"/>
                <c:pt idx="38">
                  <c:v>93.411420204978043</c:v>
                </c:pt>
                <c:pt idx="39">
                  <c:v>81.080752884031568</c:v>
                </c:pt>
                <c:pt idx="41">
                  <c:v>92.857142857142861</c:v>
                </c:pt>
                <c:pt idx="42">
                  <c:v>93.749707602339186</c:v>
                </c:pt>
                <c:pt idx="43">
                  <c:v>92.307246376811605</c:v>
                </c:pt>
                <c:pt idx="44">
                  <c:v>86.666666666666657</c:v>
                </c:pt>
                <c:pt idx="45">
                  <c:v>88.941935483870964</c:v>
                </c:pt>
                <c:pt idx="46">
                  <c:v>82.35</c:v>
                </c:pt>
                <c:pt idx="47">
                  <c:v>78.751807228915666</c:v>
                </c:pt>
                <c:pt idx="48">
                  <c:v>52.501061571125263</c:v>
                </c:pt>
                <c:pt idx="49">
                  <c:v>48.501098901098906</c:v>
                </c:pt>
                <c:pt idx="50">
                  <c:v>46.756714795839152</c:v>
                </c:pt>
                <c:pt idx="51">
                  <c:v>46.699394534446085</c:v>
                </c:pt>
                <c:pt idx="52">
                  <c:v>41.76484070593628</c:v>
                </c:pt>
                <c:pt idx="53">
                  <c:v>40.350877192982459</c:v>
                </c:pt>
                <c:pt idx="54">
                  <c:v>42.731849200134242</c:v>
                </c:pt>
                <c:pt idx="55">
                  <c:v>54.66734097550011</c:v>
                </c:pt>
                <c:pt idx="56">
                  <c:v>47.928367563937542</c:v>
                </c:pt>
                <c:pt idx="57">
                  <c:v>53.333333333333329</c:v>
                </c:pt>
                <c:pt idx="58">
                  <c:v>42.666666666666664</c:v>
                </c:pt>
                <c:pt idx="59">
                  <c:v>51.999999999999993</c:v>
                </c:pt>
                <c:pt idx="60">
                  <c:v>79.998063704133983</c:v>
                </c:pt>
                <c:pt idx="61">
                  <c:v>76.572465960665653</c:v>
                </c:pt>
                <c:pt idx="62">
                  <c:v>83.554999999999993</c:v>
                </c:pt>
                <c:pt idx="63">
                  <c:v>69.334171644137058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3728"/>
        <c:axId val="406664288"/>
      </c:scatterChart>
      <c:valAx>
        <c:axId val="406663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64288"/>
        <c:crosses val="autoZero"/>
        <c:crossBetween val="midCat"/>
        <c:majorUnit val="5"/>
      </c:valAx>
      <c:valAx>
        <c:axId val="4066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63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(All)'!$CL$7:$CL$107</c:f>
              <c:numCache>
                <c:formatCode>0.0000</c:formatCode>
                <c:ptCount val="71"/>
                <c:pt idx="38">
                  <c:v>90.765456329735045</c:v>
                </c:pt>
                <c:pt idx="39">
                  <c:v>82.1111111111111</c:v>
                </c:pt>
                <c:pt idx="41">
                  <c:v>92.857142857142861</c:v>
                </c:pt>
                <c:pt idx="42">
                  <c:v>93.75333333333333</c:v>
                </c:pt>
                <c:pt idx="43">
                  <c:v>92.305010893246191</c:v>
                </c:pt>
                <c:pt idx="44">
                  <c:v>85.51627906976745</c:v>
                </c:pt>
                <c:pt idx="47">
                  <c:v>79.992141453831039</c:v>
                </c:pt>
                <c:pt idx="48">
                  <c:v>52.502078137988363</c:v>
                </c:pt>
                <c:pt idx="49">
                  <c:v>42.674719585849871</c:v>
                </c:pt>
                <c:pt idx="50">
                  <c:v>60</c:v>
                </c:pt>
                <c:pt idx="51">
                  <c:v>46.670100437805822</c:v>
                </c:pt>
                <c:pt idx="52">
                  <c:v>42.672985781990526</c:v>
                </c:pt>
                <c:pt idx="53">
                  <c:v>40.681481481481477</c:v>
                </c:pt>
                <c:pt idx="54">
                  <c:v>46.445553272673905</c:v>
                </c:pt>
                <c:pt idx="55">
                  <c:v>53.333333333333343</c:v>
                </c:pt>
                <c:pt idx="56">
                  <c:v>49.333333333333336</c:v>
                </c:pt>
                <c:pt idx="57">
                  <c:v>58.675433581093955</c:v>
                </c:pt>
                <c:pt idx="58">
                  <c:v>53.514807813484559</c:v>
                </c:pt>
                <c:pt idx="59">
                  <c:v>47.4969696969697</c:v>
                </c:pt>
                <c:pt idx="60">
                  <c:v>54.271617761620362</c:v>
                </c:pt>
                <c:pt idx="61">
                  <c:v>79.676985195154785</c:v>
                </c:pt>
                <c:pt idx="62">
                  <c:v>78.543726235741445</c:v>
                </c:pt>
                <c:pt idx="63">
                  <c:v>80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(All)'!$CL$7:$CL$107</c:f>
              <c:numCache>
                <c:formatCode>0.0000</c:formatCode>
                <c:ptCount val="71"/>
                <c:pt idx="38">
                  <c:v>90.765456329735045</c:v>
                </c:pt>
                <c:pt idx="39">
                  <c:v>82.1111111111111</c:v>
                </c:pt>
                <c:pt idx="41">
                  <c:v>92.857142857142861</c:v>
                </c:pt>
                <c:pt idx="42">
                  <c:v>93.75333333333333</c:v>
                </c:pt>
                <c:pt idx="43">
                  <c:v>92.305010893246191</c:v>
                </c:pt>
                <c:pt idx="44">
                  <c:v>85.51627906976745</c:v>
                </c:pt>
                <c:pt idx="47">
                  <c:v>79.992141453831039</c:v>
                </c:pt>
                <c:pt idx="48">
                  <c:v>52.502078137988363</c:v>
                </c:pt>
                <c:pt idx="49">
                  <c:v>42.674719585849871</c:v>
                </c:pt>
                <c:pt idx="50">
                  <c:v>60</c:v>
                </c:pt>
                <c:pt idx="51">
                  <c:v>46.670100437805822</c:v>
                </c:pt>
                <c:pt idx="52">
                  <c:v>42.672985781990526</c:v>
                </c:pt>
                <c:pt idx="53">
                  <c:v>40.681481481481477</c:v>
                </c:pt>
                <c:pt idx="54">
                  <c:v>46.445553272673905</c:v>
                </c:pt>
                <c:pt idx="55">
                  <c:v>53.333333333333343</c:v>
                </c:pt>
                <c:pt idx="56">
                  <c:v>49.333333333333336</c:v>
                </c:pt>
                <c:pt idx="57">
                  <c:v>58.675433581093955</c:v>
                </c:pt>
                <c:pt idx="58">
                  <c:v>53.514807813484559</c:v>
                </c:pt>
                <c:pt idx="59">
                  <c:v>47.4969696969697</c:v>
                </c:pt>
                <c:pt idx="60">
                  <c:v>54.271617761620362</c:v>
                </c:pt>
                <c:pt idx="61">
                  <c:v>79.676985195154785</c:v>
                </c:pt>
                <c:pt idx="62">
                  <c:v>78.543726235741445</c:v>
                </c:pt>
                <c:pt idx="63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7088"/>
        <c:axId val="406667648"/>
      </c:scatterChart>
      <c:valAx>
        <c:axId val="40666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67648"/>
        <c:crosses val="autoZero"/>
        <c:crossBetween val="midCat"/>
        <c:majorUnit val="5"/>
      </c:valAx>
      <c:valAx>
        <c:axId val="40666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6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(All)'!$CM$7:$CM$107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(All)'!$CM$7:$CM$107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70448"/>
        <c:axId val="406671008"/>
      </c:scatterChart>
      <c:valAx>
        <c:axId val="40667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71008"/>
        <c:crosses val="autoZero"/>
        <c:crossBetween val="midCat"/>
        <c:majorUnit val="5"/>
      </c:valAx>
      <c:valAx>
        <c:axId val="4066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7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(All)'!$CN$7:$CN$107</c:f>
              <c:numCache>
                <c:formatCode>0.0000</c:formatCode>
                <c:ptCount val="71"/>
                <c:pt idx="24">
                  <c:v>73.054097951024403</c:v>
                </c:pt>
                <c:pt idx="25">
                  <c:v>74.104802149416201</c:v>
                </c:pt>
                <c:pt idx="26">
                  <c:v>38.366012952809598</c:v>
                </c:pt>
                <c:pt idx="27">
                  <c:v>37.4390198566538</c:v>
                </c:pt>
                <c:pt idx="28">
                  <c:v>39.569611814386796</c:v>
                </c:pt>
                <c:pt idx="29">
                  <c:v>37.038285874298801</c:v>
                </c:pt>
                <c:pt idx="30">
                  <c:v>27.8798474899762</c:v>
                </c:pt>
                <c:pt idx="31">
                  <c:v>24.337000812563598</c:v>
                </c:pt>
                <c:pt idx="32">
                  <c:v>27.0296490237548</c:v>
                </c:pt>
                <c:pt idx="33">
                  <c:v>34.499624411366597</c:v>
                </c:pt>
                <c:pt idx="34">
                  <c:v>33.260544964725</c:v>
                </c:pt>
                <c:pt idx="35">
                  <c:v>27.119662866608198</c:v>
                </c:pt>
                <c:pt idx="36">
                  <c:v>34.614235457322202</c:v>
                </c:pt>
                <c:pt idx="37">
                  <c:v>35.928831122118801</c:v>
                </c:pt>
                <c:pt idx="38">
                  <c:v>39.0842200136412</c:v>
                </c:pt>
                <c:pt idx="39">
                  <c:v>71.787617004495004</c:v>
                </c:pt>
                <c:pt idx="40">
                  <c:v>88.136008403306207</c:v>
                </c:pt>
                <c:pt idx="41">
                  <c:v>73.714917424594205</c:v>
                </c:pt>
                <c:pt idx="42">
                  <c:v>78.999953651400602</c:v>
                </c:pt>
                <c:pt idx="43">
                  <c:v>69.155861793590205</c:v>
                </c:pt>
                <c:pt idx="44">
                  <c:v>11.585371536034721</c:v>
                </c:pt>
                <c:pt idx="45">
                  <c:v>10.328958299592339</c:v>
                </c:pt>
                <c:pt idx="46">
                  <c:v>31.314572108282</c:v>
                </c:pt>
                <c:pt idx="47">
                  <c:v>33.198951362938402</c:v>
                </c:pt>
                <c:pt idx="48">
                  <c:v>23.986968284315601</c:v>
                </c:pt>
                <c:pt idx="49">
                  <c:v>29.743550302714201</c:v>
                </c:pt>
                <c:pt idx="50">
                  <c:v>23.1501590672246</c:v>
                </c:pt>
                <c:pt idx="51">
                  <c:v>28.547023799909802</c:v>
                </c:pt>
                <c:pt idx="52">
                  <c:v>23.183905307745398</c:v>
                </c:pt>
                <c:pt idx="53">
                  <c:v>24.230999934822201</c:v>
                </c:pt>
                <c:pt idx="54">
                  <c:v>44.2184473313404</c:v>
                </c:pt>
                <c:pt idx="55">
                  <c:v>43.346938775510196</c:v>
                </c:pt>
                <c:pt idx="56">
                  <c:v>51.826415094339602</c:v>
                </c:pt>
                <c:pt idx="57">
                  <c:v>53.331932773109195</c:v>
                </c:pt>
                <c:pt idx="58">
                  <c:v>53.3359621451104</c:v>
                </c:pt>
                <c:pt idx="59">
                  <c:v>57.334162520729599</c:v>
                </c:pt>
                <c:pt idx="60">
                  <c:v>61.561897416120395</c:v>
                </c:pt>
                <c:pt idx="61">
                  <c:v>65.203689469638803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(All)'!$CN$7:$CN$107</c:f>
              <c:numCache>
                <c:formatCode>0.0000</c:formatCode>
                <c:ptCount val="71"/>
                <c:pt idx="24">
                  <c:v>73.054097951024403</c:v>
                </c:pt>
                <c:pt idx="25">
                  <c:v>74.104802149416201</c:v>
                </c:pt>
                <c:pt idx="26">
                  <c:v>38.366012952809598</c:v>
                </c:pt>
                <c:pt idx="27">
                  <c:v>37.4390198566538</c:v>
                </c:pt>
                <c:pt idx="28">
                  <c:v>39.569611814386796</c:v>
                </c:pt>
                <c:pt idx="29">
                  <c:v>37.038285874298801</c:v>
                </c:pt>
                <c:pt idx="30">
                  <c:v>27.8798474899762</c:v>
                </c:pt>
                <c:pt idx="31">
                  <c:v>24.337000812563598</c:v>
                </c:pt>
                <c:pt idx="32">
                  <c:v>27.0296490237548</c:v>
                </c:pt>
                <c:pt idx="33">
                  <c:v>34.499624411366597</c:v>
                </c:pt>
                <c:pt idx="34">
                  <c:v>33.260544964725</c:v>
                </c:pt>
                <c:pt idx="35">
                  <c:v>27.119662866608198</c:v>
                </c:pt>
                <c:pt idx="36">
                  <c:v>34.614235457322202</c:v>
                </c:pt>
                <c:pt idx="37">
                  <c:v>35.928831122118801</c:v>
                </c:pt>
                <c:pt idx="38">
                  <c:v>39.0842200136412</c:v>
                </c:pt>
                <c:pt idx="39">
                  <c:v>71.787617004495004</c:v>
                </c:pt>
                <c:pt idx="40">
                  <c:v>88.136008403306207</c:v>
                </c:pt>
                <c:pt idx="41">
                  <c:v>73.714917424594205</c:v>
                </c:pt>
                <c:pt idx="42">
                  <c:v>78.999953651400602</c:v>
                </c:pt>
                <c:pt idx="43">
                  <c:v>69.155861793590205</c:v>
                </c:pt>
                <c:pt idx="44">
                  <c:v>11.585371536034721</c:v>
                </c:pt>
                <c:pt idx="45">
                  <c:v>10.328958299592339</c:v>
                </c:pt>
                <c:pt idx="46">
                  <c:v>31.314572108282</c:v>
                </c:pt>
                <c:pt idx="47">
                  <c:v>33.198951362938402</c:v>
                </c:pt>
                <c:pt idx="48">
                  <c:v>23.986968284315601</c:v>
                </c:pt>
                <c:pt idx="49">
                  <c:v>29.743550302714201</c:v>
                </c:pt>
                <c:pt idx="50">
                  <c:v>23.1501590672246</c:v>
                </c:pt>
                <c:pt idx="51">
                  <c:v>28.547023799909802</c:v>
                </c:pt>
                <c:pt idx="52">
                  <c:v>23.183905307745398</c:v>
                </c:pt>
                <c:pt idx="53">
                  <c:v>24.230999934822201</c:v>
                </c:pt>
                <c:pt idx="54">
                  <c:v>44.2184473313404</c:v>
                </c:pt>
                <c:pt idx="55">
                  <c:v>43.346938775510196</c:v>
                </c:pt>
                <c:pt idx="56">
                  <c:v>51.826415094339602</c:v>
                </c:pt>
                <c:pt idx="57">
                  <c:v>53.331932773109195</c:v>
                </c:pt>
                <c:pt idx="58">
                  <c:v>53.3359621451104</c:v>
                </c:pt>
                <c:pt idx="59">
                  <c:v>57.334162520729599</c:v>
                </c:pt>
                <c:pt idx="60">
                  <c:v>61.561897416120395</c:v>
                </c:pt>
                <c:pt idx="61">
                  <c:v>65.203689469638803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73808"/>
        <c:axId val="406674368"/>
      </c:scatterChart>
      <c:valAx>
        <c:axId val="40667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74368"/>
        <c:crosses val="autoZero"/>
        <c:crossBetween val="midCat"/>
        <c:majorUnit val="5"/>
      </c:valAx>
      <c:valAx>
        <c:axId val="4066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7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(All)'!$CO$7:$CO$107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(All)'!$CO$7:$CO$107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77168"/>
        <c:axId val="406677728"/>
      </c:scatterChart>
      <c:valAx>
        <c:axId val="406677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77728"/>
        <c:crosses val="autoZero"/>
        <c:crossBetween val="midCat"/>
        <c:majorUnit val="5"/>
      </c:valAx>
      <c:valAx>
        <c:axId val="4066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77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(All)'!$CP$7:$CP$107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(All)'!$CP$7:$CP$107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80528"/>
        <c:axId val="406681088"/>
      </c:scatterChart>
      <c:valAx>
        <c:axId val="406680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81088"/>
        <c:crosses val="autoZero"/>
        <c:crossBetween val="midCat"/>
        <c:majorUnit val="5"/>
      </c:valAx>
      <c:valAx>
        <c:axId val="40668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80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(All)'!$CQ$7:$CQ$107</c:f>
              <c:numCache>
                <c:formatCode>0.0000</c:formatCode>
                <c:ptCount val="71"/>
                <c:pt idx="40">
                  <c:v>82.8309945088468</c:v>
                </c:pt>
                <c:pt idx="41">
                  <c:v>93.3333333333334</c:v>
                </c:pt>
                <c:pt idx="42">
                  <c:v>83.340817242927798</c:v>
                </c:pt>
                <c:pt idx="43">
                  <c:v>80</c:v>
                </c:pt>
                <c:pt idx="45">
                  <c:v>87.283170591613995</c:v>
                </c:pt>
                <c:pt idx="46">
                  <c:v>200</c:v>
                </c:pt>
                <c:pt idx="47">
                  <c:v>93.3333333333334</c:v>
                </c:pt>
                <c:pt idx="48">
                  <c:v>93.3333333333334</c:v>
                </c:pt>
                <c:pt idx="49">
                  <c:v>95.978835978836003</c:v>
                </c:pt>
                <c:pt idx="50">
                  <c:v>98.825931597753993</c:v>
                </c:pt>
                <c:pt idx="51">
                  <c:v>100</c:v>
                </c:pt>
                <c:pt idx="52">
                  <c:v>64.975609756097597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(All)'!$CQ$7:$CQ$107</c:f>
              <c:numCache>
                <c:formatCode>0.0000</c:formatCode>
                <c:ptCount val="71"/>
                <c:pt idx="40">
                  <c:v>82.8309945088468</c:v>
                </c:pt>
                <c:pt idx="41">
                  <c:v>93.3333333333334</c:v>
                </c:pt>
                <c:pt idx="42">
                  <c:v>83.340817242927798</c:v>
                </c:pt>
                <c:pt idx="43">
                  <c:v>80</c:v>
                </c:pt>
                <c:pt idx="45">
                  <c:v>87.283170591613995</c:v>
                </c:pt>
                <c:pt idx="46">
                  <c:v>200</c:v>
                </c:pt>
                <c:pt idx="47">
                  <c:v>93.3333333333334</c:v>
                </c:pt>
                <c:pt idx="48">
                  <c:v>93.3333333333334</c:v>
                </c:pt>
                <c:pt idx="49">
                  <c:v>95.978835978836003</c:v>
                </c:pt>
                <c:pt idx="50">
                  <c:v>98.825931597753993</c:v>
                </c:pt>
                <c:pt idx="51">
                  <c:v>100</c:v>
                </c:pt>
                <c:pt idx="52">
                  <c:v>64.975609756097597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83888"/>
        <c:axId val="406684448"/>
      </c:scatterChart>
      <c:valAx>
        <c:axId val="406683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84448"/>
        <c:crosses val="autoZero"/>
        <c:crossBetween val="midCat"/>
        <c:majorUnit val="5"/>
      </c:valAx>
      <c:valAx>
        <c:axId val="40668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83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(All)'!$CR$7:$CR$107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(All)'!$CR$7:$CR$107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87248"/>
        <c:axId val="406687808"/>
      </c:scatterChart>
      <c:valAx>
        <c:axId val="40668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87808"/>
        <c:crosses val="autoZero"/>
        <c:crossBetween val="midCat"/>
        <c:majorUnit val="5"/>
      </c:valAx>
      <c:valAx>
        <c:axId val="4066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68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(All)'!$CS$7:$CS$107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(All)'!$CS$7:$CS$107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57296"/>
        <c:axId val="626057856"/>
      </c:scatterChart>
      <c:valAx>
        <c:axId val="626057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57856"/>
        <c:crosses val="autoZero"/>
        <c:crossBetween val="midCat"/>
        <c:majorUnit val="5"/>
      </c:valAx>
      <c:valAx>
        <c:axId val="62605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57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(All)'!$S$7:$S$107</c:f>
              <c:numCache>
                <c:formatCode>0.0000</c:formatCode>
                <c:ptCount val="71"/>
                <c:pt idx="8">
                  <c:v>60.479054591418624</c:v>
                </c:pt>
                <c:pt idx="30">
                  <c:v>75.598818239273285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(All)'!$S$7:$S$107</c:f>
              <c:numCache>
                <c:formatCode>0.0000</c:formatCode>
                <c:ptCount val="71"/>
                <c:pt idx="8">
                  <c:v>60.479054591418624</c:v>
                </c:pt>
                <c:pt idx="30">
                  <c:v>75.598818239273285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69584"/>
        <c:axId val="604069024"/>
      </c:scatterChart>
      <c:valAx>
        <c:axId val="604069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69024"/>
        <c:crosses val="autoZero"/>
        <c:crossBetween val="midCat"/>
        <c:majorUnit val="5"/>
      </c:valAx>
      <c:valAx>
        <c:axId val="6040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069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(All)'!$CT$7:$CT$107</c:f>
              <c:numCache>
                <c:formatCode>0.0000</c:formatCode>
                <c:ptCount val="71"/>
                <c:pt idx="37">
                  <c:v>89.672232529375407</c:v>
                </c:pt>
                <c:pt idx="38">
                  <c:v>67.208888888888808</c:v>
                </c:pt>
                <c:pt idx="39">
                  <c:v>45.257142857142796</c:v>
                </c:pt>
                <c:pt idx="40">
                  <c:v>47.134803921568604</c:v>
                </c:pt>
                <c:pt idx="41">
                  <c:v>85.713888888888789</c:v>
                </c:pt>
                <c:pt idx="42">
                  <c:v>62.496000000000002</c:v>
                </c:pt>
                <c:pt idx="43">
                  <c:v>67.691428571428602</c:v>
                </c:pt>
                <c:pt idx="44">
                  <c:v>77.766666666666595</c:v>
                </c:pt>
                <c:pt idx="45">
                  <c:v>77.78</c:v>
                </c:pt>
                <c:pt idx="46">
                  <c:v>70.586666666666602</c:v>
                </c:pt>
                <c:pt idx="47">
                  <c:v>62.5</c:v>
                </c:pt>
                <c:pt idx="48">
                  <c:v>37.5</c:v>
                </c:pt>
                <c:pt idx="49">
                  <c:v>33.3333333333334</c:v>
                </c:pt>
                <c:pt idx="50">
                  <c:v>33.335000000000001</c:v>
                </c:pt>
                <c:pt idx="51">
                  <c:v>33.3333333333334</c:v>
                </c:pt>
                <c:pt idx="57">
                  <c:v>100</c:v>
                </c:pt>
                <c:pt idx="58">
                  <c:v>78.75</c:v>
                </c:pt>
                <c:pt idx="60">
                  <c:v>86.760563380281596</c:v>
                </c:pt>
                <c:pt idx="61">
                  <c:v>75</c:v>
                </c:pt>
                <c:pt idx="62">
                  <c:v>131.19999999999999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(All)'!$CT$7:$CT$107</c:f>
              <c:numCache>
                <c:formatCode>0.0000</c:formatCode>
                <c:ptCount val="71"/>
                <c:pt idx="37">
                  <c:v>89.672232529375407</c:v>
                </c:pt>
                <c:pt idx="38">
                  <c:v>67.208888888888808</c:v>
                </c:pt>
                <c:pt idx="39">
                  <c:v>45.257142857142796</c:v>
                </c:pt>
                <c:pt idx="40">
                  <c:v>47.134803921568604</c:v>
                </c:pt>
                <c:pt idx="41">
                  <c:v>85.713888888888789</c:v>
                </c:pt>
                <c:pt idx="42">
                  <c:v>62.496000000000002</c:v>
                </c:pt>
                <c:pt idx="43">
                  <c:v>67.691428571428602</c:v>
                </c:pt>
                <c:pt idx="44">
                  <c:v>77.766666666666595</c:v>
                </c:pt>
                <c:pt idx="45">
                  <c:v>77.78</c:v>
                </c:pt>
                <c:pt idx="46">
                  <c:v>70.586666666666602</c:v>
                </c:pt>
                <c:pt idx="47">
                  <c:v>62.5</c:v>
                </c:pt>
                <c:pt idx="48">
                  <c:v>37.5</c:v>
                </c:pt>
                <c:pt idx="49">
                  <c:v>33.3333333333334</c:v>
                </c:pt>
                <c:pt idx="50">
                  <c:v>33.335000000000001</c:v>
                </c:pt>
                <c:pt idx="51">
                  <c:v>33.3333333333334</c:v>
                </c:pt>
                <c:pt idx="57">
                  <c:v>100</c:v>
                </c:pt>
                <c:pt idx="58">
                  <c:v>78.75</c:v>
                </c:pt>
                <c:pt idx="60">
                  <c:v>86.760563380281596</c:v>
                </c:pt>
                <c:pt idx="61">
                  <c:v>75</c:v>
                </c:pt>
                <c:pt idx="62">
                  <c:v>131.19999999999999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0656"/>
        <c:axId val="626061216"/>
      </c:scatterChart>
      <c:valAx>
        <c:axId val="626060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61216"/>
        <c:crosses val="autoZero"/>
        <c:crossBetween val="midCat"/>
        <c:majorUnit val="5"/>
      </c:valAx>
      <c:valAx>
        <c:axId val="6260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60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(All)'!$CU$7:$CU$107</c:f>
              <c:numCache>
                <c:formatCode>0.0000</c:formatCode>
                <c:ptCount val="71"/>
                <c:pt idx="37">
                  <c:v>74.596363636363606</c:v>
                </c:pt>
                <c:pt idx="38">
                  <c:v>67.202517162471395</c:v>
                </c:pt>
                <c:pt idx="39">
                  <c:v>50.065882352941202</c:v>
                </c:pt>
                <c:pt idx="40">
                  <c:v>47.130158730158804</c:v>
                </c:pt>
                <c:pt idx="41">
                  <c:v>85.714285714285808</c:v>
                </c:pt>
                <c:pt idx="42">
                  <c:v>59.64</c:v>
                </c:pt>
                <c:pt idx="43">
                  <c:v>67.693333333333399</c:v>
                </c:pt>
                <c:pt idx="44">
                  <c:v>77.7746307910176</c:v>
                </c:pt>
                <c:pt idx="45">
                  <c:v>77.763347763347795</c:v>
                </c:pt>
                <c:pt idx="46">
                  <c:v>82.349206349206398</c:v>
                </c:pt>
                <c:pt idx="47">
                  <c:v>62.5</c:v>
                </c:pt>
                <c:pt idx="48">
                  <c:v>37.5008874689386</c:v>
                </c:pt>
                <c:pt idx="49">
                  <c:v>33.345945945945999</c:v>
                </c:pt>
                <c:pt idx="50">
                  <c:v>33.0902527075812</c:v>
                </c:pt>
                <c:pt idx="51">
                  <c:v>33.3333333333334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(All)'!$CU$7:$CU$107</c:f>
              <c:numCache>
                <c:formatCode>0.0000</c:formatCode>
                <c:ptCount val="71"/>
                <c:pt idx="37">
                  <c:v>74.596363636363606</c:v>
                </c:pt>
                <c:pt idx="38">
                  <c:v>67.202517162471395</c:v>
                </c:pt>
                <c:pt idx="39">
                  <c:v>50.065882352941202</c:v>
                </c:pt>
                <c:pt idx="40">
                  <c:v>47.130158730158804</c:v>
                </c:pt>
                <c:pt idx="41">
                  <c:v>85.714285714285808</c:v>
                </c:pt>
                <c:pt idx="42">
                  <c:v>59.64</c:v>
                </c:pt>
                <c:pt idx="43">
                  <c:v>67.693333333333399</c:v>
                </c:pt>
                <c:pt idx="44">
                  <c:v>77.7746307910176</c:v>
                </c:pt>
                <c:pt idx="45">
                  <c:v>77.763347763347795</c:v>
                </c:pt>
                <c:pt idx="46">
                  <c:v>82.349206349206398</c:v>
                </c:pt>
                <c:pt idx="47">
                  <c:v>62.5</c:v>
                </c:pt>
                <c:pt idx="48">
                  <c:v>37.5008874689386</c:v>
                </c:pt>
                <c:pt idx="49">
                  <c:v>33.345945945945999</c:v>
                </c:pt>
                <c:pt idx="50">
                  <c:v>33.0902527075812</c:v>
                </c:pt>
                <c:pt idx="51">
                  <c:v>33.3333333333334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4016"/>
        <c:axId val="626064576"/>
      </c:scatterChart>
      <c:valAx>
        <c:axId val="6260640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64576"/>
        <c:crosses val="autoZero"/>
        <c:crossBetween val="midCat"/>
        <c:majorUnit val="5"/>
      </c:valAx>
      <c:valAx>
        <c:axId val="62606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640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(All)'!$CV$7:$CV$107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(All)'!$CV$7:$CV$107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7376"/>
        <c:axId val="626067936"/>
      </c:scatterChart>
      <c:valAx>
        <c:axId val="6260673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67936"/>
        <c:crosses val="autoZero"/>
        <c:crossBetween val="midCat"/>
        <c:majorUnit val="5"/>
      </c:valAx>
      <c:valAx>
        <c:axId val="6260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673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(All)'!$CW$7:$CW$107</c:f>
              <c:numCache>
                <c:formatCode>General</c:formatCode>
                <c:ptCount val="71"/>
                <c:pt idx="37" formatCode="0.0000">
                  <c:v>110.18078566716699</c:v>
                </c:pt>
                <c:pt idx="38" formatCode="0.0000">
                  <c:v>62.733931892810403</c:v>
                </c:pt>
                <c:pt idx="39" formatCode="0.0000">
                  <c:v>83.282773300286408</c:v>
                </c:pt>
                <c:pt idx="40" formatCode="0.0000">
                  <c:v>69.470540058775399</c:v>
                </c:pt>
                <c:pt idx="41" formatCode="0.0000">
                  <c:v>34.725634725634798</c:v>
                </c:pt>
                <c:pt idx="42" formatCode="0.0000">
                  <c:v>79.039999999999992</c:v>
                </c:pt>
                <c:pt idx="43" formatCode="0.0000">
                  <c:v>109.60000000000001</c:v>
                </c:pt>
                <c:pt idx="44" formatCode="0.0000">
                  <c:v>66.6666666666666</c:v>
                </c:pt>
                <c:pt idx="45" formatCode="0.0000">
                  <c:v>37</c:v>
                </c:pt>
                <c:pt idx="46" formatCode="0.0000">
                  <c:v>39.200000000000003</c:v>
                </c:pt>
                <c:pt idx="47" formatCode="0.0000">
                  <c:v>38.134763513513604</c:v>
                </c:pt>
                <c:pt idx="48" formatCode="0.0000">
                  <c:v>70.993955810895599</c:v>
                </c:pt>
                <c:pt idx="49" formatCode="0.0000">
                  <c:v>77.499729731667202</c:v>
                </c:pt>
                <c:pt idx="50" formatCode="0.0000">
                  <c:v>97.363836662723202</c:v>
                </c:pt>
                <c:pt idx="51" formatCode="0.0000">
                  <c:v>113.3186813186814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(All)'!$CW$7:$CW$107</c:f>
              <c:numCache>
                <c:formatCode>General</c:formatCode>
                <c:ptCount val="71"/>
                <c:pt idx="37" formatCode="0.0000">
                  <c:v>110.18078566716699</c:v>
                </c:pt>
                <c:pt idx="38" formatCode="0.0000">
                  <c:v>62.733931892810403</c:v>
                </c:pt>
                <c:pt idx="39" formatCode="0.0000">
                  <c:v>83.282773300286408</c:v>
                </c:pt>
                <c:pt idx="40" formatCode="0.0000">
                  <c:v>69.470540058775399</c:v>
                </c:pt>
                <c:pt idx="41" formatCode="0.0000">
                  <c:v>34.725634725634798</c:v>
                </c:pt>
                <c:pt idx="42" formatCode="0.0000">
                  <c:v>79.039999999999992</c:v>
                </c:pt>
                <c:pt idx="43" formatCode="0.0000">
                  <c:v>109.60000000000001</c:v>
                </c:pt>
                <c:pt idx="44" formatCode="0.0000">
                  <c:v>66.6666666666666</c:v>
                </c:pt>
                <c:pt idx="45" formatCode="0.0000">
                  <c:v>37</c:v>
                </c:pt>
                <c:pt idx="46" formatCode="0.0000">
                  <c:v>39.200000000000003</c:v>
                </c:pt>
                <c:pt idx="47" formatCode="0.0000">
                  <c:v>38.134763513513604</c:v>
                </c:pt>
                <c:pt idx="48" formatCode="0.0000">
                  <c:v>70.993955810895599</c:v>
                </c:pt>
                <c:pt idx="49" formatCode="0.0000">
                  <c:v>77.499729731667202</c:v>
                </c:pt>
                <c:pt idx="50" formatCode="0.0000">
                  <c:v>97.363836662723202</c:v>
                </c:pt>
                <c:pt idx="51" formatCode="0.0000">
                  <c:v>113.3186813186814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70736"/>
        <c:axId val="626071296"/>
      </c:scatterChart>
      <c:valAx>
        <c:axId val="626070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71296"/>
        <c:crosses val="autoZero"/>
        <c:crossBetween val="midCat"/>
        <c:majorUnit val="5"/>
      </c:valAx>
      <c:valAx>
        <c:axId val="6260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70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(All)'!$CX$7:$CX$107</c:f>
              <c:numCache>
                <c:formatCode>General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(All)'!$CX$7:$CX$107</c:f>
              <c:numCache>
                <c:formatCode>General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74096"/>
        <c:axId val="626074656"/>
      </c:scatterChart>
      <c:valAx>
        <c:axId val="626074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74656"/>
        <c:crosses val="autoZero"/>
        <c:crossBetween val="midCat"/>
        <c:majorUnit val="5"/>
      </c:valAx>
      <c:valAx>
        <c:axId val="6260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74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(All)'!$CY$7:$CY$107</c:f>
              <c:numCache>
                <c:formatCode>General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(All)'!$CY$7:$CY$107</c:f>
              <c:numCache>
                <c:formatCode>General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77456"/>
        <c:axId val="626078016"/>
      </c:scatterChart>
      <c:valAx>
        <c:axId val="626077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78016"/>
        <c:crosses val="autoZero"/>
        <c:crossBetween val="midCat"/>
        <c:majorUnit val="5"/>
      </c:valAx>
      <c:valAx>
        <c:axId val="62607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77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(All)'!$N$7:$N$107</c:f>
              <c:numCache>
                <c:formatCode>0.0000</c:formatCode>
                <c:ptCount val="71"/>
                <c:pt idx="35">
                  <c:v>51.067952226922117</c:v>
                </c:pt>
                <c:pt idx="36">
                  <c:v>50.977279243119263</c:v>
                </c:pt>
                <c:pt idx="37">
                  <c:v>66.735632183908052</c:v>
                </c:pt>
                <c:pt idx="38">
                  <c:v>78.117227543360087</c:v>
                </c:pt>
                <c:pt idx="39">
                  <c:v>80.724648107600871</c:v>
                </c:pt>
                <c:pt idx="40">
                  <c:v>84.325238095238092</c:v>
                </c:pt>
                <c:pt idx="41">
                  <c:v>85.736484553775739</c:v>
                </c:pt>
                <c:pt idx="42">
                  <c:v>85.492880258899675</c:v>
                </c:pt>
                <c:pt idx="43">
                  <c:v>88.496626040428055</c:v>
                </c:pt>
                <c:pt idx="44">
                  <c:v>80.191283607979173</c:v>
                </c:pt>
                <c:pt idx="45">
                  <c:v>76.71032763532763</c:v>
                </c:pt>
                <c:pt idx="46">
                  <c:v>72.384150131484574</c:v>
                </c:pt>
                <c:pt idx="47">
                  <c:v>62.913312693498447</c:v>
                </c:pt>
                <c:pt idx="48">
                  <c:v>40.641999999999996</c:v>
                </c:pt>
                <c:pt idx="49">
                  <c:v>37.890197916666665</c:v>
                </c:pt>
                <c:pt idx="50">
                  <c:v>44.46989916326968</c:v>
                </c:pt>
                <c:pt idx="51">
                  <c:v>40.424170274170272</c:v>
                </c:pt>
                <c:pt idx="52">
                  <c:v>36.659122420040958</c:v>
                </c:pt>
                <c:pt idx="53">
                  <c:v>34.287019712662875</c:v>
                </c:pt>
                <c:pt idx="54">
                  <c:v>37.131977245302537</c:v>
                </c:pt>
                <c:pt idx="55">
                  <c:v>39.208103638368243</c:v>
                </c:pt>
                <c:pt idx="56">
                  <c:v>40.65660716425063</c:v>
                </c:pt>
                <c:pt idx="57">
                  <c:v>39.188149565729425</c:v>
                </c:pt>
                <c:pt idx="58">
                  <c:v>36.544750834028356</c:v>
                </c:pt>
                <c:pt idx="59">
                  <c:v>37.972156453110493</c:v>
                </c:pt>
                <c:pt idx="60">
                  <c:v>45.794680361796715</c:v>
                </c:pt>
                <c:pt idx="61">
                  <c:v>60.924552466889821</c:v>
                </c:pt>
                <c:pt idx="62">
                  <c:v>68.872711390635914</c:v>
                </c:pt>
                <c:pt idx="63">
                  <c:v>60.427646316453696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(All)'!$N$7:$N$107</c:f>
              <c:numCache>
                <c:formatCode>0.0000</c:formatCode>
                <c:ptCount val="71"/>
                <c:pt idx="35">
                  <c:v>51.067952226922117</c:v>
                </c:pt>
                <c:pt idx="36">
                  <c:v>50.977279243119263</c:v>
                </c:pt>
                <c:pt idx="37">
                  <c:v>66.735632183908052</c:v>
                </c:pt>
                <c:pt idx="38">
                  <c:v>78.117227543360087</c:v>
                </c:pt>
                <c:pt idx="39">
                  <c:v>80.724648107600871</c:v>
                </c:pt>
                <c:pt idx="40">
                  <c:v>84.325238095238092</c:v>
                </c:pt>
                <c:pt idx="41">
                  <c:v>85.736484553775739</c:v>
                </c:pt>
                <c:pt idx="42">
                  <c:v>85.492880258899675</c:v>
                </c:pt>
                <c:pt idx="43">
                  <c:v>88.496626040428055</c:v>
                </c:pt>
                <c:pt idx="44">
                  <c:v>80.191283607979173</c:v>
                </c:pt>
                <c:pt idx="45">
                  <c:v>76.71032763532763</c:v>
                </c:pt>
                <c:pt idx="46">
                  <c:v>72.384150131484574</c:v>
                </c:pt>
                <c:pt idx="47">
                  <c:v>62.913312693498447</c:v>
                </c:pt>
                <c:pt idx="48">
                  <c:v>40.641999999999996</c:v>
                </c:pt>
                <c:pt idx="49">
                  <c:v>37.890197916666665</c:v>
                </c:pt>
                <c:pt idx="50">
                  <c:v>44.46989916326968</c:v>
                </c:pt>
                <c:pt idx="51">
                  <c:v>40.424170274170272</c:v>
                </c:pt>
                <c:pt idx="52">
                  <c:v>36.659122420040958</c:v>
                </c:pt>
                <c:pt idx="53">
                  <c:v>34.287019712662875</c:v>
                </c:pt>
                <c:pt idx="54">
                  <c:v>37.131977245302537</c:v>
                </c:pt>
                <c:pt idx="55">
                  <c:v>39.208103638368243</c:v>
                </c:pt>
                <c:pt idx="56">
                  <c:v>40.65660716425063</c:v>
                </c:pt>
                <c:pt idx="57">
                  <c:v>39.188149565729425</c:v>
                </c:pt>
                <c:pt idx="58">
                  <c:v>36.544750834028356</c:v>
                </c:pt>
                <c:pt idx="59">
                  <c:v>37.972156453110493</c:v>
                </c:pt>
                <c:pt idx="60">
                  <c:v>45.794680361796715</c:v>
                </c:pt>
                <c:pt idx="61">
                  <c:v>60.924552466889821</c:v>
                </c:pt>
                <c:pt idx="62">
                  <c:v>68.872711390635914</c:v>
                </c:pt>
                <c:pt idx="63">
                  <c:v>60.427646316453696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80816"/>
        <c:axId val="626081376"/>
      </c:scatterChart>
      <c:valAx>
        <c:axId val="626080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81376"/>
        <c:crosses val="autoZero"/>
        <c:crossBetween val="midCat"/>
        <c:majorUnit val="5"/>
      </c:valAx>
      <c:valAx>
        <c:axId val="6260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80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(All)'!$P$7:$P$107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(All)'!$P$7:$P$107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84176"/>
        <c:axId val="626084736"/>
      </c:scatterChart>
      <c:valAx>
        <c:axId val="626084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84736"/>
        <c:crosses val="autoZero"/>
        <c:crossBetween val="midCat"/>
        <c:majorUnit val="5"/>
      </c:valAx>
      <c:valAx>
        <c:axId val="6260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84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(All)'!$O$7:$O$107</c:f>
              <c:numCache>
                <c:formatCode>0.0000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(All)'!$O$7:$O$107</c:f>
              <c:numCache>
                <c:formatCode>0.0000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87536"/>
        <c:axId val="626088096"/>
      </c:scatterChart>
      <c:valAx>
        <c:axId val="626087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88096"/>
        <c:crosses val="autoZero"/>
        <c:crossBetween val="midCat"/>
        <c:majorUnit val="5"/>
      </c:valAx>
      <c:valAx>
        <c:axId val="62608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087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(All)'!$CZ$7:$CZ$107</c:f>
              <c:numCache>
                <c:formatCode>General</c:formatCode>
                <c:ptCount val="7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'Coffee (All)'!$A$7:$A$107</c:f>
              <c:numCache>
                <c:formatCode>General</c:formatCode>
                <c:ptCount val="7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</c:numCache>
            </c:numRef>
          </c:xVal>
          <c:yVal>
            <c:numRef>
              <c:f>'Coffee (All)'!$CZ$7:$CZ$107</c:f>
              <c:numCache>
                <c:formatCode>General</c:formatCode>
                <c:ptCount val="7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71696"/>
        <c:axId val="402472256"/>
      </c:scatterChart>
      <c:valAx>
        <c:axId val="4024716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72256"/>
        <c:crosses val="autoZero"/>
        <c:crossBetween val="midCat"/>
        <c:majorUnit val="5"/>
      </c:valAx>
      <c:valAx>
        <c:axId val="40247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716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23</xdr:col>
      <xdr:colOff>171450</xdr:colOff>
      <xdr:row>958</xdr:row>
      <xdr:rowOff>19050</xdr:rowOff>
    </xdr:from>
    <xdr:to>
      <xdr:col>34</xdr:col>
      <xdr:colOff>95250</xdr:colOff>
      <xdr:row>984</xdr:row>
      <xdr:rowOff>95250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19</xdr:col>
      <xdr:colOff>304800</xdr:colOff>
      <xdr:row>32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38100</xdr:rowOff>
    </xdr:from>
    <xdr:to>
      <xdr:col>19</xdr:col>
      <xdr:colOff>327660</xdr:colOff>
      <xdr:row>32</xdr:row>
      <xdr:rowOff>68580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38100</xdr:rowOff>
    </xdr:from>
    <xdr:to>
      <xdr:col>19</xdr:col>
      <xdr:colOff>304800</xdr:colOff>
      <xdr:row>32</xdr:row>
      <xdr:rowOff>53340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H16" sqref="H16"/>
    </sheetView>
  </sheetViews>
  <sheetFormatPr defaultRowHeight="13.2" x14ac:dyDescent="0.25"/>
  <cols>
    <col min="1" max="16384" width="8.88671875" style="10"/>
  </cols>
  <sheetData>
    <row r="1" spans="1:1" x14ac:dyDescent="0.25">
      <c r="A1" s="10" t="s">
        <v>38</v>
      </c>
    </row>
    <row r="2" spans="1:1" x14ac:dyDescent="0.25">
      <c r="A2" s="10" t="s">
        <v>40</v>
      </c>
    </row>
    <row r="4" spans="1:1" x14ac:dyDescent="0.25">
      <c r="A4" s="10" t="s">
        <v>52</v>
      </c>
    </row>
    <row r="5" spans="1:1" x14ac:dyDescent="0.25">
      <c r="A5" s="10" t="s">
        <v>45</v>
      </c>
    </row>
    <row r="7" spans="1:1" x14ac:dyDescent="0.25">
      <c r="A7" s="10" t="s">
        <v>46</v>
      </c>
    </row>
    <row r="9" spans="1:1" x14ac:dyDescent="0.25">
      <c r="A9" s="10" t="s">
        <v>39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B255"/>
  <sheetViews>
    <sheetView zoomScale="70" zoomScaleNormal="7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DE86" sqref="DE86"/>
    </sheetView>
  </sheetViews>
  <sheetFormatPr defaultRowHeight="13.2" x14ac:dyDescent="0.25"/>
  <cols>
    <col min="2" max="2" width="12.33203125" bestFit="1" customWidth="1"/>
    <col min="3" max="3" width="12" customWidth="1"/>
    <col min="4" max="4" width="17.109375" customWidth="1"/>
    <col min="5" max="18" width="12" customWidth="1"/>
    <col min="19" max="19" width="11.33203125" customWidth="1"/>
    <col min="20" max="33" width="12" customWidth="1"/>
    <col min="34" max="34" width="14.44140625" customWidth="1"/>
    <col min="35" max="37" width="12" customWidth="1"/>
    <col min="38" max="40" width="13.77734375" customWidth="1"/>
    <col min="41" max="41" width="13.44140625" customWidth="1"/>
    <col min="42" max="94" width="12" customWidth="1"/>
    <col min="95" max="95" width="12.88671875" customWidth="1"/>
    <col min="96" max="96" width="13.33203125" customWidth="1"/>
    <col min="97" max="97" width="14" customWidth="1"/>
    <col min="98" max="100" width="12" customWidth="1"/>
    <col min="101" max="103" width="13.5546875" customWidth="1"/>
    <col min="105" max="105" width="10.5546875" bestFit="1" customWidth="1"/>
  </cols>
  <sheetData>
    <row r="1" spans="1:106" s="13" customFormat="1" x14ac:dyDescent="0.25"/>
    <row r="2" spans="1:106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24</v>
      </c>
      <c r="K2" s="7" t="s">
        <v>25</v>
      </c>
      <c r="L2" s="7" t="s">
        <v>25</v>
      </c>
      <c r="M2" s="7" t="s">
        <v>25</v>
      </c>
      <c r="N2" s="7" t="s">
        <v>41</v>
      </c>
      <c r="O2" s="7" t="s">
        <v>41</v>
      </c>
      <c r="P2" s="7" t="s">
        <v>41</v>
      </c>
      <c r="Q2" s="7" t="s">
        <v>26</v>
      </c>
      <c r="R2" s="7" t="s">
        <v>26</v>
      </c>
      <c r="S2" s="7" t="s">
        <v>26</v>
      </c>
      <c r="T2" s="7" t="s">
        <v>2</v>
      </c>
      <c r="U2" s="7" t="s">
        <v>2</v>
      </c>
      <c r="V2" s="7" t="s">
        <v>2</v>
      </c>
      <c r="W2" s="7" t="s">
        <v>4</v>
      </c>
      <c r="X2" s="7" t="s">
        <v>4</v>
      </c>
      <c r="Y2" s="7" t="s">
        <v>4</v>
      </c>
      <c r="Z2" s="7" t="s">
        <v>42</v>
      </c>
      <c r="AA2" s="7" t="s">
        <v>42</v>
      </c>
      <c r="AB2" s="7" t="s">
        <v>42</v>
      </c>
      <c r="AC2" s="7" t="s">
        <v>43</v>
      </c>
      <c r="AD2" s="7" t="s">
        <v>43</v>
      </c>
      <c r="AE2" s="7" t="s">
        <v>43</v>
      </c>
      <c r="AF2" s="7" t="s">
        <v>44</v>
      </c>
      <c r="AG2" s="7" t="s">
        <v>44</v>
      </c>
      <c r="AH2" s="7" t="s">
        <v>44</v>
      </c>
      <c r="AI2" s="7" t="s">
        <v>11</v>
      </c>
      <c r="AJ2" s="7" t="s">
        <v>11</v>
      </c>
      <c r="AK2" s="7" t="s">
        <v>11</v>
      </c>
      <c r="AL2" s="7" t="s">
        <v>12</v>
      </c>
      <c r="AM2" s="7" t="s">
        <v>12</v>
      </c>
      <c r="AN2" s="7" t="s">
        <v>12</v>
      </c>
      <c r="AO2" s="7" t="s">
        <v>28</v>
      </c>
      <c r="AP2" s="7" t="s">
        <v>28</v>
      </c>
      <c r="AQ2" s="7" t="s">
        <v>28</v>
      </c>
      <c r="AR2" s="7" t="s">
        <v>37</v>
      </c>
      <c r="AS2" s="7" t="s">
        <v>37</v>
      </c>
      <c r="AT2" s="7" t="s">
        <v>48</v>
      </c>
      <c r="AU2" s="7" t="s">
        <v>3</v>
      </c>
      <c r="AV2" s="7" t="s">
        <v>3</v>
      </c>
      <c r="AW2" s="7" t="s">
        <v>3</v>
      </c>
      <c r="AX2" s="7" t="s">
        <v>9</v>
      </c>
      <c r="AY2" s="7" t="s">
        <v>9</v>
      </c>
      <c r="AZ2" s="7" t="s">
        <v>9</v>
      </c>
      <c r="BA2" s="7" t="s">
        <v>20</v>
      </c>
      <c r="BB2" s="7" t="s">
        <v>20</v>
      </c>
      <c r="BC2" s="7" t="s">
        <v>20</v>
      </c>
      <c r="BD2" s="7" t="s">
        <v>34</v>
      </c>
      <c r="BE2" s="7" t="s">
        <v>34</v>
      </c>
      <c r="BF2" s="7" t="s">
        <v>34</v>
      </c>
      <c r="BG2" s="7" t="s">
        <v>15</v>
      </c>
      <c r="BH2" s="7" t="s">
        <v>15</v>
      </c>
      <c r="BI2" s="7" t="s">
        <v>15</v>
      </c>
      <c r="BJ2" s="7" t="s">
        <v>16</v>
      </c>
      <c r="BK2" s="7" t="s">
        <v>16</v>
      </c>
      <c r="BL2" s="7" t="s">
        <v>16</v>
      </c>
      <c r="BM2" s="7" t="s">
        <v>17</v>
      </c>
      <c r="BN2" s="7" t="s">
        <v>17</v>
      </c>
      <c r="BO2" s="7" t="s">
        <v>17</v>
      </c>
      <c r="BP2" s="7" t="s">
        <v>6</v>
      </c>
      <c r="BQ2" s="7" t="s">
        <v>6</v>
      </c>
      <c r="BR2" s="7" t="s">
        <v>6</v>
      </c>
      <c r="BS2" s="7" t="s">
        <v>19</v>
      </c>
      <c r="BT2" s="7" t="s">
        <v>19</v>
      </c>
      <c r="BU2" s="7" t="s">
        <v>19</v>
      </c>
      <c r="BV2" s="7" t="s">
        <v>35</v>
      </c>
      <c r="BW2" s="7" t="s">
        <v>35</v>
      </c>
      <c r="BX2" s="7" t="s">
        <v>35</v>
      </c>
      <c r="BY2" s="7" t="s">
        <v>21</v>
      </c>
      <c r="BZ2" s="7" t="s">
        <v>21</v>
      </c>
      <c r="CA2" s="7" t="s">
        <v>21</v>
      </c>
      <c r="CB2" s="7" t="s">
        <v>22</v>
      </c>
      <c r="CC2" s="7" t="s">
        <v>22</v>
      </c>
      <c r="CD2" s="7" t="s">
        <v>22</v>
      </c>
      <c r="CE2" s="7" t="s">
        <v>23</v>
      </c>
      <c r="CF2" s="7" t="s">
        <v>23</v>
      </c>
      <c r="CG2" s="7" t="s">
        <v>23</v>
      </c>
      <c r="CH2" s="7" t="s">
        <v>18</v>
      </c>
      <c r="CI2" s="7" t="s">
        <v>18</v>
      </c>
      <c r="CJ2" s="7" t="s">
        <v>18</v>
      </c>
      <c r="CK2" s="7" t="s">
        <v>5</v>
      </c>
      <c r="CL2" s="7" t="s">
        <v>5</v>
      </c>
      <c r="CM2" s="7" t="s">
        <v>5</v>
      </c>
      <c r="CN2" s="7" t="s">
        <v>27</v>
      </c>
      <c r="CO2" s="7" t="s">
        <v>27</v>
      </c>
      <c r="CP2" s="7" t="s">
        <v>27</v>
      </c>
      <c r="CQ2" s="7" t="s">
        <v>13</v>
      </c>
      <c r="CR2" s="7" t="s">
        <v>13</v>
      </c>
      <c r="CS2" s="7" t="s">
        <v>13</v>
      </c>
      <c r="CT2" s="7" t="s">
        <v>14</v>
      </c>
      <c r="CU2" s="7" t="s">
        <v>14</v>
      </c>
      <c r="CV2" s="7" t="s">
        <v>14</v>
      </c>
      <c r="CW2" s="7" t="s">
        <v>36</v>
      </c>
      <c r="CX2" s="7" t="s">
        <v>36</v>
      </c>
      <c r="CY2" s="7" t="s">
        <v>36</v>
      </c>
      <c r="CZ2" s="7" t="s">
        <v>53</v>
      </c>
      <c r="DA2" s="7" t="s">
        <v>53</v>
      </c>
      <c r="DB2" s="7" t="s">
        <v>53</v>
      </c>
    </row>
    <row r="3" spans="1:106" x14ac:dyDescent="0.25">
      <c r="B3" s="5" t="s">
        <v>31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  <c r="AF3" s="7" t="s">
        <v>49</v>
      </c>
      <c r="AG3" s="7" t="s">
        <v>49</v>
      </c>
      <c r="AH3" s="7" t="s">
        <v>49</v>
      </c>
      <c r="AI3" s="7" t="s">
        <v>49</v>
      </c>
      <c r="AJ3" s="7" t="s">
        <v>49</v>
      </c>
      <c r="AK3" s="7" t="s">
        <v>49</v>
      </c>
      <c r="AL3" s="7" t="s">
        <v>49</v>
      </c>
      <c r="AM3" s="7" t="s">
        <v>49</v>
      </c>
      <c r="AN3" s="7" t="s">
        <v>49</v>
      </c>
      <c r="AO3" s="7" t="s">
        <v>49</v>
      </c>
      <c r="AP3" s="7" t="s">
        <v>49</v>
      </c>
      <c r="AQ3" s="7" t="s">
        <v>49</v>
      </c>
      <c r="AR3" s="7" t="s">
        <v>49</v>
      </c>
      <c r="AS3" s="7" t="s">
        <v>49</v>
      </c>
      <c r="AT3" s="7" t="s">
        <v>49</v>
      </c>
      <c r="AU3" s="7" t="s">
        <v>49</v>
      </c>
      <c r="AV3" s="7" t="s">
        <v>49</v>
      </c>
      <c r="AW3" s="7" t="s">
        <v>49</v>
      </c>
      <c r="AX3" s="7" t="s">
        <v>49</v>
      </c>
      <c r="AY3" s="7" t="s">
        <v>49</v>
      </c>
      <c r="AZ3" s="7" t="s">
        <v>49</v>
      </c>
      <c r="BA3" s="7" t="s">
        <v>49</v>
      </c>
      <c r="BB3" s="7" t="s">
        <v>49</v>
      </c>
      <c r="BC3" s="7" t="s">
        <v>49</v>
      </c>
      <c r="BD3" s="7" t="s">
        <v>49</v>
      </c>
      <c r="BE3" s="7" t="s">
        <v>49</v>
      </c>
      <c r="BF3" s="7" t="s">
        <v>49</v>
      </c>
      <c r="BG3" s="7" t="s">
        <v>49</v>
      </c>
      <c r="BH3" s="7" t="s">
        <v>49</v>
      </c>
      <c r="BI3" s="7" t="s">
        <v>49</v>
      </c>
      <c r="BJ3" s="7" t="s">
        <v>49</v>
      </c>
      <c r="BK3" s="7" t="s">
        <v>49</v>
      </c>
      <c r="BL3" s="7" t="s">
        <v>49</v>
      </c>
      <c r="BM3" s="7" t="s">
        <v>49</v>
      </c>
      <c r="BN3" s="7" t="s">
        <v>49</v>
      </c>
      <c r="BO3" s="7" t="s">
        <v>49</v>
      </c>
      <c r="BP3" s="7" t="s">
        <v>49</v>
      </c>
      <c r="BQ3" s="7" t="s">
        <v>49</v>
      </c>
      <c r="BR3" s="7" t="s">
        <v>49</v>
      </c>
      <c r="BS3" s="7" t="s">
        <v>49</v>
      </c>
      <c r="BT3" s="7" t="s">
        <v>49</v>
      </c>
      <c r="BU3" s="7" t="s">
        <v>49</v>
      </c>
      <c r="BV3" s="7" t="s">
        <v>49</v>
      </c>
      <c r="BW3" s="7" t="s">
        <v>49</v>
      </c>
      <c r="BX3" s="7" t="s">
        <v>49</v>
      </c>
      <c r="BY3" s="7" t="s">
        <v>49</v>
      </c>
      <c r="BZ3" s="7" t="s">
        <v>49</v>
      </c>
      <c r="CA3" s="7" t="s">
        <v>49</v>
      </c>
      <c r="CB3" s="7" t="s">
        <v>49</v>
      </c>
      <c r="CC3" s="7" t="s">
        <v>49</v>
      </c>
      <c r="CD3" s="7" t="s">
        <v>49</v>
      </c>
      <c r="CE3" s="7" t="s">
        <v>49</v>
      </c>
      <c r="CF3" s="7" t="s">
        <v>49</v>
      </c>
      <c r="CG3" s="7" t="s">
        <v>49</v>
      </c>
      <c r="CH3" s="7" t="s">
        <v>49</v>
      </c>
      <c r="CI3" s="7" t="s">
        <v>49</v>
      </c>
      <c r="CJ3" s="7" t="s">
        <v>49</v>
      </c>
      <c r="CK3" s="7" t="s">
        <v>49</v>
      </c>
      <c r="CL3" s="7" t="s">
        <v>49</v>
      </c>
      <c r="CM3" s="7" t="s">
        <v>49</v>
      </c>
      <c r="CN3" s="7" t="s">
        <v>49</v>
      </c>
      <c r="CO3" s="7" t="s">
        <v>49</v>
      </c>
      <c r="CP3" s="7" t="s">
        <v>49</v>
      </c>
      <c r="CQ3" s="7" t="s">
        <v>49</v>
      </c>
      <c r="CR3" s="7" t="s">
        <v>49</v>
      </c>
      <c r="CS3" s="7" t="s">
        <v>49</v>
      </c>
      <c r="CT3" s="7" t="s">
        <v>49</v>
      </c>
      <c r="CU3" s="7" t="s">
        <v>49</v>
      </c>
      <c r="CV3" s="7" t="s">
        <v>49</v>
      </c>
      <c r="CW3" s="7" t="s">
        <v>49</v>
      </c>
      <c r="CX3" s="7" t="s">
        <v>49</v>
      </c>
      <c r="CY3" s="7" t="s">
        <v>49</v>
      </c>
      <c r="CZ3" s="7" t="s">
        <v>49</v>
      </c>
      <c r="DA3" s="7" t="s">
        <v>49</v>
      </c>
      <c r="DB3" s="7" t="s">
        <v>49</v>
      </c>
    </row>
    <row r="4" spans="1:106" s="2" customFormat="1" ht="27" customHeight="1" x14ac:dyDescent="0.25">
      <c r="B4" s="5" t="s">
        <v>30</v>
      </c>
      <c r="C4" s="5" t="s">
        <v>8</v>
      </c>
      <c r="D4" s="5" t="s">
        <v>50</v>
      </c>
      <c r="E4" s="5" t="s">
        <v>8</v>
      </c>
      <c r="F4" s="7" t="s">
        <v>7</v>
      </c>
      <c r="G4" s="5" t="s">
        <v>10</v>
      </c>
      <c r="H4" s="5" t="s">
        <v>8</v>
      </c>
      <c r="I4" s="5" t="s">
        <v>7</v>
      </c>
      <c r="J4" s="5" t="s">
        <v>10</v>
      </c>
      <c r="K4" s="5" t="s">
        <v>8</v>
      </c>
      <c r="L4" s="5" t="s">
        <v>7</v>
      </c>
      <c r="M4" s="5" t="s">
        <v>10</v>
      </c>
      <c r="N4" s="5" t="s">
        <v>8</v>
      </c>
      <c r="O4" s="5" t="s">
        <v>7</v>
      </c>
      <c r="P4" s="5" t="s">
        <v>10</v>
      </c>
      <c r="Q4" s="5" t="s">
        <v>8</v>
      </c>
      <c r="R4" s="5" t="s">
        <v>7</v>
      </c>
      <c r="S4" s="5" t="s">
        <v>10</v>
      </c>
      <c r="T4" s="5" t="s">
        <v>8</v>
      </c>
      <c r="U4" s="5" t="s">
        <v>7</v>
      </c>
      <c r="V4" s="5" t="s">
        <v>10</v>
      </c>
      <c r="W4" s="5" t="s">
        <v>8</v>
      </c>
      <c r="X4" s="5" t="s">
        <v>7</v>
      </c>
      <c r="Y4" s="5" t="s">
        <v>10</v>
      </c>
      <c r="Z4" s="5" t="s">
        <v>8</v>
      </c>
      <c r="AA4" s="5" t="s">
        <v>7</v>
      </c>
      <c r="AB4" s="5" t="s">
        <v>10</v>
      </c>
      <c r="AC4" s="5" t="s">
        <v>8</v>
      </c>
      <c r="AD4" s="5" t="s">
        <v>7</v>
      </c>
      <c r="AE4" s="5" t="s">
        <v>10</v>
      </c>
      <c r="AF4" s="5" t="s">
        <v>8</v>
      </c>
      <c r="AG4" s="5" t="s">
        <v>7</v>
      </c>
      <c r="AH4" s="5" t="s">
        <v>10</v>
      </c>
      <c r="AI4" s="5" t="s">
        <v>8</v>
      </c>
      <c r="AJ4" s="5" t="s">
        <v>7</v>
      </c>
      <c r="AK4" s="5" t="s">
        <v>10</v>
      </c>
      <c r="AL4" s="5" t="s">
        <v>8</v>
      </c>
      <c r="AM4" s="5" t="s">
        <v>7</v>
      </c>
      <c r="AN4" s="5" t="s">
        <v>10</v>
      </c>
      <c r="AO4" s="5" t="s">
        <v>8</v>
      </c>
      <c r="AP4" s="5" t="s">
        <v>7</v>
      </c>
      <c r="AQ4" s="5" t="s">
        <v>10</v>
      </c>
      <c r="AR4" s="5" t="s">
        <v>8</v>
      </c>
      <c r="AS4" s="5" t="s">
        <v>7</v>
      </c>
      <c r="AT4" s="5"/>
      <c r="AU4" s="5"/>
      <c r="AV4" s="5" t="s">
        <v>7</v>
      </c>
      <c r="AW4" s="5"/>
      <c r="AX4" s="5" t="s">
        <v>8</v>
      </c>
      <c r="AY4" s="5" t="s">
        <v>7</v>
      </c>
      <c r="AZ4" s="5" t="s">
        <v>10</v>
      </c>
      <c r="BA4" s="5" t="s">
        <v>8</v>
      </c>
      <c r="BB4" s="5" t="s">
        <v>7</v>
      </c>
      <c r="BC4" s="5" t="s">
        <v>10</v>
      </c>
      <c r="BD4" s="5" t="s">
        <v>8</v>
      </c>
      <c r="BE4" s="5" t="s">
        <v>7</v>
      </c>
      <c r="BF4" s="5" t="s">
        <v>10</v>
      </c>
      <c r="BG4" s="5" t="s">
        <v>8</v>
      </c>
      <c r="BH4" s="5" t="s">
        <v>7</v>
      </c>
      <c r="BI4" s="5" t="s">
        <v>10</v>
      </c>
      <c r="BJ4" s="5" t="s">
        <v>8</v>
      </c>
      <c r="BK4" s="5" t="s">
        <v>7</v>
      </c>
      <c r="BL4" s="5" t="s">
        <v>10</v>
      </c>
      <c r="BM4" s="5" t="s">
        <v>8</v>
      </c>
      <c r="BN4" s="5" t="s">
        <v>7</v>
      </c>
      <c r="BO4" s="5" t="s">
        <v>10</v>
      </c>
      <c r="BP4" s="5" t="s">
        <v>8</v>
      </c>
      <c r="BQ4" s="5" t="s">
        <v>7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 t="s">
        <v>8</v>
      </c>
      <c r="CI4" s="5" t="s">
        <v>7</v>
      </c>
      <c r="CJ4" s="5" t="s">
        <v>10</v>
      </c>
      <c r="CK4" s="5" t="s">
        <v>8</v>
      </c>
      <c r="CL4" s="5" t="s">
        <v>7</v>
      </c>
      <c r="CM4" s="5" t="s">
        <v>10</v>
      </c>
      <c r="CN4" s="5" t="s">
        <v>8</v>
      </c>
      <c r="CO4" s="5" t="s">
        <v>7</v>
      </c>
      <c r="CP4" s="5" t="s">
        <v>10</v>
      </c>
      <c r="CQ4" s="5" t="s">
        <v>8</v>
      </c>
      <c r="CR4" s="5" t="s">
        <v>7</v>
      </c>
      <c r="CS4" s="5" t="s">
        <v>10</v>
      </c>
      <c r="CT4" s="5" t="s">
        <v>8</v>
      </c>
      <c r="CU4" s="5" t="s">
        <v>7</v>
      </c>
      <c r="CV4" s="5" t="s">
        <v>10</v>
      </c>
      <c r="CW4" s="5" t="s">
        <v>8</v>
      </c>
      <c r="CX4" s="5" t="s">
        <v>7</v>
      </c>
      <c r="CY4" s="5" t="s">
        <v>10</v>
      </c>
      <c r="CZ4" s="5" t="s">
        <v>8</v>
      </c>
      <c r="DA4" s="5" t="s">
        <v>7</v>
      </c>
      <c r="DB4" s="5" t="s">
        <v>10</v>
      </c>
    </row>
    <row r="5" spans="1:106" s="9" customFormat="1" x14ac:dyDescent="0.25">
      <c r="A5" s="4" t="s">
        <v>33</v>
      </c>
      <c r="B5" s="4" t="s">
        <v>32</v>
      </c>
      <c r="C5" s="6" t="s">
        <v>47</v>
      </c>
      <c r="D5" s="6" t="s">
        <v>47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  <c r="L5" s="6" t="s">
        <v>47</v>
      </c>
      <c r="M5" s="6" t="s">
        <v>47</v>
      </c>
      <c r="N5" s="6" t="s">
        <v>47</v>
      </c>
      <c r="O5" s="6" t="s">
        <v>47</v>
      </c>
      <c r="P5" s="6" t="s">
        <v>47</v>
      </c>
      <c r="Q5" s="6" t="s">
        <v>47</v>
      </c>
      <c r="R5" s="6" t="s">
        <v>47</v>
      </c>
      <c r="S5" s="6" t="s">
        <v>47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  <c r="AF5" s="6" t="s">
        <v>47</v>
      </c>
      <c r="AG5" s="6" t="s">
        <v>47</v>
      </c>
      <c r="AH5" s="6" t="s">
        <v>47</v>
      </c>
      <c r="AI5" s="6" t="s">
        <v>47</v>
      </c>
      <c r="AJ5" s="6" t="s">
        <v>47</v>
      </c>
      <c r="AK5" s="6" t="s">
        <v>47</v>
      </c>
      <c r="AL5" s="6" t="s">
        <v>47</v>
      </c>
      <c r="AM5" s="6" t="s">
        <v>47</v>
      </c>
      <c r="AN5" s="6" t="s">
        <v>47</v>
      </c>
      <c r="AO5" s="6" t="s">
        <v>47</v>
      </c>
      <c r="AP5" s="6" t="s">
        <v>47</v>
      </c>
      <c r="AQ5" s="6" t="s">
        <v>47</v>
      </c>
      <c r="AR5" s="6" t="s">
        <v>47</v>
      </c>
      <c r="AS5" s="6" t="s">
        <v>47</v>
      </c>
      <c r="AT5" s="6" t="s">
        <v>47</v>
      </c>
      <c r="AU5" s="6" t="s">
        <v>47</v>
      </c>
      <c r="AV5" s="6" t="s">
        <v>47</v>
      </c>
      <c r="AW5" s="6" t="s">
        <v>47</v>
      </c>
      <c r="AX5" s="6" t="s">
        <v>47</v>
      </c>
      <c r="AY5" s="6" t="s">
        <v>47</v>
      </c>
      <c r="AZ5" s="6" t="s">
        <v>47</v>
      </c>
      <c r="BA5" s="6" t="s">
        <v>47</v>
      </c>
      <c r="BB5" s="6" t="s">
        <v>47</v>
      </c>
      <c r="BC5" s="6" t="s">
        <v>47</v>
      </c>
      <c r="BD5" s="6" t="s">
        <v>47</v>
      </c>
      <c r="BE5" s="6" t="s">
        <v>47</v>
      </c>
      <c r="BF5" s="6" t="s">
        <v>47</v>
      </c>
      <c r="BG5" s="6" t="s">
        <v>47</v>
      </c>
      <c r="BH5" s="6" t="s">
        <v>47</v>
      </c>
      <c r="BI5" s="6" t="s">
        <v>47</v>
      </c>
      <c r="BJ5" s="6" t="s">
        <v>47</v>
      </c>
      <c r="BK5" s="6" t="s">
        <v>47</v>
      </c>
      <c r="BL5" s="6" t="s">
        <v>47</v>
      </c>
      <c r="BM5" s="6" t="s">
        <v>47</v>
      </c>
      <c r="BN5" s="6" t="s">
        <v>47</v>
      </c>
      <c r="BO5" s="6" t="s">
        <v>47</v>
      </c>
      <c r="BP5" s="6" t="s">
        <v>47</v>
      </c>
      <c r="BQ5" s="6" t="s">
        <v>47</v>
      </c>
      <c r="BR5" s="6" t="s">
        <v>47</v>
      </c>
      <c r="BS5" s="6" t="s">
        <v>47</v>
      </c>
      <c r="BT5" s="6" t="s">
        <v>47</v>
      </c>
      <c r="BU5" s="6" t="s">
        <v>47</v>
      </c>
      <c r="BV5" s="6" t="s">
        <v>47</v>
      </c>
      <c r="BW5" s="6" t="s">
        <v>47</v>
      </c>
      <c r="BX5" s="6" t="s">
        <v>47</v>
      </c>
      <c r="BY5" s="6" t="s">
        <v>47</v>
      </c>
      <c r="BZ5" s="6" t="s">
        <v>47</v>
      </c>
      <c r="CA5" s="6" t="s">
        <v>47</v>
      </c>
      <c r="CB5" s="6" t="s">
        <v>47</v>
      </c>
      <c r="CC5" s="6" t="s">
        <v>47</v>
      </c>
      <c r="CD5" s="6" t="s">
        <v>47</v>
      </c>
      <c r="CE5" s="6" t="s">
        <v>47</v>
      </c>
      <c r="CF5" s="6" t="s">
        <v>47</v>
      </c>
      <c r="CG5" s="6" t="s">
        <v>47</v>
      </c>
      <c r="CH5" s="6" t="s">
        <v>47</v>
      </c>
      <c r="CI5" s="6" t="s">
        <v>47</v>
      </c>
      <c r="CJ5" s="6" t="s">
        <v>47</v>
      </c>
      <c r="CK5" s="6" t="s">
        <v>47</v>
      </c>
      <c r="CL5" s="6" t="s">
        <v>47</v>
      </c>
      <c r="CM5" s="6" t="s">
        <v>47</v>
      </c>
      <c r="CN5" s="6" t="s">
        <v>47</v>
      </c>
      <c r="CO5" s="6" t="s">
        <v>47</v>
      </c>
      <c r="CP5" s="6" t="s">
        <v>47</v>
      </c>
      <c r="CQ5" s="6" t="s">
        <v>47</v>
      </c>
      <c r="CR5" s="6" t="s">
        <v>47</v>
      </c>
      <c r="CS5" s="6" t="s">
        <v>47</v>
      </c>
      <c r="CT5" s="6" t="s">
        <v>47</v>
      </c>
      <c r="CU5" s="6" t="s">
        <v>47</v>
      </c>
      <c r="CV5" s="6" t="s">
        <v>47</v>
      </c>
      <c r="CW5" s="6" t="s">
        <v>47</v>
      </c>
      <c r="CX5" s="6" t="s">
        <v>47</v>
      </c>
      <c r="CY5" s="6" t="s">
        <v>47</v>
      </c>
      <c r="CZ5" s="6" t="s">
        <v>47</v>
      </c>
      <c r="DA5" s="6" t="s">
        <v>47</v>
      </c>
      <c r="DB5" s="6" t="s">
        <v>47</v>
      </c>
    </row>
    <row r="6" spans="1:106" s="2" customFormat="1" ht="54.6" hidden="1" customHeight="1" x14ac:dyDescent="0.25">
      <c r="A6" s="4" t="s">
        <v>33</v>
      </c>
      <c r="B6" s="5" t="s">
        <v>29</v>
      </c>
      <c r="C6" s="7" t="str">
        <f t="shared" ref="C6:AQ6" si="0">CONCATENATE(C2,", ",C4,", ","in ",C5)</f>
        <v>UK, Imports, in pound/ton</v>
      </c>
      <c r="D6" s="7" t="str">
        <f t="shared" si="0"/>
        <v>UK, Foreign and Colonial Exports, in pound/ton</v>
      </c>
      <c r="E6" s="7" t="str">
        <f t="shared" si="0"/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Exports, in pound/ton</v>
      </c>
      <c r="J6" s="7" t="str">
        <f t="shared" si="0"/>
        <v>Basrah, Bazaar (Local), in pound/ton</v>
      </c>
      <c r="K6" s="7" t="str">
        <f t="shared" si="0"/>
        <v>Mosul, Imports, in pound/ton</v>
      </c>
      <c r="L6" s="7" t="str">
        <f t="shared" si="0"/>
        <v>Mosul, Exports, in pound/ton</v>
      </c>
      <c r="M6" s="7" t="str">
        <f t="shared" si="0"/>
        <v>Mosul, Bazaar (Local), in pound/ton</v>
      </c>
      <c r="N6" s="7" t="str">
        <f t="shared" si="0"/>
        <v>Egypt, Imports, in pound/ton</v>
      </c>
      <c r="O6" s="7" t="str">
        <f t="shared" si="0"/>
        <v>Egypt, Exports, in pound/ton</v>
      </c>
      <c r="P6" s="7" t="str">
        <f t="shared" si="0"/>
        <v>Egypt, Bazaar (Local), in pound/ton</v>
      </c>
      <c r="Q6" s="7" t="str">
        <f t="shared" si="0"/>
        <v>Palestine, Imports, in pound/ton</v>
      </c>
      <c r="R6" s="7" t="str">
        <f t="shared" si="0"/>
        <v>Palestine, Exports, in pound/ton</v>
      </c>
      <c r="S6" s="7" t="str">
        <f t="shared" si="0"/>
        <v>Palestine, Bazaar (Local), in pound/ton</v>
      </c>
      <c r="T6" s="7" t="str">
        <f t="shared" si="0"/>
        <v>Damascus, Imports, in pound/ton</v>
      </c>
      <c r="U6" s="7" t="str">
        <f t="shared" si="0"/>
        <v>Damascus, Exports, in pound/ton</v>
      </c>
      <c r="V6" s="7" t="str">
        <f t="shared" si="0"/>
        <v>Damascus, Bazaar (Local), in pound/ton</v>
      </c>
      <c r="W6" s="7" t="str">
        <f t="shared" si="0"/>
        <v>Beirut, Imports, in pound/ton</v>
      </c>
      <c r="X6" s="7" t="str">
        <f t="shared" si="0"/>
        <v>Beirut, Exports, in pound/ton</v>
      </c>
      <c r="Y6" s="7" t="str">
        <f t="shared" si="0"/>
        <v>Beirut, Bazaar (Local), in pound/ton</v>
      </c>
      <c r="Z6" s="7" t="str">
        <f t="shared" si="0"/>
        <v>Istanbul (Malatya), Imports, in pound/ton</v>
      </c>
      <c r="AA6" s="7" t="str">
        <f t="shared" si="0"/>
        <v>Istanbul (Malatya), Exports, in pound/ton</v>
      </c>
      <c r="AB6" s="7" t="str">
        <f t="shared" si="0"/>
        <v>Istanbul (Malatya), Bazaar (Local), in pound/ton</v>
      </c>
      <c r="AC6" s="7" t="str">
        <f t="shared" si="0"/>
        <v>Istanbul (Geyve), Imports, in pound/ton</v>
      </c>
      <c r="AD6" s="7" t="str">
        <f t="shared" si="0"/>
        <v>Istanbul (Geyve), Exports, in pound/ton</v>
      </c>
      <c r="AE6" s="7" t="str">
        <f t="shared" si="0"/>
        <v>Istanbul (Geyve), Bazaar (Local), in pound/ton</v>
      </c>
      <c r="AF6" s="7" t="str">
        <f t="shared" si="0"/>
        <v>Istanbul (Nallrihan), Imports, in pound/ton</v>
      </c>
      <c r="AG6" s="7" t="str">
        <f t="shared" si="0"/>
        <v>Istanbul (Nallrihan), Exports, in pound/ton</v>
      </c>
      <c r="AH6" s="7" t="str">
        <f t="shared" si="0"/>
        <v>Istanbul (Nallrihan), Bazaar (Local), in pound/ton</v>
      </c>
      <c r="AI6" s="7" t="str">
        <f t="shared" si="0"/>
        <v>Turkey, Imports, in pound/ton</v>
      </c>
      <c r="AJ6" s="7" t="str">
        <f t="shared" si="0"/>
        <v>Turkey, Exports, in pound/ton</v>
      </c>
      <c r="AK6" s="7" t="str">
        <f t="shared" si="0"/>
        <v>Turkey, Bazaar (Local), in pound/ton</v>
      </c>
      <c r="AL6" s="7" t="str">
        <f t="shared" si="0"/>
        <v>Constantinople, Imports, in pound/ton</v>
      </c>
      <c r="AM6" s="7" t="str">
        <f t="shared" si="0"/>
        <v>Constantinople, Exports, in pound/ton</v>
      </c>
      <c r="AN6" s="7" t="str">
        <f t="shared" si="0"/>
        <v>Constantinople, Bazaar (Local), in pound/ton</v>
      </c>
      <c r="AO6" s="7" t="str">
        <f t="shared" si="0"/>
        <v>Trebizond (Anatolia), Imports, in pound/ton</v>
      </c>
      <c r="AP6" s="7" t="str">
        <f t="shared" si="0"/>
        <v>Trebizond (Anatolia), Exports, in pound/ton</v>
      </c>
      <c r="AQ6" s="7" t="str">
        <f t="shared" si="0"/>
        <v>Trebizond (Anatolia), Bazaar (Local), in pound/ton</v>
      </c>
      <c r="AR6" s="7" t="str">
        <f t="shared" ref="AR6:BW6" si="1">CONCATENATE(AR2,", ",AR4,", ","in ",AR5)</f>
        <v>Trebizond (Persia), Imports, in pound/ton</v>
      </c>
      <c r="AS6" s="7" t="str">
        <f t="shared" si="1"/>
        <v>Trebizond (Persia), Exports, in pound/ton</v>
      </c>
      <c r="AT6" s="7" t="str">
        <f t="shared" si="1"/>
        <v>Adana, , in pound/ton</v>
      </c>
      <c r="AU6" s="7" t="str">
        <f t="shared" si="1"/>
        <v>Izmir, , in pound/ton</v>
      </c>
      <c r="AV6" s="7" t="str">
        <f t="shared" si="1"/>
        <v>Izmir, Exports, in pound/ton</v>
      </c>
      <c r="AW6" s="7" t="str">
        <f t="shared" si="1"/>
        <v>Izmir, , in pound/ton</v>
      </c>
      <c r="AX6" s="7" t="str">
        <f t="shared" si="1"/>
        <v>Alexandretta, Imports, in pound/ton</v>
      </c>
      <c r="AY6" s="7" t="str">
        <f t="shared" si="1"/>
        <v>Alexandretta, Exports, in pound/ton</v>
      </c>
      <c r="AZ6" s="7" t="str">
        <f t="shared" si="1"/>
        <v>Alexandretta, Bazaar (Local), in pound/ton</v>
      </c>
      <c r="BA6" s="7" t="str">
        <f t="shared" si="1"/>
        <v>Ispahan, Imports, in pound/ton</v>
      </c>
      <c r="BB6" s="7" t="str">
        <f t="shared" si="1"/>
        <v>Ispahan, Exports, in pound/ton</v>
      </c>
      <c r="BC6" s="7" t="str">
        <f t="shared" si="1"/>
        <v>Ispahan, Bazaar (Local), in pound/ton</v>
      </c>
      <c r="BD6" s="7" t="str">
        <f t="shared" si="1"/>
        <v>Yezd, Imports, in pound/ton</v>
      </c>
      <c r="BE6" s="7" t="str">
        <f t="shared" si="1"/>
        <v>Yezd, Exports, in pound/ton</v>
      </c>
      <c r="BF6" s="7" t="str">
        <f t="shared" si="1"/>
        <v>Yezd, Bazaar (Local), in pound/ton</v>
      </c>
      <c r="BG6" s="7" t="str">
        <f t="shared" si="1"/>
        <v>Khorasan, Imports, in pound/ton</v>
      </c>
      <c r="BH6" s="7" t="str">
        <f t="shared" si="1"/>
        <v>Khorasan, Exports, in pound/ton</v>
      </c>
      <c r="BI6" s="7" t="str">
        <f t="shared" si="1"/>
        <v>Khorasan, Bazaar (Local), in pound/ton</v>
      </c>
      <c r="BJ6" s="7" t="str">
        <f t="shared" si="1"/>
        <v>Kermanshah, Imports, in pound/ton</v>
      </c>
      <c r="BK6" s="7" t="str">
        <f t="shared" si="1"/>
        <v>Kermanshah, Exports, in pound/ton</v>
      </c>
      <c r="BL6" s="7" t="str">
        <f t="shared" si="1"/>
        <v>Kermanshah, Bazaar (Local), in pound/ton</v>
      </c>
      <c r="BM6" s="7" t="str">
        <f t="shared" si="1"/>
        <v>Kerman, Imports, in pound/ton</v>
      </c>
      <c r="BN6" s="7" t="str">
        <f t="shared" si="1"/>
        <v>Kerman, Exports, in pound/ton</v>
      </c>
      <c r="BO6" s="7" t="str">
        <f t="shared" si="1"/>
        <v>Kerman, Bazaar (Local), in pound/ton</v>
      </c>
      <c r="BP6" s="7" t="str">
        <f t="shared" si="1"/>
        <v>Bam, Imports, in pound/ton</v>
      </c>
      <c r="BQ6" s="7" t="str">
        <f t="shared" si="1"/>
        <v>Bam, Exports, in pound/ton</v>
      </c>
      <c r="BR6" s="7" t="str">
        <f t="shared" si="1"/>
        <v>Bam, Bazaar (Local), in pound/ton</v>
      </c>
      <c r="BS6" s="7" t="str">
        <f t="shared" si="1"/>
        <v>Resht, Imports, in pound/ton</v>
      </c>
      <c r="BT6" s="7" t="str">
        <f t="shared" si="1"/>
        <v>Resht, Exports, in pound/ton</v>
      </c>
      <c r="BU6" s="7" t="str">
        <f t="shared" si="1"/>
        <v>Resht, Bazaar (Local), in pound/ton</v>
      </c>
      <c r="BV6" s="7" t="str">
        <f t="shared" si="1"/>
        <v>Mazandaran, Imports, in pound/ton</v>
      </c>
      <c r="BW6" s="7" t="str">
        <f t="shared" si="1"/>
        <v>Mazandaran, Exports, in pound/ton</v>
      </c>
      <c r="BX6" s="7" t="str">
        <f t="shared" ref="BX6:DB6" si="2">CONCATENATE(BX2,", ",BX4,", ","in ",BX5)</f>
        <v>Mazandaran, Bazaar (Local), in pound/ton</v>
      </c>
      <c r="BY6" s="7" t="str">
        <f t="shared" si="2"/>
        <v>Ghilan &amp; Tunekabun, Imports, in pound/ton</v>
      </c>
      <c r="BZ6" s="7" t="str">
        <f t="shared" si="2"/>
        <v>Ghilan &amp; Tunekabun, Exports, in pound/ton</v>
      </c>
      <c r="CA6" s="7" t="str">
        <f t="shared" si="2"/>
        <v>Ghilan &amp; Tunekabun, Bazaar (Local), in pound/ton</v>
      </c>
      <c r="CB6" s="7" t="str">
        <f t="shared" si="2"/>
        <v>Bender Gez &amp; Astarabad, Imports, in pound/ton</v>
      </c>
      <c r="CC6" s="7" t="str">
        <f t="shared" si="2"/>
        <v>Bender Gez &amp; Astarabad, Exports, in pound/ton</v>
      </c>
      <c r="CD6" s="7" t="str">
        <f t="shared" si="2"/>
        <v>Bender Gez &amp; Astarabad, Bazaar (Local), in pound/ton</v>
      </c>
      <c r="CE6" s="7" t="str">
        <f t="shared" si="2"/>
        <v>Astara, Imports, in pound/ton</v>
      </c>
      <c r="CF6" s="7" t="str">
        <f t="shared" si="2"/>
        <v>Astara, Exports, in pound/ton</v>
      </c>
      <c r="CG6" s="7" t="str">
        <f t="shared" si="2"/>
        <v>Astara, Bazaar (Local), in pound/ton</v>
      </c>
      <c r="CH6" s="7" t="str">
        <f t="shared" si="2"/>
        <v>Sultanabad, Imports, in pound/ton</v>
      </c>
      <c r="CI6" s="7" t="str">
        <f t="shared" si="2"/>
        <v>Sultanabad, Exports, in pound/ton</v>
      </c>
      <c r="CJ6" s="7" t="str">
        <f t="shared" si="2"/>
        <v>Sultanabad, Bazaar (Local), in pound/ton</v>
      </c>
      <c r="CK6" s="7" t="str">
        <f t="shared" si="2"/>
        <v>Bahrain, Imports, in pound/ton</v>
      </c>
      <c r="CL6" s="7" t="str">
        <f t="shared" si="2"/>
        <v>Bahrain, Exports, in pound/ton</v>
      </c>
      <c r="CM6" s="7" t="str">
        <f t="shared" si="2"/>
        <v>Bahrain, Bazaar (Local), in pound/ton</v>
      </c>
      <c r="CN6" s="7" t="str">
        <f t="shared" si="2"/>
        <v>Muscat, Imports, in pound/ton</v>
      </c>
      <c r="CO6" s="7" t="str">
        <f t="shared" si="2"/>
        <v>Muscat, Exports, in pound/ton</v>
      </c>
      <c r="CP6" s="7" t="str">
        <f t="shared" si="2"/>
        <v>Muscat, Bazaar (Local), in pound/ton</v>
      </c>
      <c r="CQ6" s="7" t="str">
        <f t="shared" si="2"/>
        <v>Mohammerah, Imports, in pound/ton</v>
      </c>
      <c r="CR6" s="7" t="str">
        <f t="shared" si="2"/>
        <v>Mohammerah, Exports, in pound/ton</v>
      </c>
      <c r="CS6" s="7" t="str">
        <f t="shared" si="2"/>
        <v>Mohammerah, Bazaar (Local), in pound/ton</v>
      </c>
      <c r="CT6" s="7" t="str">
        <f t="shared" si="2"/>
        <v>Lingah, Imports, in pound/ton</v>
      </c>
      <c r="CU6" s="7" t="str">
        <f t="shared" si="2"/>
        <v>Lingah, Exports, in pound/ton</v>
      </c>
      <c r="CV6" s="7" t="str">
        <f t="shared" si="2"/>
        <v>Lingah, Bazaar (Local), in pound/ton</v>
      </c>
      <c r="CW6" s="7" t="str">
        <f t="shared" si="2"/>
        <v>Shiraz, Imports, in pound/ton</v>
      </c>
      <c r="CX6" s="7" t="str">
        <f t="shared" si="2"/>
        <v>Shiraz, Exports, in pound/ton</v>
      </c>
      <c r="CY6" s="7" t="str">
        <f t="shared" si="2"/>
        <v>Shiraz, Bazaar (Local), in pound/ton</v>
      </c>
      <c r="CZ6" s="7" t="str">
        <f t="shared" si="2"/>
        <v>India, Imports, in pound/ton</v>
      </c>
      <c r="DA6" s="7" t="str">
        <f t="shared" si="2"/>
        <v>India, Exports, in pound/ton</v>
      </c>
      <c r="DB6" s="7" t="str">
        <f t="shared" si="2"/>
        <v>India, Bazaar (Local), in pound/ton</v>
      </c>
    </row>
    <row r="7" spans="1:106" hidden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6" hidden="1" x14ac:dyDescent="0.25">
      <c r="A8" s="8">
        <f t="shared" ref="A8:A39" si="3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6" hidden="1" x14ac:dyDescent="0.25">
      <c r="A9" s="8">
        <f t="shared" si="3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6" hidden="1" x14ac:dyDescent="0.25">
      <c r="A10" s="8">
        <f t="shared" si="3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6" hidden="1" x14ac:dyDescent="0.25">
      <c r="A11" s="8">
        <f t="shared" si="3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6" hidden="1" x14ac:dyDescent="0.25">
      <c r="A12" s="8">
        <f t="shared" si="3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6" hidden="1" x14ac:dyDescent="0.25">
      <c r="A13" s="8">
        <f t="shared" si="3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6" hidden="1" x14ac:dyDescent="0.25">
      <c r="A14" s="8">
        <f t="shared" si="3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6" hidden="1" x14ac:dyDescent="0.25">
      <c r="A15" s="8">
        <f t="shared" si="3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6" hidden="1" x14ac:dyDescent="0.25">
      <c r="A16" s="8">
        <f t="shared" si="3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</row>
    <row r="17" spans="1:100" x14ac:dyDescent="0.25">
      <c r="A17" s="8">
        <f t="shared" si="3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18" s="8">
        <f t="shared" si="3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</row>
    <row r="19" spans="1:100" x14ac:dyDescent="0.25">
      <c r="A19" s="8">
        <f t="shared" si="3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20" s="8">
        <f t="shared" si="3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0" x14ac:dyDescent="0.25">
      <c r="A21" s="8">
        <f t="shared" si="3"/>
        <v>1854</v>
      </c>
      <c r="C21" s="1">
        <v>53.058577519236813</v>
      </c>
      <c r="D21" s="1">
        <v>52.516260566372509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4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22" s="8">
        <f t="shared" si="3"/>
        <v>1855</v>
      </c>
      <c r="C22" s="1">
        <v>59.149915037084924</v>
      </c>
      <c r="D22" s="1">
        <v>58.025104732833945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4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x14ac:dyDescent="0.25">
      <c r="A23" s="8">
        <f t="shared" si="3"/>
        <v>1856</v>
      </c>
      <c r="C23" s="1">
        <v>58.881160334527678</v>
      </c>
      <c r="D23" s="1">
        <v>57.796774215519015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4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x14ac:dyDescent="0.25">
      <c r="A24" s="8">
        <f t="shared" si="3"/>
        <v>1857</v>
      </c>
      <c r="C24" s="1">
        <v>65.438329344781906</v>
      </c>
      <c r="D24" s="1">
        <v>66.265081218624687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4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0" x14ac:dyDescent="0.25">
      <c r="A25" s="8">
        <f t="shared" si="3"/>
        <v>1858</v>
      </c>
      <c r="C25" s="1">
        <v>64.296875320494266</v>
      </c>
      <c r="D25" s="1">
        <v>61.15130901182053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R25" s="3"/>
      <c r="S25" s="1">
        <f>2240*0.0269995779425976</f>
        <v>60.479054591418624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4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0" x14ac:dyDescent="0.25">
      <c r="A26" s="8">
        <f t="shared" si="3"/>
        <v>1859</v>
      </c>
      <c r="C26" s="1">
        <v>67.028660798129792</v>
      </c>
      <c r="D26" s="1">
        <v>66.428757278682724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4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0" x14ac:dyDescent="0.25">
      <c r="A27" s="8">
        <f t="shared" si="3"/>
        <v>1860</v>
      </c>
      <c r="C27" s="1">
        <v>68.831253179227573</v>
      </c>
      <c r="D27" s="1">
        <v>70.645904034732084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4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0" x14ac:dyDescent="0.25">
      <c r="A28" s="8">
        <f t="shared" si="3"/>
        <v>1861</v>
      </c>
      <c r="C28" s="1">
        <v>70.493010434069078</v>
      </c>
      <c r="D28" s="1">
        <v>69.940965631357798</v>
      </c>
      <c r="E28" s="1"/>
      <c r="F28" s="1"/>
      <c r="G28" s="1"/>
      <c r="H28" s="1"/>
      <c r="I28" s="1"/>
      <c r="J28" s="1">
        <f>2240*0.0287946428571429</f>
        <v>64.500000000000099</v>
      </c>
      <c r="K28" s="1"/>
      <c r="L28" s="1"/>
      <c r="M28" s="1"/>
      <c r="N28" s="1"/>
      <c r="O28" s="1"/>
      <c r="P28" s="1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4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</row>
    <row r="29" spans="1:100" x14ac:dyDescent="0.25">
      <c r="A29" s="8">
        <f t="shared" si="3"/>
        <v>1862</v>
      </c>
      <c r="C29" s="1">
        <v>78.683919681775961</v>
      </c>
      <c r="D29" s="1">
        <v>77.464470456238615</v>
      </c>
      <c r="E29" s="1"/>
      <c r="F29" s="1"/>
      <c r="G29" s="1"/>
      <c r="H29" s="1"/>
      <c r="I29" s="1"/>
      <c r="J29" s="1">
        <f>2240*0.0360119047619047</f>
        <v>80.666666666666529</v>
      </c>
      <c r="K29" s="1"/>
      <c r="L29" s="1"/>
      <c r="M29" s="1"/>
      <c r="N29" s="1"/>
      <c r="O29" s="1"/>
      <c r="P29" s="1"/>
      <c r="Q29" s="1"/>
      <c r="R29" s="3"/>
      <c r="S29" s="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4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</row>
    <row r="30" spans="1:100" x14ac:dyDescent="0.25">
      <c r="A30" s="8">
        <f t="shared" si="3"/>
        <v>1863</v>
      </c>
      <c r="C30" s="1">
        <v>79.314873173087378</v>
      </c>
      <c r="D30" s="1">
        <v>79.410431566427761</v>
      </c>
      <c r="E30" s="1"/>
      <c r="F30" s="1"/>
      <c r="G30" s="1"/>
      <c r="H30" s="1"/>
      <c r="I30" s="1"/>
      <c r="J30" s="1">
        <f>2240*0.0379464285714286</f>
        <v>85.000000000000071</v>
      </c>
      <c r="K30" s="1"/>
      <c r="L30" s="1"/>
      <c r="M30" s="1"/>
      <c r="N30" s="1"/>
      <c r="O30" s="1"/>
      <c r="P30" s="1"/>
      <c r="Q30" s="1"/>
      <c r="R30" s="3"/>
      <c r="S30" s="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4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0" x14ac:dyDescent="0.25">
      <c r="A31" s="8">
        <f t="shared" si="3"/>
        <v>1864</v>
      </c>
      <c r="C31" s="1">
        <v>73.921682171917126</v>
      </c>
      <c r="D31" s="1">
        <v>73.163651884920043</v>
      </c>
      <c r="E31" s="1"/>
      <c r="F31" s="1"/>
      <c r="G31" s="1"/>
      <c r="H31" s="1"/>
      <c r="I31" s="1"/>
      <c r="J31" s="1">
        <f>2240*0.0325148809523809</f>
        <v>72.833333333333215</v>
      </c>
      <c r="K31" s="1"/>
      <c r="L31" s="1"/>
      <c r="M31" s="1"/>
      <c r="N31" s="1"/>
      <c r="O31" s="1"/>
      <c r="P31" s="1"/>
      <c r="Q31" s="1"/>
      <c r="R31" s="1"/>
      <c r="S31" s="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>
        <v>78</v>
      </c>
      <c r="AV31" s="3"/>
      <c r="AW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</row>
    <row r="32" spans="1:100" x14ac:dyDescent="0.25">
      <c r="A32" s="8">
        <f t="shared" si="3"/>
        <v>1865</v>
      </c>
      <c r="C32" s="1">
        <v>74.599999999999994</v>
      </c>
      <c r="D32" s="1">
        <v>72.873967143704533</v>
      </c>
      <c r="E32" s="1"/>
      <c r="F32" s="1"/>
      <c r="G32" s="1"/>
      <c r="H32" s="1"/>
      <c r="I32" s="1"/>
      <c r="J32" s="1">
        <f>2240*0.033110119047619</f>
        <v>74.166666666666558</v>
      </c>
      <c r="K32" s="1"/>
      <c r="L32" s="1"/>
      <c r="M32" s="1"/>
      <c r="N32" s="1"/>
      <c r="O32" s="1"/>
      <c r="P32" s="1"/>
      <c r="Q32" s="1"/>
      <c r="R32" s="1"/>
      <c r="S32" s="3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>
        <v>93.333333333333343</v>
      </c>
      <c r="AP32" s="1"/>
      <c r="AQ32" s="1"/>
      <c r="AR32" s="1"/>
      <c r="AS32" s="1"/>
      <c r="AT32" s="1"/>
      <c r="AU32" s="1">
        <v>85</v>
      </c>
      <c r="AV32" s="3"/>
      <c r="AW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</row>
    <row r="33" spans="1:105" x14ac:dyDescent="0.25">
      <c r="A33" s="8">
        <f t="shared" si="3"/>
        <v>1866</v>
      </c>
      <c r="C33" s="1">
        <v>72.2</v>
      </c>
      <c r="D33" s="1">
        <v>72.377079709742219</v>
      </c>
      <c r="E33" s="1"/>
      <c r="F33" s="1"/>
      <c r="G33" s="1"/>
      <c r="H33" s="1"/>
      <c r="I33" s="1"/>
      <c r="J33" s="1"/>
      <c r="K33" s="1"/>
      <c r="L33" s="1"/>
      <c r="M33" s="1"/>
      <c r="N33" s="1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>
        <v>93.333333333333343</v>
      </c>
      <c r="AP33" s="1"/>
      <c r="AQ33" s="1"/>
      <c r="AR33" s="1"/>
      <c r="AS33" s="1"/>
      <c r="AT33" s="1"/>
      <c r="AU33" s="1">
        <v>80</v>
      </c>
      <c r="AV33" s="3"/>
      <c r="AW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5" x14ac:dyDescent="0.25">
      <c r="A34" s="8">
        <f t="shared" si="3"/>
        <v>1867</v>
      </c>
      <c r="C34" s="1">
        <v>71</v>
      </c>
      <c r="D34" s="1">
        <v>69.667084389115345</v>
      </c>
      <c r="E34" s="1">
        <f>2240*0.0246575446579092</f>
        <v>55.232900033716604</v>
      </c>
      <c r="F34" s="1"/>
      <c r="G34" s="1"/>
      <c r="H34" s="1"/>
      <c r="I34" s="1"/>
      <c r="J34" s="1"/>
      <c r="K34" s="1"/>
      <c r="L34" s="1"/>
      <c r="M34" s="1"/>
      <c r="N34" s="1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>
        <v>93.333333333333343</v>
      </c>
      <c r="AP34" s="1"/>
      <c r="AQ34" s="1"/>
      <c r="AR34" s="1"/>
      <c r="AS34" s="1"/>
      <c r="AT34" s="1"/>
      <c r="AU34" s="1"/>
      <c r="AV34" s="3"/>
      <c r="AW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5" x14ac:dyDescent="0.25">
      <c r="A35" s="8">
        <f t="shared" si="3"/>
        <v>1868</v>
      </c>
      <c r="C35" s="1">
        <v>62.599999999999994</v>
      </c>
      <c r="D35" s="1">
        <v>62.032026229964941</v>
      </c>
      <c r="E35" s="1">
        <f>2240*0.0241106728026936</f>
        <v>54.007907078033661</v>
      </c>
      <c r="F35" s="1"/>
      <c r="G35" s="1"/>
      <c r="H35" s="1"/>
      <c r="I35" s="1"/>
      <c r="J35" s="1"/>
      <c r="K35" s="1"/>
      <c r="L35" s="1"/>
      <c r="M35" s="1"/>
      <c r="N35" s="1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>
        <v>93.333333333333343</v>
      </c>
      <c r="AP35" s="1"/>
      <c r="AQ35" s="1"/>
      <c r="AR35" s="1"/>
      <c r="AS35" s="1"/>
      <c r="AT35" s="1"/>
      <c r="AU35" s="1">
        <v>70</v>
      </c>
      <c r="AV35" s="3"/>
      <c r="AW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DA35" s="17">
        <v>51.384595656223425</v>
      </c>
    </row>
    <row r="36" spans="1:105" x14ac:dyDescent="0.25">
      <c r="A36" s="8">
        <f t="shared" si="3"/>
        <v>1869</v>
      </c>
      <c r="C36" s="1">
        <v>63.6</v>
      </c>
      <c r="D36" s="1">
        <v>63.660047892887732</v>
      </c>
      <c r="E36" s="1">
        <f>2240*0.024605261340936</f>
        <v>55.115785403696641</v>
      </c>
      <c r="F36" s="1"/>
      <c r="G36" s="1"/>
      <c r="H36" s="1"/>
      <c r="I36" s="1"/>
      <c r="J36" s="1">
        <f>2240*0.0287878787878788</f>
        <v>64.484848484848513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>
        <v>93.333333333333343</v>
      </c>
      <c r="AP36" s="1"/>
      <c r="AQ36" s="1"/>
      <c r="AR36" s="1"/>
      <c r="AS36" s="1"/>
      <c r="AT36" s="1"/>
      <c r="AU36" s="1">
        <v>72</v>
      </c>
      <c r="AV36" s="3"/>
      <c r="AW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DA36" s="17">
        <v>52.546117159028327</v>
      </c>
    </row>
    <row r="37" spans="1:105" x14ac:dyDescent="0.25">
      <c r="A37" s="8">
        <f t="shared" si="3"/>
        <v>1870</v>
      </c>
      <c r="C37" s="1">
        <v>61.6</v>
      </c>
      <c r="D37" s="1">
        <v>60.883602838875923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>
        <v>80</v>
      </c>
      <c r="AP37" s="1"/>
      <c r="AQ37" s="1"/>
      <c r="AR37" s="1"/>
      <c r="AS37" s="1"/>
      <c r="AT37" s="1"/>
      <c r="AU37" s="1"/>
      <c r="AV37" s="13"/>
      <c r="AW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DA37" s="17">
        <v>54.023504432690153</v>
      </c>
    </row>
    <row r="38" spans="1:105" x14ac:dyDescent="0.25">
      <c r="A38" s="8">
        <f t="shared" si="3"/>
        <v>1871</v>
      </c>
      <c r="C38" s="1">
        <v>63</v>
      </c>
      <c r="D38" s="1">
        <v>60.749889069664249</v>
      </c>
      <c r="E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>
        <v>80</v>
      </c>
      <c r="AP38" s="1"/>
      <c r="AQ38" s="1"/>
      <c r="AR38" s="1"/>
      <c r="AS38" s="1"/>
      <c r="AT38" s="1"/>
      <c r="AU38" s="1">
        <v>100</v>
      </c>
      <c r="AV38" s="3"/>
      <c r="AW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DA38" s="17">
        <v>53.634126550416482</v>
      </c>
    </row>
    <row r="39" spans="1:105" x14ac:dyDescent="0.25">
      <c r="A39" s="8">
        <f t="shared" si="3"/>
        <v>1872</v>
      </c>
      <c r="C39" s="1">
        <v>70.8</v>
      </c>
      <c r="D39" s="1">
        <v>65.034142870655202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>
        <v>100</v>
      </c>
      <c r="AV39" s="3"/>
      <c r="AW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DA39" s="17">
        <v>54.422270232763516</v>
      </c>
    </row>
    <row r="40" spans="1:105" x14ac:dyDescent="0.25">
      <c r="A40" s="8">
        <f t="shared" ref="A40:A71" si="4">A39+1</f>
        <v>1873</v>
      </c>
      <c r="C40" s="1">
        <v>88.4</v>
      </c>
      <c r="D40" s="1">
        <v>84.422102319970818</v>
      </c>
      <c r="F40" s="1"/>
      <c r="G40" s="1"/>
      <c r="H40" s="3"/>
      <c r="I40" s="1"/>
      <c r="J40" s="1">
        <f>2240*0.0381578947368421</f>
        <v>85.473684210526301</v>
      </c>
      <c r="K40" s="1"/>
      <c r="L40" s="1"/>
      <c r="M40" s="1"/>
      <c r="N40" s="1"/>
      <c r="O40" s="1"/>
      <c r="P40" s="1"/>
      <c r="Q40" s="1"/>
      <c r="R40" s="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>
        <v>80</v>
      </c>
      <c r="AP40" s="1"/>
      <c r="AQ40" s="1"/>
      <c r="AR40" s="1"/>
      <c r="AS40" s="1"/>
      <c r="AT40" s="1"/>
      <c r="AU40" s="1"/>
      <c r="AV40" s="13"/>
      <c r="AW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DA40" s="17">
        <v>60.987424412123858</v>
      </c>
    </row>
    <row r="41" spans="1:105" x14ac:dyDescent="0.25">
      <c r="A41" s="8">
        <f t="shared" si="4"/>
        <v>1874</v>
      </c>
      <c r="C41" s="1">
        <v>100.60000000000001</v>
      </c>
      <c r="D41" s="1">
        <v>96.939461966467363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f>2240*0.0529343261460282</f>
        <v>118.57289056710317</v>
      </c>
      <c r="R41" s="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>
        <v>80</v>
      </c>
      <c r="AP41" s="1"/>
      <c r="AQ41" s="1"/>
      <c r="AR41" s="1"/>
      <c r="AS41" s="1"/>
      <c r="AT41" s="1"/>
      <c r="AU41" s="1">
        <v>120</v>
      </c>
      <c r="AV41" s="3"/>
      <c r="AW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T41" s="1"/>
      <c r="BU41" s="3"/>
      <c r="BV41" s="3"/>
      <c r="BW41" s="3"/>
      <c r="BX41" s="3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>
        <f>20*3.65270489755122</f>
        <v>73.054097951024403</v>
      </c>
      <c r="CO41" s="1"/>
      <c r="CP41" s="1"/>
      <c r="CQ41" s="1"/>
      <c r="CR41" s="1"/>
      <c r="CS41" s="1"/>
      <c r="CT41" s="1"/>
      <c r="CU41" s="1"/>
      <c r="CV41" s="1"/>
      <c r="DA41" s="17">
        <v>81.6870226512535</v>
      </c>
    </row>
    <row r="42" spans="1:105" x14ac:dyDescent="0.25">
      <c r="A42" s="8">
        <f t="shared" si="4"/>
        <v>1875</v>
      </c>
      <c r="C42" s="1">
        <v>94.600000000000009</v>
      </c>
      <c r="D42" s="1">
        <v>94.221898772325488</v>
      </c>
      <c r="E42" s="1">
        <f>2240*0.0226089048893257</f>
        <v>50.643946952089564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3">
        <f>2240*0.0530329503986715</f>
        <v>118.79380889302416</v>
      </c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>
        <v>80</v>
      </c>
      <c r="AP42" s="1"/>
      <c r="AQ42" s="1"/>
      <c r="AR42" s="1"/>
      <c r="AS42" s="1"/>
      <c r="AT42" s="1"/>
      <c r="AU42" s="1">
        <v>100</v>
      </c>
      <c r="AV42" s="3"/>
      <c r="AW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3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>
        <f>20*3.70524010747081</f>
        <v>74.104802149416201</v>
      </c>
      <c r="CO42" s="1"/>
      <c r="CP42" s="1"/>
      <c r="CQ42" s="1"/>
      <c r="CR42" s="1"/>
      <c r="CS42" s="1"/>
      <c r="CT42" s="1"/>
      <c r="CU42" s="1"/>
      <c r="CV42" s="1"/>
      <c r="DA42" s="17">
        <v>83.60675543509528</v>
      </c>
    </row>
    <row r="43" spans="1:105" x14ac:dyDescent="0.25">
      <c r="A43" s="8">
        <f t="shared" si="4"/>
        <v>1876</v>
      </c>
      <c r="C43" s="1">
        <v>93.6</v>
      </c>
      <c r="D43" s="1">
        <v>94.574016074618626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f>2240*0.0592056465645476</f>
        <v>132.62064830458661</v>
      </c>
      <c r="R43" s="3"/>
      <c r="S43" s="1"/>
      <c r="T43" s="1"/>
      <c r="U43" s="1"/>
      <c r="V43" s="1"/>
      <c r="W43" s="1">
        <v>101.81818181818183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>
        <v>80</v>
      </c>
      <c r="AP43" s="1"/>
      <c r="AQ43" s="1"/>
      <c r="AR43" s="1"/>
      <c r="AS43" s="1"/>
      <c r="AT43" s="3"/>
      <c r="AU43" s="3">
        <v>90</v>
      </c>
      <c r="AV43" s="3"/>
      <c r="AW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T43" s="1"/>
      <c r="BV43" s="1"/>
      <c r="BW43" s="1"/>
      <c r="BX43" s="1"/>
      <c r="BY43" s="1"/>
      <c r="BZ43" s="1"/>
      <c r="CA43" s="3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>
        <f>20*1.91830064764048</f>
        <v>38.366012952809598</v>
      </c>
      <c r="CO43" s="1"/>
      <c r="CP43" s="1"/>
      <c r="CQ43" s="1"/>
      <c r="CR43" s="1"/>
      <c r="CS43" s="1"/>
      <c r="CT43" s="1"/>
      <c r="CU43" s="1"/>
      <c r="CV43" s="1"/>
      <c r="DA43" s="17">
        <v>87.46449120345703</v>
      </c>
    </row>
    <row r="44" spans="1:105" x14ac:dyDescent="0.25">
      <c r="A44" s="8">
        <f t="shared" si="4"/>
        <v>1877</v>
      </c>
      <c r="C44" s="1">
        <v>96.6</v>
      </c>
      <c r="D44" s="1">
        <v>95.008361346918974</v>
      </c>
      <c r="E44" s="1">
        <f>2240*0.0205917321415164</f>
        <v>46.125479996996738</v>
      </c>
      <c r="F44" s="1">
        <f>2240*0.0221105980961006</f>
        <v>49.527739735265342</v>
      </c>
      <c r="H44" s="1"/>
      <c r="I44" s="1"/>
      <c r="J44" s="1"/>
      <c r="K44" s="1"/>
      <c r="L44" s="1"/>
      <c r="M44" s="1"/>
      <c r="N44" s="1"/>
      <c r="O44" s="1"/>
      <c r="P44" s="1"/>
      <c r="Q44" s="1">
        <f>2240*0.0498456580610655</f>
        <v>111.65427405678672</v>
      </c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>
        <v>80</v>
      </c>
      <c r="AP44" s="1"/>
      <c r="AQ44" s="1"/>
      <c r="AR44" s="1"/>
      <c r="AS44" s="1"/>
      <c r="AT44" s="3"/>
      <c r="AU44" s="3">
        <v>88.948322732242175</v>
      </c>
      <c r="AV44" s="3"/>
      <c r="AW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T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>
        <f>20*1.87195099283269</f>
        <v>37.4390198566538</v>
      </c>
      <c r="CO44" s="1"/>
      <c r="CP44" s="1"/>
      <c r="CQ44" s="1"/>
      <c r="CR44" s="1"/>
      <c r="CS44" s="1"/>
      <c r="CT44" s="1"/>
      <c r="CU44" s="1"/>
      <c r="CV44" s="1"/>
      <c r="DA44" s="17">
        <v>89.005582624819993</v>
      </c>
    </row>
    <row r="45" spans="1:105" x14ac:dyDescent="0.25">
      <c r="A45" s="8">
        <f t="shared" si="4"/>
        <v>1878</v>
      </c>
      <c r="C45" s="1">
        <v>93.2</v>
      </c>
      <c r="D45" s="1">
        <v>92.3074372266084</v>
      </c>
      <c r="E45" s="1">
        <f>2240*0.0232026016513476</f>
        <v>51.973827699018628</v>
      </c>
      <c r="F45" s="1">
        <f>2240*0.0231584821428571</f>
        <v>51.874999999999901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1"/>
      <c r="T45" s="1"/>
      <c r="U45" s="1"/>
      <c r="V45" s="1"/>
      <c r="W45" s="1">
        <v>80.181818181818187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>
        <v>80</v>
      </c>
      <c r="AP45" s="1"/>
      <c r="AQ45" s="1"/>
      <c r="AR45" s="1"/>
      <c r="AS45" s="1"/>
      <c r="AT45" s="3"/>
      <c r="AU45" s="3">
        <v>88.904374999999987</v>
      </c>
      <c r="AV45" s="3"/>
      <c r="AW45" s="1"/>
      <c r="AX45" s="1">
        <v>106.69456066945607</v>
      </c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>
        <f>20*1.97848059071934</f>
        <v>39.569611814386796</v>
      </c>
      <c r="CO45" s="1"/>
      <c r="CP45" s="1"/>
      <c r="CQ45" s="1"/>
      <c r="CR45" s="1"/>
      <c r="CS45" s="1"/>
      <c r="CT45" s="1"/>
      <c r="CU45" s="1"/>
      <c r="CV45" s="1"/>
      <c r="DA45" s="17">
        <v>77.545183075731956</v>
      </c>
    </row>
    <row r="46" spans="1:105" x14ac:dyDescent="0.25">
      <c r="A46" s="8">
        <f t="shared" si="4"/>
        <v>1879</v>
      </c>
      <c r="C46" s="1">
        <v>88</v>
      </c>
      <c r="D46" s="1">
        <v>90.228570278899383</v>
      </c>
      <c r="E46" s="1"/>
      <c r="F46" s="1"/>
      <c r="G46" s="1"/>
      <c r="H46" s="1"/>
      <c r="I46" s="1"/>
      <c r="K46" s="1"/>
      <c r="L46" s="1"/>
      <c r="M46" s="1"/>
      <c r="N46" s="1"/>
      <c r="O46" s="1"/>
      <c r="P46" s="1"/>
      <c r="Q46" s="1">
        <f>2240*0.0345687092108143</f>
        <v>77.433908632224032</v>
      </c>
      <c r="R46" s="1"/>
      <c r="S46" s="1"/>
      <c r="T46" s="1"/>
      <c r="U46" s="1"/>
      <c r="V46" s="1"/>
      <c r="W46" s="1">
        <v>111.86424242424242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>
        <v>60</v>
      </c>
      <c r="AP46" s="1"/>
      <c r="AQ46" s="1"/>
      <c r="AR46" s="1"/>
      <c r="AS46" s="1"/>
      <c r="AT46" s="3"/>
      <c r="AU46" s="3">
        <v>136.43277361460957</v>
      </c>
      <c r="AV46" s="3"/>
      <c r="AW46" s="1"/>
      <c r="AX46" s="1">
        <v>105.8</v>
      </c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>
        <f>20*1.85191429371494</f>
        <v>37.038285874298801</v>
      </c>
      <c r="CO46" s="1"/>
      <c r="CP46" s="1"/>
      <c r="CQ46" s="1"/>
      <c r="CR46" s="1"/>
      <c r="CS46" s="1"/>
      <c r="CT46" s="1"/>
      <c r="CU46" s="1"/>
      <c r="CV46" s="1"/>
      <c r="DA46" s="17">
        <v>75.95874504116</v>
      </c>
    </row>
    <row r="47" spans="1:105" x14ac:dyDescent="0.25">
      <c r="A47" s="8">
        <f t="shared" si="4"/>
        <v>1880</v>
      </c>
      <c r="C47" s="1">
        <v>88.800000000000011</v>
      </c>
      <c r="D47" s="1">
        <v>88.438630511598802</v>
      </c>
      <c r="F47" s="1"/>
      <c r="G47" s="1"/>
      <c r="H47" s="1"/>
      <c r="I47" s="1"/>
      <c r="K47" s="1"/>
      <c r="L47" s="1"/>
      <c r="M47" s="1"/>
      <c r="N47" s="1"/>
      <c r="O47" s="1"/>
      <c r="P47" s="1"/>
      <c r="Q47" s="1">
        <f>2240*0.035158848724152</f>
        <v>78.755821142100487</v>
      </c>
      <c r="R47" s="3"/>
      <c r="S47" s="1">
        <f>2240*0.033749472428247</f>
        <v>75.598818239273285</v>
      </c>
      <c r="T47" s="1"/>
      <c r="U47" s="1"/>
      <c r="V47" s="1"/>
      <c r="W47" s="1">
        <v>64.838661710037172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>
        <v>60</v>
      </c>
      <c r="AP47" s="1"/>
      <c r="AQ47" s="1"/>
      <c r="AR47" s="1"/>
      <c r="AS47" s="1"/>
      <c r="AT47" s="3"/>
      <c r="AU47" s="3">
        <v>95.254687499999989</v>
      </c>
      <c r="AV47" s="3"/>
      <c r="AW47" s="1"/>
      <c r="AX47" s="1">
        <v>105.81560283687942</v>
      </c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>
        <f>20*1.39399237449881</f>
        <v>27.8798474899762</v>
      </c>
      <c r="CO47" s="1"/>
      <c r="CP47" s="1"/>
      <c r="CQ47" s="1"/>
      <c r="CR47" s="1"/>
      <c r="CS47" s="1"/>
      <c r="CT47" s="1"/>
      <c r="CU47" s="1"/>
      <c r="CV47" s="1"/>
      <c r="DA47" s="17">
        <v>77.423643560078347</v>
      </c>
    </row>
    <row r="48" spans="1:105" x14ac:dyDescent="0.25">
      <c r="A48" s="8">
        <f t="shared" si="4"/>
        <v>1881</v>
      </c>
      <c r="C48" s="1">
        <v>77.400000000000006</v>
      </c>
      <c r="D48" s="1">
        <v>84.514945270911838</v>
      </c>
      <c r="F48" s="1"/>
      <c r="G48" s="1"/>
      <c r="H48" s="1"/>
      <c r="I48" s="1"/>
      <c r="K48" s="1"/>
      <c r="L48" s="1"/>
      <c r="M48" s="1"/>
      <c r="N48" s="1"/>
      <c r="O48" s="1"/>
      <c r="P48" s="1"/>
      <c r="Q48" s="1">
        <f>2240*0.0300614691693493</f>
        <v>67.337690939342423</v>
      </c>
      <c r="R48" s="3"/>
      <c r="S48" s="1"/>
      <c r="T48" s="1"/>
      <c r="U48" s="1"/>
      <c r="V48" s="1"/>
      <c r="W48" s="1">
        <v>61.090909090909086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>
        <v>50.028490028490033</v>
      </c>
      <c r="AP48" s="1"/>
      <c r="AQ48" s="1"/>
      <c r="AR48" s="1"/>
      <c r="AS48" s="1"/>
      <c r="AT48" s="3"/>
      <c r="AU48" s="3">
        <v>82.555885244746264</v>
      </c>
      <c r="AV48" s="3"/>
      <c r="AW48" s="1"/>
      <c r="AX48" s="1">
        <v>102.8132911392405</v>
      </c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>
        <f>20*1.21685004062818</f>
        <v>24.337000812563598</v>
      </c>
      <c r="CO48" s="1"/>
      <c r="CP48" s="1"/>
      <c r="CQ48" s="1"/>
      <c r="CR48" s="1"/>
      <c r="CS48" s="1"/>
      <c r="CT48" s="1"/>
      <c r="CU48" s="1"/>
      <c r="CV48" s="1"/>
      <c r="DA48" s="17">
        <v>73.20075337126265</v>
      </c>
    </row>
    <row r="49" spans="1:105" x14ac:dyDescent="0.25">
      <c r="A49" s="8">
        <f t="shared" si="4"/>
        <v>1882</v>
      </c>
      <c r="C49" s="1">
        <v>76.2</v>
      </c>
      <c r="D49" s="1">
        <v>78.149137893713572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f>2240*0.0296081927347947</f>
        <v>66.322351725940123</v>
      </c>
      <c r="R49" s="3"/>
      <c r="S49" s="1"/>
      <c r="T49" s="1">
        <v>65.454545454545453</v>
      </c>
      <c r="U49" s="1"/>
      <c r="V49" s="1"/>
      <c r="W49" s="1">
        <v>61.090909090909086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N49" s="1"/>
      <c r="AO49" s="1">
        <v>60</v>
      </c>
      <c r="AP49" s="1"/>
      <c r="AQ49" s="1"/>
      <c r="AR49" s="1"/>
      <c r="AS49" s="1"/>
      <c r="AT49" s="3"/>
      <c r="AU49" s="3">
        <v>47.673615200047102</v>
      </c>
      <c r="AV49" s="3"/>
      <c r="AW49" s="1"/>
      <c r="AX49" s="1">
        <v>100.48034934497818</v>
      </c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>
        <f>20*1.35148245118774</f>
        <v>27.0296490237548</v>
      </c>
      <c r="CO49" s="1"/>
      <c r="CP49" s="1"/>
      <c r="CQ49" s="1"/>
      <c r="CR49" s="1"/>
      <c r="CS49" s="1"/>
      <c r="CT49" s="1"/>
      <c r="CU49" s="1"/>
      <c r="CV49" s="1"/>
      <c r="DA49" s="17">
        <v>70.186699871682862</v>
      </c>
    </row>
    <row r="50" spans="1:105" x14ac:dyDescent="0.25">
      <c r="A50" s="8">
        <f t="shared" si="4"/>
        <v>1883</v>
      </c>
      <c r="C50" s="1">
        <v>70.199999999999989</v>
      </c>
      <c r="D50" s="1">
        <v>69.761657883608208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f>2240*0.0298781969363259</f>
        <v>66.927161137370021</v>
      </c>
      <c r="R50" s="1"/>
      <c r="S50" s="1"/>
      <c r="T50" s="1"/>
      <c r="U50" s="1"/>
      <c r="V50" s="1"/>
      <c r="W50" s="1">
        <v>71.176973496722709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N50" s="1"/>
      <c r="AO50" s="1">
        <v>99.934853420195452</v>
      </c>
      <c r="AP50" s="1"/>
      <c r="AQ50" s="1"/>
      <c r="AR50" s="1"/>
      <c r="AS50" s="1"/>
      <c r="AT50" s="3"/>
      <c r="AU50" s="3">
        <v>55.565234374999996</v>
      </c>
      <c r="AV50" s="3"/>
      <c r="AW50" s="1"/>
      <c r="AX50" s="1">
        <v>101.10045662100455</v>
      </c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>
        <f>20*1.72498122056833</f>
        <v>34.499624411366597</v>
      </c>
      <c r="CO50" s="1"/>
      <c r="CP50" s="1"/>
      <c r="CQ50" s="1"/>
      <c r="CR50" s="1"/>
      <c r="CS50" s="1"/>
      <c r="CT50" s="1"/>
      <c r="CU50" s="1"/>
      <c r="CV50" s="1"/>
      <c r="DA50" s="17">
        <v>64.577975351983071</v>
      </c>
    </row>
    <row r="51" spans="1:105" x14ac:dyDescent="0.25">
      <c r="A51" s="8">
        <f t="shared" si="4"/>
        <v>1884</v>
      </c>
      <c r="C51" s="1">
        <v>66</v>
      </c>
      <c r="D51" s="1">
        <v>66.855374909251836</v>
      </c>
      <c r="F51" s="1"/>
      <c r="G51" s="1"/>
      <c r="H51" s="1"/>
      <c r="I51" s="1"/>
      <c r="J51" s="1"/>
      <c r="K51" s="3">
        <f>2240*0.0363636363636364</f>
        <v>81.454545454545524</v>
      </c>
      <c r="L51" s="3"/>
      <c r="M51" s="3"/>
      <c r="N51" s="3"/>
      <c r="O51" s="3"/>
      <c r="P51" s="3"/>
      <c r="Q51" s="1">
        <f>2240*0.0290643474564771</f>
        <v>65.104138302508701</v>
      </c>
      <c r="R51" s="1"/>
      <c r="S51" s="1"/>
      <c r="T51" s="1">
        <v>75.719298245614041</v>
      </c>
      <c r="U51" s="1"/>
      <c r="V51" s="1"/>
      <c r="W51" s="1"/>
      <c r="X51" s="3"/>
      <c r="Y51" s="3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3"/>
      <c r="AL51" s="1"/>
      <c r="AN51" s="1"/>
      <c r="AO51" s="1">
        <v>79.980449657869016</v>
      </c>
      <c r="AP51" s="1"/>
      <c r="AQ51" s="3"/>
      <c r="AR51" s="3"/>
      <c r="AS51" s="3"/>
      <c r="AT51" s="3"/>
      <c r="AU51" s="3">
        <v>59.534599134286822</v>
      </c>
      <c r="AV51" s="3"/>
      <c r="AW51" s="1"/>
      <c r="AX51" s="1"/>
      <c r="AY51" s="1"/>
      <c r="AZ51" s="3"/>
      <c r="BA51" s="3"/>
      <c r="BB51" s="3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3"/>
      <c r="BN51" s="3"/>
      <c r="BO51" s="1"/>
      <c r="BP51" s="3"/>
      <c r="BQ51" s="1"/>
      <c r="BR51" s="3"/>
      <c r="BU51" s="1"/>
      <c r="BV51" s="1"/>
      <c r="BW51" s="1"/>
      <c r="BX51" s="1"/>
      <c r="BY51" s="1"/>
      <c r="BZ51" s="3"/>
      <c r="CA51" s="1"/>
      <c r="CB51" s="3"/>
      <c r="CC51" s="1"/>
      <c r="CD51" s="3"/>
      <c r="CE51" s="3"/>
      <c r="CF51" s="1"/>
      <c r="CG51" s="3"/>
      <c r="CH51" s="3"/>
      <c r="CI51" s="1"/>
      <c r="CJ51" s="3"/>
      <c r="CK51" s="1"/>
      <c r="CL51" s="1"/>
      <c r="CM51" s="1"/>
      <c r="CN51" s="1">
        <f>20*1.66302724823625</f>
        <v>33.260544964725</v>
      </c>
      <c r="CO51" s="3"/>
      <c r="CP51" s="3"/>
      <c r="CQ51" s="3"/>
      <c r="CR51" s="1"/>
      <c r="CS51" s="3"/>
      <c r="CT51" s="1"/>
      <c r="CU51" s="3"/>
      <c r="CV51" s="3"/>
      <c r="DA51" s="17">
        <v>66.915284691278771</v>
      </c>
    </row>
    <row r="52" spans="1:105" x14ac:dyDescent="0.25">
      <c r="A52" s="8">
        <f t="shared" si="4"/>
        <v>1885</v>
      </c>
      <c r="C52" s="1">
        <v>63.8</v>
      </c>
      <c r="D52" s="1">
        <v>64.605930406610213</v>
      </c>
      <c r="F52" s="1"/>
      <c r="G52" s="1"/>
      <c r="H52" s="1"/>
      <c r="I52" s="1"/>
      <c r="J52" s="1"/>
      <c r="K52" s="1"/>
      <c r="L52" s="1"/>
      <c r="M52" s="1"/>
      <c r="N52" s="1">
        <v>51.067952226922117</v>
      </c>
      <c r="O52" s="1"/>
      <c r="P52" s="1"/>
      <c r="Q52" s="1">
        <f>2240*0.025</f>
        <v>56</v>
      </c>
      <c r="R52" s="1"/>
      <c r="S52" s="1"/>
      <c r="T52" s="1">
        <v>79.514767932489434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>
        <f>2240*0.027002700270027</f>
        <v>60.486048604860478</v>
      </c>
      <c r="AM52" s="1"/>
      <c r="AN52" s="1"/>
      <c r="AO52" s="1">
        <v>83.994413407821241</v>
      </c>
      <c r="AP52" s="1"/>
      <c r="AQ52" s="1"/>
      <c r="AR52" s="1"/>
      <c r="AS52" s="1"/>
      <c r="AT52" s="3"/>
      <c r="AU52" s="3">
        <v>47.627343749999994</v>
      </c>
      <c r="AV52" s="3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>
        <f>20*1.35598314333041</f>
        <v>27.119662866608198</v>
      </c>
      <c r="CO52" s="3"/>
      <c r="CP52" s="1"/>
      <c r="CQ52" s="1"/>
      <c r="CR52" s="1"/>
      <c r="CS52" s="1"/>
      <c r="CT52" s="1"/>
      <c r="CU52" s="1"/>
      <c r="CV52" s="1"/>
      <c r="DA52" s="17">
        <v>59.794629370139617</v>
      </c>
    </row>
    <row r="53" spans="1:105" x14ac:dyDescent="0.25">
      <c r="A53" s="8">
        <f t="shared" si="4"/>
        <v>1886</v>
      </c>
      <c r="C53" s="1">
        <v>65.400000000000006</v>
      </c>
      <c r="D53" s="1">
        <v>66.85539379872354</v>
      </c>
      <c r="F53" s="1"/>
      <c r="G53" s="1"/>
      <c r="H53" s="1"/>
      <c r="I53" s="1"/>
      <c r="J53" s="1"/>
      <c r="K53" s="1"/>
      <c r="L53" s="1"/>
      <c r="M53" s="1"/>
      <c r="N53" s="1">
        <v>50.977279243119263</v>
      </c>
      <c r="O53" s="1"/>
      <c r="P53" s="1"/>
      <c r="Q53" s="1">
        <f>2240*0.0285714285714286</f>
        <v>64.000000000000057</v>
      </c>
      <c r="R53" s="3"/>
      <c r="S53" s="1"/>
      <c r="T53" s="1">
        <v>97.013429544998999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M53" s="1"/>
      <c r="AN53" s="1"/>
      <c r="AO53" s="1">
        <v>83.989361702127653</v>
      </c>
      <c r="AP53" s="1"/>
      <c r="AQ53" s="1"/>
      <c r="AR53" s="1"/>
      <c r="AS53" s="1"/>
      <c r="AT53" s="3"/>
      <c r="AU53" s="3">
        <v>51.029296875</v>
      </c>
      <c r="AV53" s="3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>
        <f>20*1.73071177286611</f>
        <v>34.614235457322202</v>
      </c>
      <c r="CO53" s="1"/>
      <c r="CP53" s="1"/>
      <c r="CQ53" s="1"/>
      <c r="CR53" s="1"/>
      <c r="CS53" s="1"/>
      <c r="CT53" s="1"/>
      <c r="CU53" s="1"/>
      <c r="CV53" s="1"/>
      <c r="DA53" s="17">
        <v>53.853458185529696</v>
      </c>
    </row>
    <row r="54" spans="1:105" x14ac:dyDescent="0.25">
      <c r="A54" s="8">
        <f t="shared" si="4"/>
        <v>1887</v>
      </c>
      <c r="C54" s="1">
        <v>81.199999999999989</v>
      </c>
      <c r="D54" s="1">
        <v>77.156030468214141</v>
      </c>
      <c r="E54" s="1">
        <f>2240*0.0329887218045113</f>
        <v>73.894736842105317</v>
      </c>
      <c r="F54" s="1"/>
      <c r="G54" s="1"/>
      <c r="H54" s="1">
        <f>2240*0.0208100491952047</f>
        <v>46.614510197258525</v>
      </c>
      <c r="K54" s="1"/>
      <c r="L54" s="1"/>
      <c r="M54" s="1"/>
      <c r="N54" s="1">
        <v>66.735632183908052</v>
      </c>
      <c r="O54" s="1"/>
      <c r="P54" s="1"/>
      <c r="Q54" s="1">
        <f>2240*0.0328947368421053</f>
        <v>73.68421052631588</v>
      </c>
      <c r="R54" s="3"/>
      <c r="S54" s="1"/>
      <c r="T54" s="1">
        <v>233.62122495060686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>
        <f>2240*0.0482673267326733</f>
        <v>108.11881188118819</v>
      </c>
      <c r="AM54" s="1"/>
      <c r="AN54" s="1"/>
      <c r="AO54" s="1">
        <v>84.005102040816325</v>
      </c>
      <c r="AP54" s="1"/>
      <c r="AQ54" s="1"/>
      <c r="AR54" s="1"/>
      <c r="AS54" s="1"/>
      <c r="AT54" s="3"/>
      <c r="AU54" s="3"/>
      <c r="AV54" s="13"/>
      <c r="AW54" s="1"/>
      <c r="AX54" s="1">
        <v>102.92561983471074</v>
      </c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>
        <f>20*1.79644155610594</f>
        <v>35.928831122118801</v>
      </c>
      <c r="CO54" s="1"/>
      <c r="CP54" s="1"/>
      <c r="CQ54" s="1"/>
      <c r="CR54" s="1"/>
      <c r="CS54" s="1"/>
      <c r="CT54" s="1">
        <f>20*4.48361162646877</f>
        <v>89.672232529375407</v>
      </c>
      <c r="CU54" s="1">
        <f>20*3.72981818181818</f>
        <v>74.596363636363606</v>
      </c>
      <c r="CV54" s="1"/>
      <c r="CW54" s="3">
        <f>20*5.50903928335835</f>
        <v>110.18078566716699</v>
      </c>
      <c r="CX54" s="1"/>
      <c r="DA54" s="17">
        <v>59.143166478858348</v>
      </c>
    </row>
    <row r="55" spans="1:105" x14ac:dyDescent="0.25">
      <c r="A55" s="8">
        <f t="shared" si="4"/>
        <v>1888</v>
      </c>
      <c r="C55" s="1">
        <v>75.400000000000006</v>
      </c>
      <c r="D55" s="1">
        <v>75.043445623055874</v>
      </c>
      <c r="E55" s="1">
        <f>2240*0.0401780446691951</f>
        <v>89.998820058997026</v>
      </c>
      <c r="F55" s="1"/>
      <c r="G55" s="1"/>
      <c r="H55" s="1">
        <f>2240*0.0215198496321855</f>
        <v>48.204463176095516</v>
      </c>
      <c r="K55" s="1"/>
      <c r="L55" s="1"/>
      <c r="M55" s="1"/>
      <c r="N55" s="1">
        <v>78.117227543360087</v>
      </c>
      <c r="O55" s="1"/>
      <c r="P55" s="1"/>
      <c r="Q55" s="1">
        <f>2240*0.0298780487804878</f>
        <v>66.926829268292678</v>
      </c>
      <c r="R55" s="1"/>
      <c r="S55" s="1"/>
      <c r="T55" s="1">
        <v>216.16464704750913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N55" s="1"/>
      <c r="AO55" s="1">
        <v>80.017746228926342</v>
      </c>
      <c r="AP55" s="1"/>
      <c r="AQ55" s="1"/>
      <c r="AR55" s="1"/>
      <c r="AS55" s="1"/>
      <c r="AT55" s="3"/>
      <c r="AU55" s="3">
        <v>50.802430447169833</v>
      </c>
      <c r="AV55" s="3"/>
      <c r="AW55" s="1"/>
      <c r="AX55" s="1">
        <v>102.58590308370044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3"/>
      <c r="BJ55" s="1"/>
      <c r="BK55" s="1"/>
      <c r="BL55" s="1"/>
      <c r="BM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>
        <v>93.411420204978043</v>
      </c>
      <c r="CL55" s="1">
        <v>90.765456329735045</v>
      </c>
      <c r="CM55" s="1"/>
      <c r="CN55" s="1">
        <f>20*1.95421100068206</f>
        <v>39.0842200136412</v>
      </c>
      <c r="CO55" s="1"/>
      <c r="CP55" s="1"/>
      <c r="CQ55" s="1"/>
      <c r="CR55" s="1"/>
      <c r="CS55" s="1"/>
      <c r="CT55" s="1">
        <f>20*3.36044444444444</f>
        <v>67.208888888888808</v>
      </c>
      <c r="CU55" s="1">
        <f>20*3.36012585812357</f>
        <v>67.202517162471395</v>
      </c>
      <c r="CV55" s="1"/>
      <c r="CW55" s="3">
        <f>20*3.13669659464052</f>
        <v>62.733931892810403</v>
      </c>
      <c r="CX55" s="1"/>
      <c r="DA55" s="17">
        <v>78.47642277650661</v>
      </c>
    </row>
    <row r="56" spans="1:105" x14ac:dyDescent="0.25">
      <c r="A56" s="8">
        <f t="shared" si="4"/>
        <v>1889</v>
      </c>
      <c r="C56" s="1">
        <v>83.4</v>
      </c>
      <c r="D56" s="1">
        <v>86.582511236938885</v>
      </c>
      <c r="E56" s="1">
        <f>2240*0.0436046511627907</f>
        <v>97.674418604651166</v>
      </c>
      <c r="F56" s="1"/>
      <c r="G56" s="1"/>
      <c r="H56" s="1">
        <f>2240*0.0209868373989556</f>
        <v>47.010515773660543</v>
      </c>
      <c r="K56" s="1"/>
      <c r="L56" s="1"/>
      <c r="M56" s="1"/>
      <c r="N56" s="1">
        <v>80.724648107600871</v>
      </c>
      <c r="O56" s="1"/>
      <c r="P56" s="1"/>
      <c r="Q56" s="1">
        <f>2240*0.03125</f>
        <v>70</v>
      </c>
      <c r="R56" s="3"/>
      <c r="S56" s="1"/>
      <c r="T56" s="1">
        <v>40.928859894377133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>
        <v>91.989528795811509</v>
      </c>
      <c r="AP56" s="1"/>
      <c r="AQ56" s="1"/>
      <c r="AR56" s="1"/>
      <c r="AS56" s="1"/>
      <c r="AT56" s="3"/>
      <c r="AU56" s="3">
        <v>50.802308621767821</v>
      </c>
      <c r="AV56" s="3"/>
      <c r="AW56" s="1"/>
      <c r="AX56" s="1">
        <v>102.02845528455285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K56" s="1"/>
      <c r="BL56" s="1"/>
      <c r="BM56" s="1"/>
      <c r="BN56" s="1"/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>
        <v>81.080752884031568</v>
      </c>
      <c r="CL56" s="1">
        <v>82.1111111111111</v>
      </c>
      <c r="CM56" s="1"/>
      <c r="CN56" s="1">
        <f>20*3.58938085022475</f>
        <v>71.787617004495004</v>
      </c>
      <c r="CO56" s="1"/>
      <c r="CP56" s="1"/>
      <c r="CQ56" s="1"/>
      <c r="CR56" s="1"/>
      <c r="CS56" s="1"/>
      <c r="CT56" s="1">
        <f>20*2.26285714285714</f>
        <v>45.257142857142796</v>
      </c>
      <c r="CU56" s="1">
        <f>20*2.50329411764706</f>
        <v>50.065882352941202</v>
      </c>
      <c r="CV56" s="1"/>
      <c r="CW56" s="3">
        <f>20*4.16413866501432</f>
        <v>83.282773300286408</v>
      </c>
      <c r="CX56" s="1"/>
      <c r="DA56" s="17">
        <v>72.093877679147624</v>
      </c>
    </row>
    <row r="57" spans="1:105" x14ac:dyDescent="0.25">
      <c r="A57" s="8">
        <f t="shared" si="4"/>
        <v>1890</v>
      </c>
      <c r="C57" s="1">
        <v>92.6</v>
      </c>
      <c r="D57" s="1">
        <v>86.329428013668121</v>
      </c>
      <c r="E57" s="1">
        <f>2240*0.0446428571428571</f>
        <v>99.999999999999915</v>
      </c>
      <c r="F57" s="1"/>
      <c r="G57" s="1"/>
      <c r="H57" s="1">
        <f>2240*0.0212665146812426</f>
        <v>47.636992885983425</v>
      </c>
      <c r="K57" s="1"/>
      <c r="L57" s="1"/>
      <c r="M57" s="1"/>
      <c r="N57" s="1">
        <v>84.325238095238092</v>
      </c>
      <c r="O57" s="1"/>
      <c r="P57" s="1"/>
      <c r="Q57" s="1">
        <f>2240*0.0391206287202381</f>
        <v>87.630208333333357</v>
      </c>
      <c r="R57" s="1"/>
      <c r="S57" s="1"/>
      <c r="T57" s="1">
        <v>115.14285714285714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N57" s="1"/>
      <c r="AO57" s="1">
        <v>92.16901408450704</v>
      </c>
      <c r="AP57" s="1"/>
      <c r="AQ57" s="1"/>
      <c r="AR57" s="1"/>
      <c r="AS57" s="1"/>
      <c r="AT57" s="3"/>
      <c r="AU57" s="3">
        <v>50.802605648374588</v>
      </c>
      <c r="AV57" s="3"/>
      <c r="AW57" s="1"/>
      <c r="AX57" s="1">
        <v>101.55882352941167</v>
      </c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T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M57" s="1"/>
      <c r="CN57" s="1">
        <f>20*4.40680042016531</f>
        <v>88.136008403306207</v>
      </c>
      <c r="CO57" s="1"/>
      <c r="CP57" s="1"/>
      <c r="CQ57" s="1">
        <f>20*4.14154972544234</f>
        <v>82.8309945088468</v>
      </c>
      <c r="CR57" s="1"/>
      <c r="CS57" s="1"/>
      <c r="CT57" s="1">
        <f>20*2.35674019607843</f>
        <v>47.134803921568604</v>
      </c>
      <c r="CU57" s="1">
        <f>20*2.35650793650794</f>
        <v>47.130158730158804</v>
      </c>
      <c r="CV57" s="1"/>
      <c r="CW57" s="3">
        <f>20*3.47352700293877</f>
        <v>69.470540058775399</v>
      </c>
      <c r="CX57" s="1"/>
      <c r="DA57" s="17">
        <v>97.085906655268815</v>
      </c>
    </row>
    <row r="58" spans="1:105" x14ac:dyDescent="0.25">
      <c r="A58" s="8">
        <f t="shared" si="4"/>
        <v>1891</v>
      </c>
      <c r="C58" s="1">
        <v>94.600000000000009</v>
      </c>
      <c r="D58" s="1">
        <v>92.152924934510281</v>
      </c>
      <c r="E58" s="1">
        <f>2240*0.0491071428571429</f>
        <v>110.00000000000009</v>
      </c>
      <c r="F58" s="1"/>
      <c r="G58" s="1"/>
      <c r="H58" s="3">
        <f>2240*0.0218938044665303</f>
        <v>49.042122005027871</v>
      </c>
      <c r="J58" s="1"/>
      <c r="K58" s="1"/>
      <c r="L58" s="1"/>
      <c r="M58" s="1"/>
      <c r="N58" s="1">
        <v>85.736484553775739</v>
      </c>
      <c r="O58" s="1"/>
      <c r="P58" s="1"/>
      <c r="Q58" s="1">
        <f>2240*0.0404575892857143</f>
        <v>90.625000000000028</v>
      </c>
      <c r="R58" s="1"/>
      <c r="S58" s="1"/>
      <c r="T58" s="1">
        <v>115.10857142857142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>
        <v>92.012383900928796</v>
      </c>
      <c r="AP58" s="1"/>
      <c r="AQ58" s="1"/>
      <c r="AR58" s="1"/>
      <c r="AS58" s="1"/>
      <c r="AT58" s="3"/>
      <c r="AU58" s="3">
        <v>50.802500000000002</v>
      </c>
      <c r="AV58" s="3"/>
      <c r="AW58" s="1"/>
      <c r="AX58" s="1">
        <v>100.54999999999991</v>
      </c>
      <c r="AY58" s="1"/>
      <c r="AZ58" s="1"/>
      <c r="BA58" s="1"/>
      <c r="BB58" s="1"/>
      <c r="BC58" s="1"/>
      <c r="BD58" s="1"/>
      <c r="BE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3"/>
      <c r="BW58" s="3"/>
      <c r="BX58" s="3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K58" s="1">
        <v>92.857142857142861</v>
      </c>
      <c r="CL58" s="1">
        <v>92.857142857142861</v>
      </c>
      <c r="CM58" s="1"/>
      <c r="CN58" s="1">
        <f>20*3.68574587122971</f>
        <v>73.714917424594205</v>
      </c>
      <c r="CO58" s="1"/>
      <c r="CP58" s="1"/>
      <c r="CQ58" s="1">
        <f>20*4.66666666666667</f>
        <v>93.3333333333334</v>
      </c>
      <c r="CR58" s="1"/>
      <c r="CS58" s="1"/>
      <c r="CT58" s="1">
        <f>20*4.28569444444444</f>
        <v>85.713888888888789</v>
      </c>
      <c r="CU58" s="1">
        <f>20*4.28571428571429</f>
        <v>85.714285714285808</v>
      </c>
      <c r="CV58" s="1"/>
      <c r="CW58" s="3">
        <f>20*1.73628173628174</f>
        <v>34.725634725634798</v>
      </c>
      <c r="CX58" s="1"/>
      <c r="DA58" s="17">
        <v>91.947529538268057</v>
      </c>
    </row>
    <row r="59" spans="1:105" x14ac:dyDescent="0.25">
      <c r="A59" s="8">
        <f t="shared" si="4"/>
        <v>1892</v>
      </c>
      <c r="C59" s="1">
        <v>93</v>
      </c>
      <c r="D59" s="1">
        <v>90.463671190790649</v>
      </c>
      <c r="E59" s="1">
        <f>2240*0.0535714285714286</f>
        <v>120.00000000000007</v>
      </c>
      <c r="F59" s="1"/>
      <c r="G59" s="1"/>
      <c r="H59" s="3">
        <f>2240*0.0416666666666667</f>
        <v>93.3333333333334</v>
      </c>
      <c r="J59" s="1"/>
      <c r="K59" s="1"/>
      <c r="L59" s="1"/>
      <c r="M59" s="1"/>
      <c r="N59" s="1">
        <v>85.492880258899675</v>
      </c>
      <c r="O59" s="1"/>
      <c r="P59" s="1"/>
      <c r="Q59" s="1">
        <f>2240*0.0361607142857143</f>
        <v>81.000000000000043</v>
      </c>
      <c r="R59" s="1"/>
      <c r="S59" s="1"/>
      <c r="T59" s="1">
        <v>115.19999999999999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>
        <v>80.017714791851205</v>
      </c>
      <c r="AP59" s="1"/>
      <c r="AQ59" s="1"/>
      <c r="AR59" s="1"/>
      <c r="AS59" s="1"/>
      <c r="AT59" s="3"/>
      <c r="AU59" s="3">
        <v>56.7768332497781</v>
      </c>
      <c r="AV59" s="3"/>
      <c r="AW59" s="1"/>
      <c r="AX59" s="1">
        <v>99.999999999999901</v>
      </c>
      <c r="AY59" s="1"/>
      <c r="AZ59" s="1"/>
      <c r="BA59" s="1"/>
      <c r="BB59" s="1"/>
      <c r="BC59" s="3"/>
      <c r="BD59" s="3"/>
      <c r="BE59" s="3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3"/>
      <c r="BW59" s="3"/>
      <c r="BX59" s="3"/>
      <c r="BY59" s="1"/>
      <c r="BZ59" s="1"/>
      <c r="CA59" s="1"/>
      <c r="CB59" s="3"/>
      <c r="CC59" s="1"/>
      <c r="CD59" s="1"/>
      <c r="CE59" s="1"/>
      <c r="CF59" s="1"/>
      <c r="CG59" s="1"/>
      <c r="CH59" s="1"/>
      <c r="CI59" s="1"/>
      <c r="CK59" s="1">
        <v>93.749707602339186</v>
      </c>
      <c r="CL59" s="1">
        <v>93.75333333333333</v>
      </c>
      <c r="CM59" s="1"/>
      <c r="CN59" s="1">
        <f>20*3.94999768257003</f>
        <v>78.999953651400602</v>
      </c>
      <c r="CO59" s="1"/>
      <c r="CP59" s="1"/>
      <c r="CQ59" s="1">
        <f>20*4.16704086214639</f>
        <v>83.340817242927798</v>
      </c>
      <c r="CR59" s="1"/>
      <c r="CS59" s="1"/>
      <c r="CT59" s="1">
        <f>20*3.1248</f>
        <v>62.496000000000002</v>
      </c>
      <c r="CU59" s="1">
        <f>20*2.982</f>
        <v>59.64</v>
      </c>
      <c r="CV59" s="1"/>
      <c r="CW59" s="3">
        <f>20*3.952</f>
        <v>79.039999999999992</v>
      </c>
      <c r="CX59" s="1"/>
      <c r="DA59" s="17">
        <v>83.344785078198115</v>
      </c>
    </row>
    <row r="60" spans="1:105" x14ac:dyDescent="0.25">
      <c r="A60" s="8">
        <f t="shared" si="4"/>
        <v>1893</v>
      </c>
      <c r="C60" s="1">
        <v>96.4</v>
      </c>
      <c r="D60" s="1">
        <v>92.956811033636271</v>
      </c>
      <c r="E60" s="1"/>
      <c r="F60" s="1"/>
      <c r="G60" s="1"/>
      <c r="H60" s="3">
        <f>2240*0.0416666666666667</f>
        <v>93.3333333333334</v>
      </c>
      <c r="J60" s="1"/>
      <c r="K60" s="1"/>
      <c r="L60" s="1"/>
      <c r="M60" s="1"/>
      <c r="N60" s="1">
        <v>88.496626040428055</v>
      </c>
      <c r="O60" s="1"/>
      <c r="P60" s="1"/>
      <c r="Q60" s="1">
        <f>2240*0.0475159123055163</f>
        <v>106.43564356435651</v>
      </c>
      <c r="R60" s="1"/>
      <c r="S60" s="1"/>
      <c r="T60" s="1">
        <v>106.66666666666666</v>
      </c>
      <c r="U60" s="1"/>
      <c r="V60" s="1"/>
      <c r="W60" s="1">
        <v>63.333333333333329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>
        <v>63.989681857265694</v>
      </c>
      <c r="AP60" s="1"/>
      <c r="AQ60" s="1"/>
      <c r="AR60" s="1"/>
      <c r="AS60" s="1"/>
      <c r="AT60" s="3"/>
      <c r="AU60" s="3"/>
      <c r="AV60" s="13"/>
      <c r="AW60" s="1"/>
      <c r="AX60" s="1">
        <v>98.697674418604549</v>
      </c>
      <c r="AY60" s="1"/>
      <c r="AZ60" s="1"/>
      <c r="BA60" s="1"/>
      <c r="BB60" s="1"/>
      <c r="BC60" s="3"/>
      <c r="BD60" s="3"/>
      <c r="BE60" s="3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3"/>
      <c r="BW60" s="3"/>
      <c r="BX60" s="3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K60" s="1">
        <v>92.307246376811605</v>
      </c>
      <c r="CL60" s="1">
        <v>92.305010893246191</v>
      </c>
      <c r="CM60" s="1"/>
      <c r="CN60" s="1">
        <f>20*3.45779308967951</f>
        <v>69.155861793590205</v>
      </c>
      <c r="CO60" s="1"/>
      <c r="CP60" s="1"/>
      <c r="CQ60" s="1">
        <f>20*4</f>
        <v>80</v>
      </c>
      <c r="CR60" s="1"/>
      <c r="CS60" s="1"/>
      <c r="CT60" s="1">
        <f>20*3.38457142857143</f>
        <v>67.691428571428602</v>
      </c>
      <c r="CU60" s="1">
        <f>20*3.38466666666667</f>
        <v>67.693333333333399</v>
      </c>
      <c r="CV60" s="1"/>
      <c r="CW60" s="3">
        <f>20*5.48</f>
        <v>109.60000000000001</v>
      </c>
      <c r="CX60" s="1"/>
      <c r="DA60" s="17">
        <v>87.082396487881113</v>
      </c>
    </row>
    <row r="61" spans="1:105" x14ac:dyDescent="0.25">
      <c r="A61" s="8">
        <f t="shared" si="4"/>
        <v>1894</v>
      </c>
      <c r="C61" s="1">
        <v>96.4</v>
      </c>
      <c r="D61" s="1">
        <v>93.897458936783806</v>
      </c>
      <c r="F61" s="1"/>
      <c r="G61" s="1"/>
      <c r="H61" s="3">
        <f t="shared" ref="H61:H66" si="5">2240*0.0357142857142857</f>
        <v>79.999999999999972</v>
      </c>
      <c r="J61" s="1"/>
      <c r="K61" s="1"/>
      <c r="L61" s="1"/>
      <c r="M61" s="1"/>
      <c r="N61" s="1">
        <v>80.191283607979173</v>
      </c>
      <c r="O61" s="1"/>
      <c r="P61" s="1"/>
      <c r="Q61" s="1">
        <f>2240*0.0458619505494505</f>
        <v>102.73076923076911</v>
      </c>
      <c r="R61" s="1"/>
      <c r="S61" s="1"/>
      <c r="T61" s="1">
        <v>101.58730158730158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>
        <v>40</v>
      </c>
      <c r="AP61" s="1"/>
      <c r="AQ61" s="1"/>
      <c r="AR61" s="1"/>
      <c r="AS61" s="3"/>
      <c r="AT61" s="3"/>
      <c r="AU61" s="3">
        <v>63.503124999999997</v>
      </c>
      <c r="AV61" s="3"/>
      <c r="AW61" s="1"/>
      <c r="AX61" s="1">
        <v>99.999999999999915</v>
      </c>
      <c r="AY61" s="1"/>
      <c r="AZ61" s="1"/>
      <c r="BA61" s="1"/>
      <c r="BB61" s="1"/>
      <c r="BD61" s="1"/>
      <c r="BE61" s="1"/>
      <c r="BF61" s="1"/>
      <c r="BG61" s="1"/>
      <c r="BH61" s="1"/>
      <c r="BI61" s="1"/>
      <c r="BJ61" s="1"/>
      <c r="BK61" s="1"/>
      <c r="BL61" s="1"/>
      <c r="BM61" s="1">
        <f>2240*0.0461538461538462</f>
        <v>103.38461538461549</v>
      </c>
      <c r="BN61" s="1"/>
      <c r="BO61" s="1"/>
      <c r="BP61" s="1"/>
      <c r="BQ61" s="1"/>
      <c r="BR61" s="1"/>
      <c r="BS61" s="1"/>
      <c r="BT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K61" s="1">
        <v>86.666666666666657</v>
      </c>
      <c r="CL61" s="1">
        <v>85.51627906976745</v>
      </c>
      <c r="CM61" s="1"/>
      <c r="CN61" s="1">
        <f>20*0.579268576801736</f>
        <v>11.585371536034721</v>
      </c>
      <c r="CO61" s="1"/>
      <c r="CP61" s="1"/>
      <c r="CQ61" s="1"/>
      <c r="CR61" s="1"/>
      <c r="CS61" s="1"/>
      <c r="CT61" s="1">
        <f>20*3.88833333333333</f>
        <v>77.766666666666595</v>
      </c>
      <c r="CU61" s="1">
        <f>20*3.88873153955088</f>
        <v>77.7746307910176</v>
      </c>
      <c r="CV61" s="1"/>
      <c r="CW61" s="3">
        <f>20*3.33333333333333</f>
        <v>66.6666666666666</v>
      </c>
      <c r="CX61" s="1"/>
      <c r="DA61" s="17">
        <v>71.821267824411038</v>
      </c>
    </row>
    <row r="62" spans="1:105" x14ac:dyDescent="0.25">
      <c r="A62" s="8">
        <f t="shared" si="4"/>
        <v>1895</v>
      </c>
      <c r="C62" s="1">
        <v>97.6</v>
      </c>
      <c r="D62" s="1">
        <v>93.244922276493753</v>
      </c>
      <c r="F62" s="1"/>
      <c r="G62" s="1"/>
      <c r="H62" s="3">
        <f t="shared" si="5"/>
        <v>79.999999999999972</v>
      </c>
      <c r="J62" s="1"/>
      <c r="K62" s="1"/>
      <c r="L62" s="1"/>
      <c r="M62" s="1"/>
      <c r="N62" s="1">
        <v>76.71032763532763</v>
      </c>
      <c r="O62" s="1"/>
      <c r="P62" s="1"/>
      <c r="Q62" s="1">
        <f>2240*0.0376349667774086</f>
        <v>84.302325581395266</v>
      </c>
      <c r="R62" s="3"/>
      <c r="S62" s="1"/>
      <c r="T62" s="1"/>
      <c r="U62" s="1"/>
      <c r="V62" s="1"/>
      <c r="W62" s="1">
        <v>52.168242582328006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>
        <v>36.014388489208635</v>
      </c>
      <c r="AP62" s="1"/>
      <c r="AQ62" s="1"/>
      <c r="AR62" s="1"/>
      <c r="AS62" s="3"/>
      <c r="AT62" s="3"/>
      <c r="AU62" s="3"/>
      <c r="AV62" s="13"/>
      <c r="AW62" s="1"/>
      <c r="AX62" s="1">
        <v>99.91150442477867</v>
      </c>
      <c r="AY62" s="1"/>
      <c r="AZ62" s="1"/>
      <c r="BA62" s="1"/>
      <c r="BB62" s="1"/>
      <c r="BC62" s="3"/>
      <c r="BD62" s="3"/>
      <c r="BE62" s="3"/>
      <c r="BF62" s="3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K62" s="1">
        <v>88.941935483870964</v>
      </c>
      <c r="CL62" s="1"/>
      <c r="CM62" s="1"/>
      <c r="CN62" s="1">
        <f>20*0.516447914979617</f>
        <v>10.328958299592339</v>
      </c>
      <c r="CO62" s="1"/>
      <c r="CP62" s="1"/>
      <c r="CQ62" s="1">
        <f>20*4.3641585295807</f>
        <v>87.283170591613995</v>
      </c>
      <c r="CR62" s="1"/>
      <c r="CS62" s="1"/>
      <c r="CT62" s="1">
        <f>20*3.889</f>
        <v>77.78</v>
      </c>
      <c r="CU62" s="1">
        <f>20*3.88816738816739</f>
        <v>77.763347763347795</v>
      </c>
      <c r="CV62" s="1"/>
      <c r="CW62" s="3">
        <f>20*1.85</f>
        <v>37</v>
      </c>
      <c r="CX62" s="1"/>
      <c r="DA62" s="17">
        <v>75.4692321377876</v>
      </c>
    </row>
    <row r="63" spans="1:105" x14ac:dyDescent="0.25">
      <c r="A63" s="8">
        <f t="shared" si="4"/>
        <v>1896</v>
      </c>
      <c r="C63" s="1">
        <v>99.800000000000011</v>
      </c>
      <c r="D63" s="1">
        <v>90.488482045873511</v>
      </c>
      <c r="F63" s="1"/>
      <c r="G63" s="1"/>
      <c r="H63" s="3">
        <f t="shared" si="5"/>
        <v>79.999999999999972</v>
      </c>
      <c r="J63" s="1"/>
      <c r="K63" s="1"/>
      <c r="L63" s="1"/>
      <c r="M63" s="1"/>
      <c r="N63" s="1">
        <v>72.384150131484574</v>
      </c>
      <c r="O63" s="1"/>
      <c r="P63" s="1"/>
      <c r="Q63" s="1">
        <f>2240*0.0390625</f>
        <v>87.5</v>
      </c>
      <c r="R63" s="3"/>
      <c r="S63" s="1"/>
      <c r="T63" s="1"/>
      <c r="U63" s="1"/>
      <c r="V63" s="1"/>
      <c r="W63" s="1">
        <v>50.7134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>
        <v>38.337801608579085</v>
      </c>
      <c r="AP63" s="1"/>
      <c r="AQ63" s="1"/>
      <c r="AR63" s="1"/>
      <c r="AS63" s="3"/>
      <c r="AT63" s="3"/>
      <c r="AU63" s="3"/>
      <c r="AV63" s="13"/>
      <c r="AW63" s="1"/>
      <c r="AX63" s="1">
        <v>100.01041666666657</v>
      </c>
      <c r="AY63" s="1"/>
      <c r="AZ63" s="1"/>
      <c r="BA63" s="1"/>
      <c r="BC63" s="3"/>
      <c r="BD63" s="3"/>
      <c r="BE63" s="3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K63" s="1">
        <v>82.35</v>
      </c>
      <c r="CL63" s="1"/>
      <c r="CM63" s="1"/>
      <c r="CN63" s="1">
        <f>20*1.5657286054141</f>
        <v>31.314572108282</v>
      </c>
      <c r="CO63" s="1"/>
      <c r="CP63" s="1"/>
      <c r="CQ63" s="1">
        <f>20*10</f>
        <v>200</v>
      </c>
      <c r="CR63" s="1"/>
      <c r="CS63" s="1"/>
      <c r="CT63" s="1">
        <f>20*3.52933333333333</f>
        <v>70.586666666666602</v>
      </c>
      <c r="CU63" s="1">
        <f>20*4.11746031746032</f>
        <v>82.349206349206398</v>
      </c>
      <c r="CV63" s="1"/>
      <c r="CW63" s="3">
        <f>20*1.96</f>
        <v>39.200000000000003</v>
      </c>
      <c r="CX63" s="1"/>
      <c r="DA63" s="17">
        <v>86.797241738323549</v>
      </c>
    </row>
    <row r="64" spans="1:105" x14ac:dyDescent="0.25">
      <c r="A64" s="8">
        <f t="shared" si="4"/>
        <v>1897</v>
      </c>
      <c r="C64" s="1">
        <v>94.800000000000011</v>
      </c>
      <c r="D64" s="1">
        <v>85.634363907881976</v>
      </c>
      <c r="E64" s="1">
        <f>2240*0.0357142857142857</f>
        <v>79.999999999999972</v>
      </c>
      <c r="F64" s="1"/>
      <c r="G64" s="1"/>
      <c r="H64" s="3">
        <f t="shared" si="5"/>
        <v>79.999999999999972</v>
      </c>
      <c r="J64" s="1"/>
      <c r="K64" s="1"/>
      <c r="L64" s="1"/>
      <c r="M64" s="1"/>
      <c r="N64" s="1">
        <v>62.913312693498447</v>
      </c>
      <c r="O64" s="1"/>
      <c r="P64" s="1"/>
      <c r="Q64" s="1">
        <f>2240*0.0280924139728884</f>
        <v>62.927007299270009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K64" s="1"/>
      <c r="AL64" s="1">
        <v>48.47</v>
      </c>
      <c r="AM64" s="1"/>
      <c r="AN64" s="1"/>
      <c r="AO64" s="1">
        <v>33.94736842105263</v>
      </c>
      <c r="AP64" s="1"/>
      <c r="AQ64" s="1"/>
      <c r="AR64" s="1"/>
      <c r="AS64" s="3"/>
      <c r="AT64" s="3"/>
      <c r="AU64" s="3"/>
      <c r="AV64" s="13"/>
      <c r="AW64" s="1"/>
      <c r="AX64" s="1">
        <v>100.08695652173904</v>
      </c>
      <c r="AY64" s="1"/>
      <c r="AZ64" s="1"/>
      <c r="BA64" s="1"/>
      <c r="BD64" s="1"/>
      <c r="BE64" s="1"/>
      <c r="BI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3"/>
      <c r="BW64" s="3"/>
      <c r="BX64" s="3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K64" s="1">
        <v>78.751807228915666</v>
      </c>
      <c r="CL64" s="1">
        <v>79.992141453831039</v>
      </c>
      <c r="CM64" s="1"/>
      <c r="CN64" s="1">
        <f>20*1.65994756814692</f>
        <v>33.198951362938402</v>
      </c>
      <c r="CO64" s="1"/>
      <c r="CP64" s="1"/>
      <c r="CQ64" s="1">
        <f>20*4.66666666666667</f>
        <v>93.3333333333334</v>
      </c>
      <c r="CR64" s="1"/>
      <c r="CS64" s="1"/>
      <c r="CT64" s="1">
        <f>20*3.125</f>
        <v>62.5</v>
      </c>
      <c r="CU64" s="1">
        <f>20*3.125</f>
        <v>62.5</v>
      </c>
      <c r="CV64" s="1"/>
      <c r="CW64" s="3">
        <f>20*1.90673817567568</f>
        <v>38.134763513513604</v>
      </c>
      <c r="CX64" s="3"/>
      <c r="DA64" s="17">
        <v>92.393338041750297</v>
      </c>
    </row>
    <row r="65" spans="1:105" x14ac:dyDescent="0.25">
      <c r="A65" s="8">
        <f t="shared" si="4"/>
        <v>1898</v>
      </c>
      <c r="C65" s="1">
        <v>77.8</v>
      </c>
      <c r="D65" s="1">
        <v>76.31619062614061</v>
      </c>
      <c r="E65" s="1">
        <f>2240*0.0209750566893424</f>
        <v>46.984126984126981</v>
      </c>
      <c r="F65" s="1"/>
      <c r="G65" s="1"/>
      <c r="H65" s="1">
        <f t="shared" si="5"/>
        <v>79.999999999999972</v>
      </c>
      <c r="I65" s="3"/>
      <c r="K65" s="1"/>
      <c r="L65" s="1"/>
      <c r="M65" s="1"/>
      <c r="N65" s="1">
        <v>40.641999999999996</v>
      </c>
      <c r="O65" s="1"/>
      <c r="P65" s="1"/>
      <c r="Q65" s="1">
        <f>2240*0.0178571428571429</f>
        <v>40.000000000000099</v>
      </c>
      <c r="R65" s="1"/>
      <c r="S65" s="1"/>
      <c r="T65" s="1">
        <v>16.074418604651164</v>
      </c>
      <c r="U65" s="1"/>
      <c r="V65" s="1"/>
      <c r="W65" s="1">
        <v>29.126766666666665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K65" s="1"/>
      <c r="AL65" s="1"/>
      <c r="AM65" s="1"/>
      <c r="AN65" s="1"/>
      <c r="AO65" s="1">
        <v>34</v>
      </c>
      <c r="AP65" s="1"/>
      <c r="AQ65" s="1"/>
      <c r="AR65" s="1"/>
      <c r="AS65" s="3"/>
      <c r="AT65" s="3"/>
      <c r="AU65" s="3"/>
      <c r="AV65" s="3"/>
      <c r="AW65" s="1"/>
      <c r="AX65" s="1">
        <v>99.893162393162299</v>
      </c>
      <c r="AY65" s="1"/>
      <c r="AZ65" s="1"/>
      <c r="BA65" s="1"/>
      <c r="BB65" s="1"/>
      <c r="BC65" s="3"/>
      <c r="BD65" s="3"/>
      <c r="BE65" s="3"/>
      <c r="BF65" s="3"/>
      <c r="BG65" s="1"/>
      <c r="BH65" s="1"/>
      <c r="BI65" s="1"/>
      <c r="BL65" s="1"/>
      <c r="BM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K65" s="1">
        <v>52.501061571125263</v>
      </c>
      <c r="CL65" s="1">
        <v>52.502078137988363</v>
      </c>
      <c r="CM65" s="1"/>
      <c r="CN65" s="1">
        <f>20*1.19934841421578</f>
        <v>23.986968284315601</v>
      </c>
      <c r="CO65" s="1"/>
      <c r="CP65" s="1"/>
      <c r="CQ65" s="1">
        <f>20*4.66666666666667</f>
        <v>93.3333333333334</v>
      </c>
      <c r="CR65" s="1"/>
      <c r="CS65" s="1"/>
      <c r="CT65" s="1">
        <f>20*1.875</f>
        <v>37.5</v>
      </c>
      <c r="CU65" s="1">
        <f>20*1.87504437344693</f>
        <v>37.5008874689386</v>
      </c>
      <c r="CV65" s="1"/>
      <c r="CW65" s="3">
        <f>20*3.54969779054478</f>
        <v>70.993955810895599</v>
      </c>
      <c r="CX65" s="1"/>
      <c r="DA65" s="17">
        <v>81.922141016567622</v>
      </c>
    </row>
    <row r="66" spans="1:105" x14ac:dyDescent="0.25">
      <c r="A66" s="8">
        <f t="shared" si="4"/>
        <v>1899</v>
      </c>
      <c r="C66" s="1">
        <v>67.599999999999994</v>
      </c>
      <c r="D66" s="1">
        <v>66.869718709857835</v>
      </c>
      <c r="E66" s="1">
        <f>2240*0.0238095238095238</f>
        <v>53.333333333333314</v>
      </c>
      <c r="F66" s="1"/>
      <c r="G66" s="1">
        <f>2240*0.0200051778107275</f>
        <v>44.811598296029601</v>
      </c>
      <c r="H66" s="1">
        <f t="shared" si="5"/>
        <v>79.999999999999972</v>
      </c>
      <c r="I66" s="3"/>
      <c r="K66" s="1"/>
      <c r="L66" s="1"/>
      <c r="M66" s="1"/>
      <c r="N66" s="1">
        <v>37.890197916666665</v>
      </c>
      <c r="O66" s="1"/>
      <c r="P66" s="1"/>
      <c r="Q66" s="1">
        <f>2240*0.0142857142857143</f>
        <v>32.000000000000028</v>
      </c>
      <c r="R66" s="1"/>
      <c r="S66" s="1"/>
      <c r="T66" s="1"/>
      <c r="U66" s="1"/>
      <c r="V66" s="1"/>
      <c r="W66" s="1">
        <v>36.984220000000001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K66" s="1"/>
      <c r="AL66" s="1"/>
      <c r="AM66" s="1"/>
      <c r="AN66" s="1"/>
      <c r="AO66" s="1">
        <v>34.006054490413725</v>
      </c>
      <c r="AP66" s="1"/>
      <c r="AQ66" s="1"/>
      <c r="AR66" s="1"/>
      <c r="AS66" s="3"/>
      <c r="AT66" s="3"/>
      <c r="AU66" s="3"/>
      <c r="AV66" s="3"/>
      <c r="AW66" s="1"/>
      <c r="AX66" s="1">
        <v>59.999999999999943</v>
      </c>
      <c r="AY66" s="1"/>
      <c r="AZ66" s="1"/>
      <c r="BA66" s="1"/>
      <c r="BC66" s="1"/>
      <c r="BD66" s="1"/>
      <c r="BE66" s="1"/>
      <c r="BF66" s="1"/>
      <c r="BG66" s="1"/>
      <c r="BH66" s="1"/>
      <c r="BI66" s="1"/>
      <c r="BL66" s="1"/>
      <c r="BM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K66" s="1">
        <v>48.501098901098906</v>
      </c>
      <c r="CL66" s="1">
        <v>42.674719585849871</v>
      </c>
      <c r="CM66" s="1"/>
      <c r="CN66" s="1">
        <f>20*1.48717751513571</f>
        <v>29.743550302714201</v>
      </c>
      <c r="CO66" s="1"/>
      <c r="CP66" s="1"/>
      <c r="CQ66" s="1">
        <f>20*4.7989417989418</f>
        <v>95.978835978836003</v>
      </c>
      <c r="CR66" s="1"/>
      <c r="CS66" s="1"/>
      <c r="CT66" s="1">
        <f>20*1.66666666666667</f>
        <v>33.3333333333334</v>
      </c>
      <c r="CU66" s="1">
        <f>20*1.6672972972973</f>
        <v>33.345945945945999</v>
      </c>
      <c r="CV66" s="1"/>
      <c r="CW66" s="3">
        <f>20*3.87498648658336</f>
        <v>77.499729731667202</v>
      </c>
      <c r="CX66" s="1"/>
      <c r="DA66" s="17">
        <v>86.393118464318519</v>
      </c>
    </row>
    <row r="67" spans="1:105" x14ac:dyDescent="0.25">
      <c r="A67" s="8">
        <f t="shared" si="4"/>
        <v>1900</v>
      </c>
      <c r="C67" s="1">
        <v>67</v>
      </c>
      <c r="D67" s="1">
        <v>66.645507169399053</v>
      </c>
      <c r="E67" s="1">
        <f>2240*0.0238095238095238</f>
        <v>53.333333333333314</v>
      </c>
      <c r="F67" s="1"/>
      <c r="G67" s="1"/>
      <c r="H67" s="1">
        <f>2240*0.023783009863188</f>
        <v>53.273942093541123</v>
      </c>
      <c r="I67" s="3"/>
      <c r="K67" s="1"/>
      <c r="L67" s="1"/>
      <c r="M67" s="1"/>
      <c r="N67" s="1">
        <v>44.46989916326968</v>
      </c>
      <c r="O67" s="1"/>
      <c r="P67" s="1"/>
      <c r="Q67" s="1">
        <f>2240*0.0223809523809524</f>
        <v>50.133333333333375</v>
      </c>
      <c r="R67" s="1"/>
      <c r="S67" s="1"/>
      <c r="T67" s="3"/>
      <c r="U67" s="1"/>
      <c r="V67" s="1"/>
      <c r="W67" s="1">
        <v>38.945454545454545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J67" s="1"/>
      <c r="AK67" s="1"/>
      <c r="AL67" s="1"/>
      <c r="AM67" s="1"/>
      <c r="AN67" s="1"/>
      <c r="AO67" s="1">
        <v>40</v>
      </c>
      <c r="AP67" s="1"/>
      <c r="AQ67" s="1"/>
      <c r="AR67" s="1"/>
      <c r="AS67" s="3"/>
      <c r="AT67" s="3"/>
      <c r="AU67" s="3"/>
      <c r="AV67" s="3"/>
      <c r="AW67" s="1"/>
      <c r="AX67" s="1">
        <v>54.99999999999995</v>
      </c>
      <c r="AY67" s="1"/>
      <c r="AZ67" s="1"/>
      <c r="BA67" s="1"/>
      <c r="BC67" s="1"/>
      <c r="BD67" s="1"/>
      <c r="BE67" s="1"/>
      <c r="BF67" s="1"/>
      <c r="BG67" s="1"/>
      <c r="BH67" s="1"/>
      <c r="BI67" s="1"/>
      <c r="BJ67" s="1">
        <f>20*2.71855560612957</f>
        <v>54.371112122591398</v>
      </c>
      <c r="BK67" s="1"/>
      <c r="BL67" s="1"/>
      <c r="BM67" s="1"/>
      <c r="BO67" s="1"/>
      <c r="BP67" s="1"/>
      <c r="BQ67" s="1"/>
      <c r="BR67" s="1"/>
      <c r="BS67" s="1"/>
      <c r="BT67" s="3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K67" s="1">
        <v>46.756714795839152</v>
      </c>
      <c r="CL67" s="1">
        <v>60</v>
      </c>
      <c r="CM67" s="1"/>
      <c r="CN67" s="1">
        <f>20*1.15750795336123</f>
        <v>23.1501590672246</v>
      </c>
      <c r="CO67" s="1"/>
      <c r="CP67" s="1"/>
      <c r="CQ67" s="1">
        <f>20*4.9412965798877</f>
        <v>98.825931597753993</v>
      </c>
      <c r="CR67" s="1"/>
      <c r="CS67" s="1"/>
      <c r="CT67" s="1">
        <f>20*1.66675</f>
        <v>33.335000000000001</v>
      </c>
      <c r="CU67" s="1">
        <f>20*1.65451263537906</f>
        <v>33.0902527075812</v>
      </c>
      <c r="CV67" s="1"/>
      <c r="CW67" s="3">
        <f>20*4.86819183313616</f>
        <v>97.363836662723202</v>
      </c>
      <c r="CX67" s="1"/>
      <c r="DA67" s="17">
        <v>70.360650144124989</v>
      </c>
    </row>
    <row r="68" spans="1:105" x14ac:dyDescent="0.25">
      <c r="A68" s="8">
        <f t="shared" si="4"/>
        <v>1901</v>
      </c>
      <c r="C68" s="1">
        <v>69.400000000000006</v>
      </c>
      <c r="D68" s="1">
        <v>57.62536210464085</v>
      </c>
      <c r="E68" s="1">
        <f>2240*0.0193452380952381</f>
        <v>43.333333333333343</v>
      </c>
      <c r="F68" s="1"/>
      <c r="G68" s="1"/>
      <c r="H68" s="1">
        <f>2240*0.0353164879228591</f>
        <v>79.108932947204394</v>
      </c>
      <c r="I68" s="3"/>
      <c r="K68" s="1"/>
      <c r="L68" s="1"/>
      <c r="M68" s="1"/>
      <c r="N68" s="1">
        <v>40.424170274170272</v>
      </c>
      <c r="O68" s="1"/>
      <c r="P68" s="1"/>
      <c r="Q68" s="1">
        <f>2240*0.0211678663713547</f>
        <v>47.416020671834531</v>
      </c>
      <c r="R68" s="1"/>
      <c r="S68" s="1"/>
      <c r="T68" s="3">
        <v>47.41379310344827</v>
      </c>
      <c r="U68" s="1"/>
      <c r="V68" s="1"/>
      <c r="W68" s="1">
        <v>41.575757575757578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J68" s="1"/>
      <c r="AK68" s="1"/>
      <c r="AL68" s="1"/>
      <c r="AM68" s="1"/>
      <c r="AN68" s="1"/>
      <c r="AO68" s="1">
        <v>39.975155279503106</v>
      </c>
      <c r="AP68" s="1"/>
      <c r="AQ68" s="1"/>
      <c r="AR68" s="1"/>
      <c r="AS68" s="3"/>
      <c r="AT68" s="3"/>
      <c r="AU68" s="3"/>
      <c r="AV68" s="3"/>
      <c r="AW68" s="1"/>
      <c r="AX68" s="1">
        <v>54.990494296577893</v>
      </c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>
        <f>20*3.19135382262226</f>
        <v>63.827076452445198</v>
      </c>
      <c r="BK68" s="1"/>
      <c r="BL68" s="1"/>
      <c r="BM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K68" s="1">
        <v>46.699394534446085</v>
      </c>
      <c r="CL68" s="1">
        <v>46.670100437805822</v>
      </c>
      <c r="CM68" s="1"/>
      <c r="CN68" s="1">
        <f>20*1.42735118999549</f>
        <v>28.547023799909802</v>
      </c>
      <c r="CO68" s="1"/>
      <c r="CP68" s="1"/>
      <c r="CQ68" s="1">
        <f>20*5</f>
        <v>100</v>
      </c>
      <c r="CR68" s="1"/>
      <c r="CS68" s="1"/>
      <c r="CT68" s="1">
        <f>20*1.66666666666667</f>
        <v>33.3333333333334</v>
      </c>
      <c r="CU68" s="1">
        <f>20*1.66666666666667</f>
        <v>33.3333333333334</v>
      </c>
      <c r="CV68" s="1"/>
      <c r="CW68" s="3">
        <f>20*5.66593406593407</f>
        <v>113.3186813186814</v>
      </c>
      <c r="CX68" s="1"/>
      <c r="DA68" s="17">
        <v>66.466231926989707</v>
      </c>
    </row>
    <row r="69" spans="1:105" x14ac:dyDescent="0.25">
      <c r="A69" s="8">
        <f t="shared" si="4"/>
        <v>1902</v>
      </c>
      <c r="C69" s="1">
        <v>56.8</v>
      </c>
      <c r="D69" s="1">
        <v>57.451463142045966</v>
      </c>
      <c r="E69" s="1">
        <f>2240*0.0178642885725719</f>
        <v>40.016006402561054</v>
      </c>
      <c r="F69" s="1"/>
      <c r="G69" s="1"/>
      <c r="H69" s="1">
        <f>2240*0.0238095238095238</f>
        <v>53.333333333333314</v>
      </c>
      <c r="I69" s="3"/>
      <c r="K69" s="1"/>
      <c r="L69" s="1"/>
      <c r="M69" s="1"/>
      <c r="N69" s="1">
        <v>36.659122420040958</v>
      </c>
      <c r="O69" s="1"/>
      <c r="P69" s="1"/>
      <c r="Q69" s="1">
        <f>2240*0.0169936801881246</f>
        <v>38.065843621399104</v>
      </c>
      <c r="R69" s="1"/>
      <c r="S69" s="1"/>
      <c r="T69" s="1">
        <v>47.770700636942678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J69" s="1"/>
      <c r="AK69" s="1"/>
      <c r="AL69" s="1"/>
      <c r="AM69" s="1"/>
      <c r="AN69" s="1"/>
      <c r="AO69" s="1">
        <v>40.015186028853449</v>
      </c>
      <c r="AP69" s="1"/>
      <c r="AQ69" s="1"/>
      <c r="AR69" s="1"/>
      <c r="AS69" s="3"/>
      <c r="AT69" s="3"/>
      <c r="AU69" s="3"/>
      <c r="AV69" s="3"/>
      <c r="AW69" s="1"/>
      <c r="AX69" s="1">
        <v>44.917431192660516</v>
      </c>
      <c r="AY69" s="1"/>
      <c r="AZ69" s="1"/>
      <c r="BA69" s="1"/>
      <c r="BB69" s="1"/>
      <c r="BC69" s="1"/>
      <c r="BD69" s="1"/>
      <c r="BE69" s="1"/>
      <c r="BF69" s="1"/>
      <c r="BG69" s="3"/>
      <c r="BH69" s="1"/>
      <c r="BJ69" s="1">
        <f>20*2.81218358621212</f>
        <v>56.243671724242397</v>
      </c>
      <c r="BK69" s="1"/>
      <c r="BL69" s="1"/>
      <c r="BM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K69" s="1">
        <v>41.76484070593628</v>
      </c>
      <c r="CL69" s="1">
        <v>42.672985781990526</v>
      </c>
      <c r="CM69" s="1"/>
      <c r="CN69" s="1">
        <f>20*1.15919526538727</f>
        <v>23.183905307745398</v>
      </c>
      <c r="CO69" s="1"/>
      <c r="CP69" s="1"/>
      <c r="CQ69" s="1">
        <f>20*3.24878048780488</f>
        <v>64.975609756097597</v>
      </c>
      <c r="CR69" s="1"/>
      <c r="CS69" s="1"/>
      <c r="CT69" s="1"/>
      <c r="CU69" s="1"/>
      <c r="CV69" s="1"/>
      <c r="DA69" s="17">
        <v>65.360215180244822</v>
      </c>
    </row>
    <row r="70" spans="1:105" x14ac:dyDescent="0.25">
      <c r="A70" s="8">
        <f t="shared" si="4"/>
        <v>1903</v>
      </c>
      <c r="C70" s="1">
        <v>54.800000000000004</v>
      </c>
      <c r="D70" s="1">
        <v>49.842109623565975</v>
      </c>
      <c r="E70" s="1">
        <f>2240*0.0193461664141639</f>
        <v>43.335412767727135</v>
      </c>
      <c r="F70" s="1"/>
      <c r="G70" s="1"/>
      <c r="H70" s="1">
        <f>2240*0.0178571428571429</f>
        <v>40.000000000000099</v>
      </c>
      <c r="I70" s="3"/>
      <c r="K70" s="1"/>
      <c r="L70" s="1"/>
      <c r="M70" s="1"/>
      <c r="N70" s="1">
        <v>34.287019712662875</v>
      </c>
      <c r="O70" s="1"/>
      <c r="P70" s="1"/>
      <c r="Q70" s="3">
        <f>2240*0.0165365557217651</f>
        <v>37.041884816753821</v>
      </c>
      <c r="R70" s="1"/>
      <c r="S70" s="1"/>
      <c r="T70" s="1">
        <v>48.421052631578945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J70" s="1"/>
      <c r="AK70" s="1"/>
      <c r="AL70" s="1"/>
      <c r="AM70" s="1"/>
      <c r="AN70" s="1"/>
      <c r="AO70" s="1">
        <v>42.022471910112358</v>
      </c>
      <c r="AP70" s="1"/>
      <c r="AQ70" s="1"/>
      <c r="AR70" s="1"/>
      <c r="AS70" s="3"/>
      <c r="AT70" s="3"/>
      <c r="AU70" s="3"/>
      <c r="AV70" s="3"/>
      <c r="AW70" s="1"/>
      <c r="AX70" s="1">
        <v>45.009242144177406</v>
      </c>
      <c r="AY70" s="1"/>
      <c r="AZ70" s="1"/>
      <c r="BA70" s="1"/>
      <c r="BC70" s="1"/>
      <c r="BD70" s="1"/>
      <c r="BE70" s="1"/>
      <c r="BF70" s="1"/>
      <c r="BG70" s="3"/>
      <c r="BH70" s="1"/>
      <c r="BJ70" s="1">
        <f>20*2.80586981693993</f>
        <v>56.117396338798599</v>
      </c>
      <c r="BK70" s="1"/>
      <c r="BL70" s="1"/>
      <c r="BM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K70" s="1">
        <v>40.350877192982459</v>
      </c>
      <c r="CL70" s="1">
        <v>40.681481481481477</v>
      </c>
      <c r="CM70" s="1"/>
      <c r="CN70" s="1">
        <f>20*1.21154999674111</f>
        <v>24.230999934822201</v>
      </c>
      <c r="CO70" s="1"/>
      <c r="CP70" s="1"/>
      <c r="CQ70" s="1"/>
      <c r="CR70" s="1"/>
      <c r="CS70" s="1"/>
      <c r="CU70" s="1"/>
      <c r="CV70" s="1"/>
      <c r="DA70" s="17">
        <v>65.449965634462131</v>
      </c>
    </row>
    <row r="71" spans="1:105" x14ac:dyDescent="0.25">
      <c r="A71" s="8">
        <f t="shared" si="4"/>
        <v>1904</v>
      </c>
      <c r="C71" s="1">
        <v>63</v>
      </c>
      <c r="D71" s="1">
        <v>51.87104793817219</v>
      </c>
      <c r="E71" s="1">
        <f>2240*0.0238095238095238</f>
        <v>53.333333333333314</v>
      </c>
      <c r="F71" s="1"/>
      <c r="G71" s="1"/>
      <c r="H71" s="1">
        <f>2240*0.0193453326435091</f>
        <v>43.333545121460382</v>
      </c>
      <c r="I71" s="3"/>
      <c r="K71" s="1"/>
      <c r="L71" s="1"/>
      <c r="M71" s="1"/>
      <c r="N71" s="1">
        <v>37.131977245302537</v>
      </c>
      <c r="O71" s="1"/>
      <c r="P71" s="1"/>
      <c r="Q71" s="1">
        <f>2240*0.0189055735930736</f>
        <v>42.348484848484858</v>
      </c>
      <c r="R71" s="3"/>
      <c r="S71" s="1"/>
      <c r="T71" s="1">
        <v>61.871345029239762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J71" s="1"/>
      <c r="AK71" s="1"/>
      <c r="AL71" s="1"/>
      <c r="AM71" s="1"/>
      <c r="AN71" s="1"/>
      <c r="AO71" s="1">
        <v>34.179301252471987</v>
      </c>
      <c r="AP71" s="1"/>
      <c r="AQ71" s="1"/>
      <c r="AR71" s="1"/>
      <c r="AS71" s="1"/>
      <c r="AT71" s="3"/>
      <c r="AU71" s="3"/>
      <c r="AV71" s="3"/>
      <c r="AW71" s="1"/>
      <c r="AX71" s="1">
        <v>44.999999999999964</v>
      </c>
      <c r="AY71" s="1"/>
      <c r="AZ71" s="1"/>
      <c r="BA71" s="1"/>
      <c r="BC71" s="1"/>
      <c r="BD71" s="1"/>
      <c r="BE71" s="1"/>
      <c r="BF71" s="1"/>
      <c r="BG71" s="3"/>
      <c r="BH71" s="1"/>
      <c r="BJ71" s="1">
        <f>20*3.25268029761556</f>
        <v>65.053605952311202</v>
      </c>
      <c r="BK71" s="1"/>
      <c r="BL71" s="1"/>
      <c r="BM71" s="1"/>
      <c r="BN71" s="1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K71" s="1">
        <v>42.731849200134242</v>
      </c>
      <c r="CL71" s="1">
        <v>46.445553272673905</v>
      </c>
      <c r="CM71" s="1"/>
      <c r="CN71" s="1">
        <f>20*2.21092236656702</f>
        <v>44.2184473313404</v>
      </c>
      <c r="CO71" s="1"/>
      <c r="CP71" s="1"/>
      <c r="CQ71" s="1"/>
      <c r="CR71" s="1"/>
      <c r="CS71" s="1"/>
      <c r="CU71" s="1"/>
      <c r="CV71" s="1"/>
      <c r="DA71" s="17">
        <v>62.597251883235934</v>
      </c>
    </row>
    <row r="72" spans="1:105" x14ac:dyDescent="0.25">
      <c r="A72" s="8">
        <f t="shared" ref="A72:A103" si="6">A71+1</f>
        <v>1905</v>
      </c>
      <c r="C72" s="1">
        <v>55.4</v>
      </c>
      <c r="D72" s="1">
        <v>50.245350525442475</v>
      </c>
      <c r="E72" s="1">
        <f>2240*0.0267857142857143</f>
        <v>60.000000000000036</v>
      </c>
      <c r="F72" s="1"/>
      <c r="G72" s="1"/>
      <c r="H72" s="1">
        <f>2240*0.019345145787364</f>
        <v>43.333126563695366</v>
      </c>
      <c r="I72" s="3"/>
      <c r="K72" s="1"/>
      <c r="L72" s="1"/>
      <c r="M72" s="1"/>
      <c r="N72" s="1">
        <v>39.208103638368243</v>
      </c>
      <c r="O72" s="1"/>
      <c r="P72" s="1"/>
      <c r="Q72" s="1">
        <f>2240*0.0199117288961039</f>
        <v>44.602272727272734</v>
      </c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J72" s="1"/>
      <c r="AK72" s="1"/>
      <c r="AL72" s="1"/>
      <c r="AM72" s="1"/>
      <c r="AN72" s="1"/>
      <c r="AO72" s="1">
        <v>36.346356916578671</v>
      </c>
      <c r="AP72" s="1"/>
      <c r="AQ72" s="1"/>
      <c r="AR72" s="1"/>
      <c r="AS72" s="1"/>
      <c r="AT72" s="3"/>
      <c r="AU72" s="3">
        <v>46.186999999999998</v>
      </c>
      <c r="AV72" s="3"/>
      <c r="AW72" s="1"/>
      <c r="AX72" s="1">
        <v>44.999999999999964</v>
      </c>
      <c r="AY72" s="1"/>
      <c r="AZ72" s="1"/>
      <c r="BA72" s="1"/>
      <c r="BB72" s="1"/>
      <c r="BC72" s="1"/>
      <c r="BD72" s="1"/>
      <c r="BE72" s="1"/>
      <c r="BF72" s="1"/>
      <c r="BG72" s="3"/>
      <c r="BH72" s="1"/>
      <c r="BJ72" s="1">
        <f>20*2.69897238911323</f>
        <v>53.9794477822646</v>
      </c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C72" s="1"/>
      <c r="CD72" s="1"/>
      <c r="CE72" s="1"/>
      <c r="CF72" s="1"/>
      <c r="CG72" s="1"/>
      <c r="CH72" s="1"/>
      <c r="CI72" s="1"/>
      <c r="CK72" s="1">
        <v>54.66734097550011</v>
      </c>
      <c r="CL72" s="1">
        <v>53.333333333333343</v>
      </c>
      <c r="CM72" s="1"/>
      <c r="CN72" s="1">
        <f>20*2.16734693877551</f>
        <v>43.346938775510196</v>
      </c>
      <c r="CO72" s="1"/>
      <c r="CP72" s="1"/>
      <c r="CQ72" s="1"/>
      <c r="CR72" s="1"/>
      <c r="CS72" s="1"/>
      <c r="CU72" s="1"/>
      <c r="CV72" s="1"/>
      <c r="DA72" s="17">
        <v>67.18198557851278</v>
      </c>
    </row>
    <row r="73" spans="1:105" x14ac:dyDescent="0.25">
      <c r="A73" s="8">
        <f t="shared" si="6"/>
        <v>1906</v>
      </c>
      <c r="C73" s="1">
        <v>52.800000000000004</v>
      </c>
      <c r="D73" s="1">
        <v>51.321510222839493</v>
      </c>
      <c r="E73" s="1">
        <f>2240*0.0208333333333333</f>
        <v>46.666666666666593</v>
      </c>
      <c r="F73" s="1"/>
      <c r="G73" s="1"/>
      <c r="H73" s="1">
        <f>2240*0.0202381659230608</f>
        <v>45.33349166765619</v>
      </c>
      <c r="I73" s="3"/>
      <c r="K73" s="1"/>
      <c r="L73" s="1"/>
      <c r="M73" s="1"/>
      <c r="N73" s="1">
        <v>40.65660716425063</v>
      </c>
      <c r="O73" s="1"/>
      <c r="P73" s="1"/>
      <c r="Q73" s="3">
        <f>2240*0.0192133815551537</f>
        <v>43.037974683544284</v>
      </c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3"/>
      <c r="AU73" s="3">
        <v>41.07779698691035</v>
      </c>
      <c r="AV73" s="3"/>
      <c r="AW73" s="1"/>
      <c r="AX73" s="1">
        <v>44.999999999999957</v>
      </c>
      <c r="AY73" s="1"/>
      <c r="AZ73" s="1"/>
      <c r="BA73" s="1"/>
      <c r="BC73" s="1"/>
      <c r="BD73" s="1"/>
      <c r="BE73" s="1"/>
      <c r="BF73" s="1"/>
      <c r="BG73" s="3"/>
      <c r="BH73" s="1"/>
      <c r="BJ73" s="1"/>
      <c r="BK73" s="1"/>
      <c r="BL73" s="1"/>
      <c r="BM73" s="3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3"/>
      <c r="BZ73" s="1"/>
      <c r="CA73" s="1"/>
      <c r="CB73" s="3"/>
      <c r="CC73" s="1"/>
      <c r="CD73" s="1"/>
      <c r="CE73" s="1"/>
      <c r="CF73" s="1"/>
      <c r="CG73" s="1"/>
      <c r="CH73" s="1"/>
      <c r="CI73" s="1"/>
      <c r="CK73" s="1">
        <v>47.928367563937542</v>
      </c>
      <c r="CL73" s="1">
        <v>49.333333333333336</v>
      </c>
      <c r="CM73" s="1"/>
      <c r="CN73" s="1">
        <f>20*2.59132075471698</f>
        <v>51.826415094339602</v>
      </c>
      <c r="CO73" s="1"/>
      <c r="CP73" s="1"/>
      <c r="CQ73" s="1"/>
      <c r="CR73" s="1"/>
      <c r="CS73" s="1"/>
      <c r="CU73" s="1"/>
      <c r="CV73" s="1"/>
      <c r="DA73" s="17">
        <v>65.030956571955286</v>
      </c>
    </row>
    <row r="74" spans="1:105" x14ac:dyDescent="0.25">
      <c r="A74" s="8">
        <f t="shared" si="6"/>
        <v>1907</v>
      </c>
      <c r="C74" s="1">
        <v>46.2</v>
      </c>
      <c r="D74" s="1">
        <v>50.072924166289361</v>
      </c>
      <c r="E74" s="1">
        <f>2240*0.0193446703366581</f>
        <v>43.332061554114141</v>
      </c>
      <c r="F74" s="1"/>
      <c r="G74" s="1"/>
      <c r="H74" s="3">
        <f>2240*0.0208331264091537</f>
        <v>46.666203156504288</v>
      </c>
      <c r="I74" s="3"/>
      <c r="K74" s="1"/>
      <c r="L74" s="1"/>
      <c r="M74" s="1"/>
      <c r="N74" s="1">
        <v>39.188149565729425</v>
      </c>
      <c r="O74" s="1"/>
      <c r="P74" s="1"/>
      <c r="Q74" s="1">
        <f>2240*0.0234688503210273</f>
        <v>52.570224719101155</v>
      </c>
      <c r="R74" s="1"/>
      <c r="S74" s="3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J74" s="1"/>
      <c r="AK74" s="1"/>
      <c r="AL74" s="1">
        <v>38.596491228070178</v>
      </c>
      <c r="AM74" s="1"/>
      <c r="AN74" s="1"/>
      <c r="AO74" s="1"/>
      <c r="AP74" s="1"/>
      <c r="AQ74" s="1"/>
      <c r="AR74" s="1"/>
      <c r="AS74" s="1"/>
      <c r="AT74" s="3"/>
      <c r="AU74" s="3">
        <v>36.731372549019611</v>
      </c>
      <c r="AV74" s="3"/>
      <c r="AW74" s="1"/>
      <c r="AX74" s="1">
        <v>44.947643979057553</v>
      </c>
      <c r="AY74" s="1"/>
      <c r="AZ74" s="1"/>
      <c r="BA74" s="1"/>
      <c r="BC74" s="1"/>
      <c r="BE74" s="1"/>
      <c r="BF74" s="1"/>
      <c r="BG74" s="3"/>
      <c r="BH74" s="3"/>
      <c r="BJ74" s="1">
        <f>20*3.01904761904762</f>
        <v>60.380952380952394</v>
      </c>
      <c r="BK74" s="1"/>
      <c r="BL74" s="1"/>
      <c r="BM74" s="3">
        <f>2240*0.0337202380952381</f>
        <v>75.533333333333346</v>
      </c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3"/>
      <c r="BZ74" s="1"/>
      <c r="CA74" s="1"/>
      <c r="CB74" s="3"/>
      <c r="CC74" s="1"/>
      <c r="CD74" s="1"/>
      <c r="CE74" s="1"/>
      <c r="CF74" s="1"/>
      <c r="CG74" s="1"/>
      <c r="CH74" s="1"/>
      <c r="CI74" s="1"/>
      <c r="CK74" s="1">
        <v>53.333333333333329</v>
      </c>
      <c r="CL74" s="1">
        <v>58.675433581093955</v>
      </c>
      <c r="CM74" s="1"/>
      <c r="CN74" s="1">
        <f>20*2.66659663865546</f>
        <v>53.331932773109195</v>
      </c>
      <c r="CO74" s="1"/>
      <c r="CP74" s="1"/>
      <c r="CQ74" s="1"/>
      <c r="CR74" s="1"/>
      <c r="CS74" s="1"/>
      <c r="CT74" s="1">
        <f>20*5</f>
        <v>100</v>
      </c>
      <c r="CU74" s="1"/>
      <c r="CV74" s="1"/>
      <c r="DA74" s="17">
        <v>58.249581312967464</v>
      </c>
    </row>
    <row r="75" spans="1:105" x14ac:dyDescent="0.25">
      <c r="A75" s="8">
        <f t="shared" si="6"/>
        <v>1908</v>
      </c>
      <c r="C75" s="1">
        <v>55.599999999999994</v>
      </c>
      <c r="D75" s="1">
        <v>53.385491058981984</v>
      </c>
      <c r="E75" s="1">
        <f>2240*0.0193456610461765</f>
        <v>43.334280743435357</v>
      </c>
      <c r="F75" s="1"/>
      <c r="G75" s="1"/>
      <c r="H75" s="3">
        <f>2240*0.0178571428571429</f>
        <v>40.000000000000099</v>
      </c>
      <c r="I75" s="3"/>
      <c r="K75" s="1"/>
      <c r="L75" s="1"/>
      <c r="M75" s="1"/>
      <c r="N75" s="1">
        <v>36.544750834028356</v>
      </c>
      <c r="O75" s="1"/>
      <c r="P75" s="1"/>
      <c r="Q75" s="1">
        <f>2240*0.0203987682594702</f>
        <v>45.693240901213251</v>
      </c>
      <c r="R75" s="3"/>
      <c r="S75" s="1"/>
      <c r="T75" s="1">
        <v>55.555555555555557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J75" s="1"/>
      <c r="AK75" s="1"/>
      <c r="AL75" s="1"/>
      <c r="AN75" s="1"/>
      <c r="AO75" s="1"/>
      <c r="AP75" s="1"/>
      <c r="AQ75" s="1"/>
      <c r="AR75" s="1"/>
      <c r="AS75" s="1"/>
      <c r="AT75" s="3"/>
      <c r="AU75" s="3">
        <v>38.068405797101448</v>
      </c>
      <c r="AV75" s="3"/>
      <c r="AW75" s="1"/>
      <c r="AX75" s="1">
        <v>45.217391304347785</v>
      </c>
      <c r="AY75" s="1"/>
      <c r="AZ75" s="1"/>
      <c r="BA75" s="1"/>
      <c r="BC75" s="1"/>
      <c r="BD75" s="1"/>
      <c r="BF75" s="1"/>
      <c r="BG75" s="3"/>
      <c r="BH75" s="1"/>
      <c r="BJ75" s="1">
        <f>20*4.59722222222222</f>
        <v>91.9444444444444</v>
      </c>
      <c r="BK75" s="1"/>
      <c r="BL75" s="1"/>
      <c r="BM75" s="3">
        <f>2240*0.0333294555607259</f>
        <v>74.65798045602601</v>
      </c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3"/>
      <c r="BZ75" s="1"/>
      <c r="CA75" s="1"/>
      <c r="CB75" s="3"/>
      <c r="CC75" s="1"/>
      <c r="CD75" s="1"/>
      <c r="CE75" s="1"/>
      <c r="CF75" s="3"/>
      <c r="CG75" s="1"/>
      <c r="CH75" s="1"/>
      <c r="CI75" s="1"/>
      <c r="CK75" s="1">
        <v>42.666666666666664</v>
      </c>
      <c r="CL75" s="1">
        <v>53.514807813484559</v>
      </c>
      <c r="CM75" s="1"/>
      <c r="CN75" s="1">
        <f>20*2.66679810725552</f>
        <v>53.3359621451104</v>
      </c>
      <c r="CO75" s="1"/>
      <c r="CP75" s="1"/>
      <c r="CQ75" s="1"/>
      <c r="CR75" s="1"/>
      <c r="CS75" s="1"/>
      <c r="CT75" s="1">
        <f>20*3.9375</f>
        <v>78.75</v>
      </c>
      <c r="CU75" s="1"/>
      <c r="CV75" s="1"/>
      <c r="DA75" s="17">
        <v>60.844436073601543</v>
      </c>
    </row>
    <row r="76" spans="1:105" x14ac:dyDescent="0.25">
      <c r="A76" s="8">
        <f t="shared" si="6"/>
        <v>1909</v>
      </c>
      <c r="C76" s="1">
        <v>50.599999999999994</v>
      </c>
      <c r="D76" s="1">
        <v>50.398628566721804</v>
      </c>
      <c r="E76" s="1">
        <f>2240*0.0222204118873827</f>
        <v>49.77372262773725</v>
      </c>
      <c r="F76" s="1"/>
      <c r="G76" s="1"/>
      <c r="H76" s="1">
        <f>2240*0.0184522428781301</f>
        <v>41.333024047011428</v>
      </c>
      <c r="I76" s="3"/>
      <c r="K76" s="1"/>
      <c r="L76" s="1"/>
      <c r="M76" s="1"/>
      <c r="N76" s="1">
        <v>37.972156453110493</v>
      </c>
      <c r="O76" s="1"/>
      <c r="P76" s="1"/>
      <c r="Q76" s="1">
        <f>2240*0.0211763904034896</f>
        <v>47.435114503816699</v>
      </c>
      <c r="R76" s="3"/>
      <c r="S76" s="1"/>
      <c r="T76" s="1">
        <v>87.5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J76" s="1"/>
      <c r="AK76" s="1"/>
      <c r="AM76" s="1"/>
      <c r="AN76" s="1"/>
      <c r="AO76" s="1"/>
      <c r="AP76" s="1"/>
      <c r="AQ76" s="1"/>
      <c r="AR76" s="1"/>
      <c r="AS76" s="1"/>
      <c r="AT76" s="1"/>
      <c r="AU76" s="1"/>
      <c r="AV76" s="13"/>
      <c r="AW76" s="1"/>
      <c r="AX76" s="1">
        <v>49.99999999999995</v>
      </c>
      <c r="AY76" s="1"/>
      <c r="AZ76" s="1"/>
      <c r="BA76" s="1"/>
      <c r="BB76" s="1"/>
      <c r="BC76" s="1"/>
      <c r="BD76" s="1"/>
      <c r="BE76" s="1"/>
      <c r="BF76" s="1"/>
      <c r="BG76" s="3"/>
      <c r="BH76" s="1"/>
      <c r="BJ76" s="1">
        <f>20*3.99511002444988</f>
        <v>79.902200488997593</v>
      </c>
      <c r="BK76" s="1"/>
      <c r="BL76" s="1"/>
      <c r="BM76" s="3">
        <f>2240*0.05</f>
        <v>112</v>
      </c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3"/>
      <c r="BZ76" s="1"/>
      <c r="CA76" s="1"/>
      <c r="CB76" s="3"/>
      <c r="CC76" s="1"/>
      <c r="CD76" s="1"/>
      <c r="CE76" s="1"/>
      <c r="CF76" s="3"/>
      <c r="CG76" s="1"/>
      <c r="CH76" s="1"/>
      <c r="CI76" s="1"/>
      <c r="CK76" s="1">
        <v>51.999999999999993</v>
      </c>
      <c r="CL76" s="1">
        <v>47.4969696969697</v>
      </c>
      <c r="CM76" s="1"/>
      <c r="CN76" s="1">
        <f>20*2.86670812603648</f>
        <v>57.334162520729599</v>
      </c>
      <c r="CO76" s="1"/>
      <c r="CP76" s="1"/>
      <c r="CQ76" s="1"/>
      <c r="CR76" s="1"/>
      <c r="CS76" s="1"/>
      <c r="CT76" s="1"/>
      <c r="CU76" s="1"/>
      <c r="CV76" s="1"/>
      <c r="DA76" s="17">
        <v>61.363278171788807</v>
      </c>
    </row>
    <row r="77" spans="1:105" x14ac:dyDescent="0.25">
      <c r="A77" s="8">
        <f t="shared" si="6"/>
        <v>1910</v>
      </c>
      <c r="C77" s="1">
        <v>49.2</v>
      </c>
      <c r="D77" s="1">
        <v>49.397338019495002</v>
      </c>
      <c r="E77" s="1">
        <f>2240*0.0256471957246294</f>
        <v>57.449718423169855</v>
      </c>
      <c r="F77" s="1"/>
      <c r="G77" s="1">
        <f>2240*0.0295758928571429</f>
        <v>66.250000000000099</v>
      </c>
      <c r="H77" s="1">
        <f>2240*0.0187500682925763</f>
        <v>42.000152975370916</v>
      </c>
      <c r="I77" s="3"/>
      <c r="K77" s="1"/>
      <c r="L77" s="1"/>
      <c r="M77" s="1"/>
      <c r="N77" s="1">
        <v>45.794680361796715</v>
      </c>
      <c r="O77" s="1"/>
      <c r="P77" s="1"/>
      <c r="Q77" s="1">
        <f>2240*0.0243303571428571</f>
        <v>54.499999999999908</v>
      </c>
      <c r="R77" s="1"/>
      <c r="S77" s="3"/>
      <c r="T77" s="1">
        <v>74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>
        <v>49.734338317064129</v>
      </c>
      <c r="AJ77" s="1">
        <v>43.022820800598581</v>
      </c>
      <c r="AK77" s="1"/>
      <c r="AL77" s="1">
        <v>48.07692307692308</v>
      </c>
      <c r="AM77" s="1"/>
      <c r="AN77" s="1"/>
      <c r="AO77" s="1"/>
      <c r="AP77" s="1"/>
      <c r="AQ77" s="1"/>
      <c r="AR77" s="1"/>
      <c r="AS77" s="1"/>
      <c r="AT77" s="1"/>
      <c r="AU77" s="1">
        <v>34.465534465534468</v>
      </c>
      <c r="AV77" s="3"/>
      <c r="AW77" s="1"/>
      <c r="AX77" s="1">
        <v>94.999999999999915</v>
      </c>
      <c r="AY77" s="1"/>
      <c r="AZ77" s="1"/>
      <c r="BA77" s="1"/>
      <c r="BB77" s="1"/>
      <c r="BC77" s="1"/>
      <c r="BD77" s="1"/>
      <c r="BE77" s="1"/>
      <c r="BF77" s="1"/>
      <c r="BG77" s="3"/>
      <c r="BH77" s="1"/>
      <c r="BJ77" s="1">
        <f>20*3.66071428571429</f>
        <v>73.214285714285808</v>
      </c>
      <c r="BK77" s="1"/>
      <c r="BL77" s="1"/>
      <c r="BM77" s="1">
        <f>2240*0.05</f>
        <v>112</v>
      </c>
      <c r="BN77" s="1"/>
      <c r="BO77" s="3"/>
      <c r="BP77" s="1"/>
      <c r="BQ77" s="1"/>
      <c r="BR77" s="1"/>
      <c r="BS77" s="1"/>
      <c r="BT77" s="1"/>
      <c r="BU77" s="1"/>
      <c r="BV77" s="1"/>
      <c r="BW77" s="1"/>
      <c r="BX77" s="1"/>
      <c r="BY77" s="3"/>
      <c r="BZ77" s="1"/>
      <c r="CA77" s="1"/>
      <c r="CB77" s="1"/>
      <c r="CC77" s="1"/>
      <c r="CD77" s="1"/>
      <c r="CE77" s="1"/>
      <c r="CF77" s="3"/>
      <c r="CG77" s="1"/>
      <c r="CH77" s="1"/>
      <c r="CI77" s="3"/>
      <c r="CK77" s="1">
        <v>79.998063704133983</v>
      </c>
      <c r="CL77" s="1">
        <v>54.271617761620362</v>
      </c>
      <c r="CM77" s="1"/>
      <c r="CN77" s="1">
        <f>20*3.07809487080602</f>
        <v>61.561897416120395</v>
      </c>
      <c r="CO77" s="1"/>
      <c r="CP77" s="1"/>
      <c r="CQ77" s="1"/>
      <c r="CR77" s="1"/>
      <c r="CS77" s="1"/>
      <c r="CT77" s="1">
        <f>20*4.33802816901408</f>
        <v>86.760563380281596</v>
      </c>
      <c r="CU77" s="1"/>
      <c r="CV77" s="1"/>
      <c r="DA77" s="17">
        <v>62.837026370650563</v>
      </c>
    </row>
    <row r="78" spans="1:105" x14ac:dyDescent="0.25">
      <c r="A78" s="8">
        <f t="shared" si="6"/>
        <v>1911</v>
      </c>
      <c r="C78" s="1">
        <v>63.2</v>
      </c>
      <c r="D78" s="1">
        <v>59.308819697300493</v>
      </c>
      <c r="E78" s="1">
        <f>2240*0.0353132361272624</f>
        <v>79.101648925067778</v>
      </c>
      <c r="F78" s="1"/>
      <c r="G78" s="1">
        <f>2240*0.0390625</f>
        <v>87.5</v>
      </c>
      <c r="H78" s="3">
        <f>2240*0.0238095238095238</f>
        <v>53.333333333333314</v>
      </c>
      <c r="I78" s="3"/>
      <c r="J78" s="1">
        <f>2240*0.0324404761904762</f>
        <v>72.666666666666686</v>
      </c>
      <c r="K78" s="1"/>
      <c r="L78" s="1"/>
      <c r="M78" s="1"/>
      <c r="N78" s="1">
        <v>60.924552466889821</v>
      </c>
      <c r="O78" s="1"/>
      <c r="P78" s="1"/>
      <c r="Q78" s="1">
        <f>2240*0.0270126776485788</f>
        <v>60.508397932816514</v>
      </c>
      <c r="R78" s="3"/>
      <c r="S78" s="3"/>
      <c r="T78" s="1">
        <v>80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>
        <v>68.285912560721727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>
        <v>93.880327868852461</v>
      </c>
      <c r="AY78" s="1"/>
      <c r="AZ78" s="1"/>
      <c r="BA78" s="1"/>
      <c r="BB78" s="1"/>
      <c r="BC78" s="1"/>
      <c r="BD78" s="1"/>
      <c r="BE78" s="1"/>
      <c r="BF78" s="3"/>
      <c r="BG78" s="1"/>
      <c r="BH78" s="1"/>
      <c r="BJ78" s="1">
        <f>20*8.05</f>
        <v>161</v>
      </c>
      <c r="BK78" s="1"/>
      <c r="BL78" s="1"/>
      <c r="BM78" s="1">
        <f>2240*0.05</f>
        <v>112</v>
      </c>
      <c r="BN78" s="1"/>
      <c r="BO78" s="3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D78" s="1"/>
      <c r="CE78" s="1"/>
      <c r="CF78" s="1"/>
      <c r="CG78" s="1"/>
      <c r="CH78" s="1"/>
      <c r="CI78" s="3"/>
      <c r="CK78" s="1">
        <v>76.572465960665653</v>
      </c>
      <c r="CL78" s="1">
        <v>79.676985195154785</v>
      </c>
      <c r="CM78" s="1"/>
      <c r="CN78" s="1">
        <f>20*3.26018447348194</f>
        <v>65.203689469638803</v>
      </c>
      <c r="CO78" s="1"/>
      <c r="CP78" s="1"/>
      <c r="CQ78" s="1"/>
      <c r="CR78" s="1"/>
      <c r="CS78" s="1"/>
      <c r="CT78" s="1">
        <f>20*3.75</f>
        <v>75</v>
      </c>
      <c r="CU78" s="1"/>
      <c r="CV78" s="1"/>
      <c r="DA78" s="17">
        <v>65.215446154072197</v>
      </c>
    </row>
    <row r="79" spans="1:105" x14ac:dyDescent="0.25">
      <c r="A79" s="8">
        <f t="shared" si="6"/>
        <v>1912</v>
      </c>
      <c r="C79" s="1">
        <v>74.800000000000011</v>
      </c>
      <c r="D79" s="1">
        <v>74.341069929640426</v>
      </c>
      <c r="E79" s="1">
        <f>2240*0.0386423839595273</f>
        <v>86.558940069341148</v>
      </c>
      <c r="F79" s="1"/>
      <c r="G79" s="1"/>
      <c r="H79" s="3">
        <f>2240*0.0238095238095238</f>
        <v>53.333333333333314</v>
      </c>
      <c r="I79" s="3"/>
      <c r="J79" s="1">
        <f>2240*0.0357142857142857</f>
        <v>79.999999999999972</v>
      </c>
      <c r="K79" s="1"/>
      <c r="L79" s="1"/>
      <c r="M79" s="1"/>
      <c r="N79" s="1">
        <v>68.872711390635914</v>
      </c>
      <c r="O79" s="1"/>
      <c r="P79" s="1"/>
      <c r="Q79" s="1">
        <f>2240*0.0377869897959184</f>
        <v>84.642857142857224</v>
      </c>
      <c r="R79" s="3"/>
      <c r="S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>
        <v>93.830000000000013</v>
      </c>
      <c r="AY79" s="1"/>
      <c r="AZ79" s="1"/>
      <c r="BA79" s="1"/>
      <c r="BB79" s="1"/>
      <c r="BC79" s="1"/>
      <c r="BD79" s="1"/>
      <c r="BE79" s="3"/>
      <c r="BF79" s="15"/>
      <c r="BG79" s="1"/>
      <c r="BH79" s="1"/>
      <c r="BJ79" s="1">
        <f>20*6.34156378600823</f>
        <v>126.8312757201646</v>
      </c>
      <c r="BK79" s="1"/>
      <c r="BL79" s="1"/>
      <c r="BM79" s="1">
        <f>2240*0.0714285714285714</f>
        <v>159.99999999999994</v>
      </c>
      <c r="BN79" s="1"/>
      <c r="BO79" s="3"/>
      <c r="BP79" s="1">
        <f>2240*0.0600150037509377</f>
        <v>134.43360840210045</v>
      </c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K79" s="1">
        <v>83.554999999999993</v>
      </c>
      <c r="CL79" s="1">
        <v>78.543726235741445</v>
      </c>
      <c r="CM79" s="1"/>
      <c r="CN79" s="1"/>
      <c r="CO79" s="1"/>
      <c r="CP79" s="1"/>
      <c r="CQ79" s="1"/>
      <c r="CR79" s="1"/>
      <c r="CS79" s="1"/>
      <c r="CT79" s="1">
        <f>20*6.56</f>
        <v>131.19999999999999</v>
      </c>
      <c r="CU79" s="1"/>
      <c r="CV79" s="1"/>
      <c r="DA79" s="17">
        <v>74.450919800070508</v>
      </c>
    </row>
    <row r="80" spans="1:105" x14ac:dyDescent="0.25">
      <c r="A80" s="8">
        <f t="shared" si="6"/>
        <v>1913</v>
      </c>
      <c r="C80" s="1">
        <v>69</v>
      </c>
      <c r="D80" s="1">
        <v>71.604003792412072</v>
      </c>
      <c r="E80" s="1"/>
      <c r="F80" s="1"/>
      <c r="G80" s="1"/>
      <c r="H80" s="1">
        <f>2240*0.0238095238095238</f>
        <v>53.333333333333314</v>
      </c>
      <c r="I80" s="3"/>
      <c r="J80" s="1">
        <f>2240*0.03359375</f>
        <v>75.25</v>
      </c>
      <c r="K80" s="1"/>
      <c r="L80" s="1"/>
      <c r="M80" s="1"/>
      <c r="N80" s="1">
        <v>60.427646316453696</v>
      </c>
      <c r="O80" s="1"/>
      <c r="P80" s="1"/>
      <c r="Q80" s="1">
        <f>2240*0.0233928571428571</f>
        <v>52.399999999999906</v>
      </c>
      <c r="R80" s="3"/>
      <c r="S80" s="3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>
        <v>65.148750000000007</v>
      </c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K80" s="1">
        <v>69.334171644137058</v>
      </c>
      <c r="CL80" s="1">
        <v>80</v>
      </c>
      <c r="CM80" s="1"/>
      <c r="CN80" s="1"/>
      <c r="CO80" s="1"/>
      <c r="CP80" s="1"/>
      <c r="CQ80" s="1"/>
      <c r="CR80" s="1"/>
      <c r="CS80" s="1"/>
      <c r="CT80" s="1"/>
      <c r="CU80" s="1"/>
      <c r="CV80" s="1"/>
      <c r="DA80" s="17">
        <v>78.171459820659379</v>
      </c>
    </row>
    <row r="81" spans="1:105" x14ac:dyDescent="0.25">
      <c r="A81" s="8">
        <f t="shared" si="6"/>
        <v>1914</v>
      </c>
      <c r="C81" s="1">
        <v>68.400000000000006</v>
      </c>
      <c r="D81" s="1">
        <v>65.544573079248494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DA81" s="17">
        <v>78.830473258945744</v>
      </c>
    </row>
    <row r="82" spans="1:105" x14ac:dyDescent="0.25">
      <c r="A82" s="8">
        <f t="shared" si="6"/>
        <v>1915</v>
      </c>
      <c r="C82" s="1">
        <v>67.400000000000006</v>
      </c>
      <c r="D82" s="1">
        <v>62.718098350951912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DA82" s="17">
        <v>75.932353974255676</v>
      </c>
    </row>
    <row r="83" spans="1:105" x14ac:dyDescent="0.25">
      <c r="A83" s="8">
        <f t="shared" si="6"/>
        <v>1916</v>
      </c>
      <c r="C83" s="1">
        <v>58</v>
      </c>
      <c r="D83" s="1">
        <v>62.854779027751064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DA83" s="17">
        <v>74.47774287573931</v>
      </c>
    </row>
    <row r="84" spans="1:105" x14ac:dyDescent="0.25">
      <c r="A84" s="8">
        <f t="shared" si="6"/>
        <v>1917</v>
      </c>
      <c r="C84" s="1">
        <v>70</v>
      </c>
      <c r="D84" s="1">
        <v>70.262453322060168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DA84" s="17">
        <v>72.595682711123914</v>
      </c>
    </row>
    <row r="85" spans="1:105" x14ac:dyDescent="0.25">
      <c r="A85" s="8">
        <f t="shared" si="6"/>
        <v>1918</v>
      </c>
      <c r="C85" s="1">
        <v>89.2</v>
      </c>
      <c r="D85" s="1">
        <v>83.783837513667535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DA85" s="17">
        <v>67.716854346291925</v>
      </c>
    </row>
    <row r="86" spans="1:105" x14ac:dyDescent="0.25">
      <c r="A86" s="8">
        <f t="shared" si="6"/>
        <v>1919</v>
      </c>
      <c r="C86" s="1">
        <v>112.4</v>
      </c>
      <c r="D86" s="1">
        <v>124.17743444950273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DA86" s="17">
        <v>72.845806026434289</v>
      </c>
    </row>
    <row r="87" spans="1:105" x14ac:dyDescent="0.25">
      <c r="A87" s="8">
        <f t="shared" si="6"/>
        <v>1920</v>
      </c>
      <c r="C87" s="1">
        <v>120.8</v>
      </c>
      <c r="D87" s="1">
        <v>115.36719495201469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DA87" s="17">
        <v>125.76597532295523</v>
      </c>
    </row>
    <row r="88" spans="1:105" hidden="1" x14ac:dyDescent="0.25">
      <c r="A88" s="8">
        <f t="shared" si="6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DA88" s="1"/>
    </row>
    <row r="89" spans="1:105" hidden="1" x14ac:dyDescent="0.25">
      <c r="A89" s="8">
        <f t="shared" si="6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</row>
    <row r="90" spans="1:105" hidden="1" x14ac:dyDescent="0.25">
      <c r="A90" s="8">
        <f t="shared" si="6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</row>
    <row r="91" spans="1:105" hidden="1" x14ac:dyDescent="0.25">
      <c r="A91" s="8">
        <f t="shared" si="6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</row>
    <row r="92" spans="1:105" hidden="1" x14ac:dyDescent="0.25">
      <c r="A92" s="8">
        <f t="shared" si="6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</row>
    <row r="93" spans="1:105" hidden="1" x14ac:dyDescent="0.25">
      <c r="A93" s="8">
        <f t="shared" si="6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</row>
    <row r="94" spans="1:105" hidden="1" x14ac:dyDescent="0.25">
      <c r="A94" s="8">
        <f t="shared" si="6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</row>
    <row r="95" spans="1:105" hidden="1" x14ac:dyDescent="0.25">
      <c r="A95" s="8">
        <f t="shared" si="6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</row>
    <row r="96" spans="1:105" hidden="1" x14ac:dyDescent="0.25">
      <c r="A96" s="8">
        <f t="shared" si="6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</row>
    <row r="97" spans="1:100" hidden="1" x14ac:dyDescent="0.25">
      <c r="A97" s="8">
        <f t="shared" si="6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</row>
    <row r="98" spans="1:100" hidden="1" x14ac:dyDescent="0.25">
      <c r="A98" s="8">
        <f t="shared" si="6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</row>
    <row r="99" spans="1:100" hidden="1" x14ac:dyDescent="0.25">
      <c r="A99" s="8">
        <f t="shared" si="6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</row>
    <row r="100" spans="1:100" hidden="1" x14ac:dyDescent="0.25">
      <c r="A100" s="8">
        <f t="shared" si="6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</row>
    <row r="101" spans="1:100" hidden="1" x14ac:dyDescent="0.25">
      <c r="A101" s="8">
        <f t="shared" si="6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</row>
    <row r="102" spans="1:100" hidden="1" x14ac:dyDescent="0.25">
      <c r="A102" s="8">
        <f t="shared" si="6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</row>
    <row r="103" spans="1:100" hidden="1" x14ac:dyDescent="0.25">
      <c r="A103" s="8">
        <f t="shared" si="6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</row>
    <row r="104" spans="1:100" hidden="1" x14ac:dyDescent="0.25">
      <c r="A104" s="8">
        <f t="shared" ref="A104:A135" si="7">A103+1</f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</row>
    <row r="105" spans="1:100" hidden="1" x14ac:dyDescent="0.25">
      <c r="A105" s="8">
        <f t="shared" si="7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</row>
    <row r="106" spans="1:100" hidden="1" x14ac:dyDescent="0.25">
      <c r="A106" s="8">
        <f t="shared" si="7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</row>
    <row r="107" spans="1:100" hidden="1" x14ac:dyDescent="0.25">
      <c r="A107" s="8">
        <f t="shared" si="7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</row>
    <row r="108" spans="1:100" hidden="1" x14ac:dyDescent="0.25">
      <c r="A108" s="8">
        <f t="shared" si="7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</row>
    <row r="109" spans="1:100" hidden="1" x14ac:dyDescent="0.25">
      <c r="A109" s="8">
        <f t="shared" si="7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</row>
    <row r="110" spans="1:100" hidden="1" x14ac:dyDescent="0.25">
      <c r="A110" s="8">
        <f t="shared" si="7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</row>
    <row r="111" spans="1:100" hidden="1" x14ac:dyDescent="0.25">
      <c r="A111" s="8">
        <f t="shared" si="7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</row>
    <row r="112" spans="1:100" hidden="1" x14ac:dyDescent="0.25">
      <c r="A112" s="8">
        <f t="shared" si="7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</row>
    <row r="113" spans="1:100" hidden="1" x14ac:dyDescent="0.25">
      <c r="A113" s="8">
        <f t="shared" si="7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</row>
    <row r="114" spans="1:100" hidden="1" x14ac:dyDescent="0.25">
      <c r="A114" s="8">
        <f t="shared" si="7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</row>
    <row r="115" spans="1:100" hidden="1" x14ac:dyDescent="0.25">
      <c r="A115" s="8">
        <f t="shared" si="7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</row>
    <row r="116" spans="1:100" hidden="1" x14ac:dyDescent="0.25">
      <c r="A116" s="8">
        <f t="shared" si="7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</row>
    <row r="117" spans="1:100" hidden="1" x14ac:dyDescent="0.25">
      <c r="A117" s="8">
        <f t="shared" si="7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</row>
    <row r="118" spans="1:100" hidden="1" x14ac:dyDescent="0.25">
      <c r="A118" s="8">
        <f t="shared" si="7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</row>
    <row r="119" spans="1:100" hidden="1" x14ac:dyDescent="0.25">
      <c r="A119" s="8">
        <f t="shared" si="7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</row>
    <row r="120" spans="1:100" hidden="1" x14ac:dyDescent="0.25">
      <c r="A120" s="8">
        <f t="shared" si="7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</row>
    <row r="121" spans="1:100" hidden="1" x14ac:dyDescent="0.25">
      <c r="A121" s="8">
        <f t="shared" si="7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</row>
    <row r="122" spans="1:100" hidden="1" x14ac:dyDescent="0.25">
      <c r="A122" s="8">
        <f t="shared" si="7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</row>
    <row r="123" spans="1:100" hidden="1" x14ac:dyDescent="0.25">
      <c r="A123" s="8">
        <f t="shared" si="7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</row>
    <row r="124" spans="1:100" hidden="1" x14ac:dyDescent="0.25">
      <c r="A124" s="8">
        <f t="shared" si="7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</row>
    <row r="125" spans="1:100" hidden="1" x14ac:dyDescent="0.25">
      <c r="A125" s="8">
        <f t="shared" si="7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</row>
    <row r="126" spans="1:100" hidden="1" x14ac:dyDescent="0.25">
      <c r="A126" s="8">
        <f t="shared" si="7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</row>
    <row r="127" spans="1:100" hidden="1" x14ac:dyDescent="0.25">
      <c r="A127" s="8">
        <f t="shared" si="7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</row>
    <row r="128" spans="1:100" hidden="1" x14ac:dyDescent="0.25">
      <c r="A128" s="8">
        <f t="shared" si="7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</row>
    <row r="129" spans="1:100" hidden="1" x14ac:dyDescent="0.25">
      <c r="A129" s="8">
        <f t="shared" si="7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</row>
    <row r="130" spans="1:100" hidden="1" x14ac:dyDescent="0.25">
      <c r="A130" s="8">
        <f t="shared" si="7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0" hidden="1" x14ac:dyDescent="0.25">
      <c r="A131" s="8">
        <f t="shared" si="7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0" hidden="1" x14ac:dyDescent="0.25">
      <c r="A132" s="8">
        <f t="shared" si="7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0" hidden="1" x14ac:dyDescent="0.25">
      <c r="A133" s="8">
        <f t="shared" si="7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0" hidden="1" x14ac:dyDescent="0.25">
      <c r="A134" s="8">
        <f t="shared" si="7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0" hidden="1" x14ac:dyDescent="0.25">
      <c r="A135" s="8">
        <f t="shared" si="7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0" hidden="1" x14ac:dyDescent="0.25">
      <c r="A136" s="8">
        <f t="shared" ref="A136:A145" si="8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0" hidden="1" x14ac:dyDescent="0.25">
      <c r="A137" s="8">
        <f t="shared" si="8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0" hidden="1" x14ac:dyDescent="0.25">
      <c r="A138" s="8">
        <f t="shared" si="8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0" hidden="1" x14ac:dyDescent="0.25">
      <c r="A139" s="8">
        <f t="shared" si="8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0" hidden="1" x14ac:dyDescent="0.25">
      <c r="A140" s="8">
        <f t="shared" si="8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0" hidden="1" x14ac:dyDescent="0.25">
      <c r="A141" s="8">
        <f t="shared" si="8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0" hidden="1" x14ac:dyDescent="0.25">
      <c r="A142" s="8">
        <f t="shared" si="8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0" hidden="1" x14ac:dyDescent="0.25">
      <c r="A143" s="8">
        <f t="shared" si="8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0" hidden="1" x14ac:dyDescent="0.25">
      <c r="A144" s="8">
        <f t="shared" si="8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idden="1" x14ac:dyDescent="0.25">
      <c r="A145" s="8">
        <f t="shared" si="8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ht="12.6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</row>
    <row r="151" spans="1:100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</row>
    <row r="152" spans="1:100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</row>
    <row r="153" spans="1:100" x14ac:dyDescent="0.25">
      <c r="C153" s="1"/>
      <c r="D153" s="1"/>
      <c r="E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</row>
    <row r="154" spans="1:100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</row>
    <row r="155" spans="1:100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</row>
    <row r="156" spans="1:100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</row>
    <row r="157" spans="1:100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</row>
    <row r="158" spans="1:100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</row>
    <row r="159" spans="1:100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</row>
    <row r="160" spans="1:100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</row>
    <row r="161" spans="3:100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</row>
    <row r="162" spans="3:100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</row>
    <row r="163" spans="3:100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3:100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3:100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</row>
    <row r="166" spans="3:100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</row>
    <row r="167" spans="3:100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</row>
    <row r="168" spans="3:100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</row>
    <row r="169" spans="3:100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</row>
    <row r="170" spans="3:100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</row>
    <row r="171" spans="3:100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</row>
    <row r="172" spans="3:100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</row>
    <row r="173" spans="3:100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</row>
    <row r="174" spans="3:100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</row>
    <row r="175" spans="3:100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</row>
    <row r="176" spans="3:100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</row>
    <row r="177" spans="3:100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</row>
    <row r="178" spans="3:100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</row>
    <row r="179" spans="3:100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</row>
    <row r="180" spans="3:100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</row>
    <row r="181" spans="3:100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</row>
    <row r="182" spans="3:100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</row>
    <row r="183" spans="3:100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</row>
    <row r="184" spans="3:100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</row>
    <row r="185" spans="3:100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</row>
    <row r="186" spans="3:100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</row>
    <row r="187" spans="3:100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</row>
    <row r="188" spans="3:100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</row>
    <row r="189" spans="3:100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</row>
    <row r="190" spans="3:100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</row>
    <row r="191" spans="3:100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</row>
    <row r="192" spans="3:100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</row>
    <row r="193" spans="3:100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</row>
    <row r="194" spans="3:100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</row>
    <row r="195" spans="3:100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</row>
    <row r="196" spans="3:100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</row>
    <row r="197" spans="3:100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</row>
    <row r="198" spans="3:100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</row>
    <row r="199" spans="3:100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</row>
    <row r="200" spans="3:100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</row>
    <row r="201" spans="3:100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</row>
    <row r="202" spans="3:100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</row>
    <row r="203" spans="3:100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</row>
    <row r="204" spans="3:100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</row>
    <row r="205" spans="3:100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</row>
    <row r="206" spans="3:100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</row>
    <row r="207" spans="3:100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</row>
    <row r="208" spans="3:100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</row>
    <row r="209" spans="3:100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</row>
    <row r="210" spans="3:100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</row>
    <row r="211" spans="3:100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</row>
    <row r="212" spans="3:100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</row>
    <row r="213" spans="3:100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</row>
    <row r="214" spans="3:100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</row>
    <row r="215" spans="3:100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</row>
    <row r="216" spans="3:100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</row>
    <row r="217" spans="3:100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</row>
    <row r="218" spans="3:100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</row>
    <row r="219" spans="3:100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</row>
    <row r="220" spans="3:100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</row>
    <row r="221" spans="3:100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</row>
    <row r="222" spans="3:100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</row>
    <row r="223" spans="3:100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</row>
    <row r="224" spans="3:100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</row>
    <row r="225" spans="3:100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</row>
    <row r="226" spans="3:100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</row>
    <row r="227" spans="3:100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</row>
    <row r="228" spans="3:100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</row>
    <row r="229" spans="3:100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</row>
    <row r="230" spans="3:100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</row>
    <row r="231" spans="3:100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</row>
    <row r="232" spans="3:100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</row>
    <row r="233" spans="3:100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</row>
    <row r="234" spans="3:10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</row>
    <row r="235" spans="3:10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</row>
    <row r="236" spans="3:10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</row>
    <row r="237" spans="3:10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</row>
    <row r="238" spans="3:100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</row>
    <row r="239" spans="3:100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</row>
    <row r="240" spans="3:100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</row>
    <row r="241" spans="3:100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</row>
    <row r="242" spans="3:100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</row>
    <row r="243" spans="3:100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</row>
    <row r="244" spans="3:100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</row>
    <row r="245" spans="3:100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</row>
    <row r="246" spans="3:100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</row>
    <row r="247" spans="3:100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</row>
    <row r="248" spans="3:100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</row>
    <row r="249" spans="3:100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</row>
    <row r="250" spans="3:100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</row>
    <row r="251" spans="3:100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</row>
    <row r="252" spans="3:100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</row>
    <row r="253" spans="3:100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</row>
    <row r="254" spans="3:100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</row>
    <row r="255" spans="3:100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</row>
  </sheetData>
  <sortState ref="AX21:AY30">
    <sortCondition ref="AX154:AX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="40" zoomScaleNormal="40" zoomScaleSheetLayoutView="30" workbookViewId="0">
      <selection activeCell="AE18" sqref="AE18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topLeftCell="A7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55"/>
  <sheetViews>
    <sheetView zoomScale="60" zoomScaleNormal="60" workbookViewId="0">
      <pane xSplit="2" ySplit="5" topLeftCell="C43" activePane="bottomRight" state="frozen"/>
      <selection activeCell="CE20" sqref="CE20"/>
      <selection pane="topRight" activeCell="CE20" sqref="CE20"/>
      <selection pane="bottomLeft" activeCell="CE20" sqref="CE20"/>
      <selection pane="bottomRight" activeCell="AJ74" sqref="AJ74"/>
    </sheetView>
  </sheetViews>
  <sheetFormatPr defaultRowHeight="13.2" x14ac:dyDescent="0.25"/>
  <cols>
    <col min="2" max="2" width="12.33203125" bestFit="1" customWidth="1"/>
    <col min="3" max="3" width="12" customWidth="1"/>
    <col min="4" max="4" width="17.109375" customWidth="1"/>
    <col min="5" max="6" width="12" customWidth="1"/>
    <col min="7" max="7" width="12" hidden="1" customWidth="1"/>
    <col min="8" max="8" width="12" customWidth="1"/>
    <col min="9" max="9" width="12" hidden="1" customWidth="1"/>
    <col min="10" max="12" width="12" customWidth="1"/>
    <col min="13" max="13" width="11.33203125" hidden="1" customWidth="1"/>
    <col min="14" max="15" width="12" customWidth="1"/>
    <col min="16" max="16" width="15" customWidth="1"/>
    <col min="17" max="17" width="12" customWidth="1"/>
    <col min="18" max="18" width="13.44140625" customWidth="1"/>
    <col min="19" max="26" width="12" customWidth="1"/>
    <col min="27" max="27" width="12.88671875" customWidth="1"/>
    <col min="28" max="29" width="12" customWidth="1"/>
    <col min="30" max="30" width="13.5546875" customWidth="1"/>
    <col min="31" max="31" width="10.5546875" bestFit="1" customWidth="1"/>
  </cols>
  <sheetData>
    <row r="1" spans="1:31" s="13" customFormat="1" x14ac:dyDescent="0.25"/>
    <row r="2" spans="1:31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25</v>
      </c>
      <c r="K2" s="7" t="s">
        <v>41</v>
      </c>
      <c r="L2" s="7" t="s">
        <v>26</v>
      </c>
      <c r="M2" s="7" t="s">
        <v>26</v>
      </c>
      <c r="N2" s="7" t="s">
        <v>2</v>
      </c>
      <c r="O2" s="7" t="s">
        <v>4</v>
      </c>
      <c r="P2" s="7" t="s">
        <v>51</v>
      </c>
      <c r="Q2" s="7" t="s">
        <v>11</v>
      </c>
      <c r="R2" s="7" t="s">
        <v>28</v>
      </c>
      <c r="S2" s="7" t="s">
        <v>3</v>
      </c>
      <c r="T2" s="7" t="s">
        <v>9</v>
      </c>
      <c r="U2" s="7" t="s">
        <v>16</v>
      </c>
      <c r="V2" s="7" t="s">
        <v>17</v>
      </c>
      <c r="W2" s="7" t="s">
        <v>6</v>
      </c>
      <c r="X2" s="7" t="s">
        <v>5</v>
      </c>
      <c r="Y2" s="7" t="s">
        <v>5</v>
      </c>
      <c r="Z2" s="7" t="s">
        <v>27</v>
      </c>
      <c r="AA2" s="7" t="s">
        <v>13</v>
      </c>
      <c r="AB2" s="7" t="s">
        <v>14</v>
      </c>
      <c r="AC2" s="7" t="s">
        <v>14</v>
      </c>
      <c r="AD2" s="7" t="s">
        <v>36</v>
      </c>
      <c r="AE2" s="7" t="s">
        <v>53</v>
      </c>
    </row>
    <row r="3" spans="1:31" x14ac:dyDescent="0.25">
      <c r="B3" s="5" t="s">
        <v>31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</row>
    <row r="4" spans="1:31" s="2" customFormat="1" ht="27" customHeight="1" x14ac:dyDescent="0.25">
      <c r="B4" s="5" t="s">
        <v>30</v>
      </c>
      <c r="C4" s="5" t="s">
        <v>8</v>
      </c>
      <c r="D4" s="5" t="s">
        <v>50</v>
      </c>
      <c r="E4" s="5" t="s">
        <v>8</v>
      </c>
      <c r="F4" s="7" t="s">
        <v>7</v>
      </c>
      <c r="G4" s="5" t="s">
        <v>10</v>
      </c>
      <c r="H4" s="5" t="s">
        <v>8</v>
      </c>
      <c r="I4" s="5" t="s">
        <v>10</v>
      </c>
      <c r="J4" s="5" t="s">
        <v>8</v>
      </c>
      <c r="K4" s="5" t="s">
        <v>8</v>
      </c>
      <c r="L4" s="5" t="s">
        <v>8</v>
      </c>
      <c r="M4" s="5" t="s">
        <v>10</v>
      </c>
      <c r="N4" s="5" t="s">
        <v>8</v>
      </c>
      <c r="O4" s="5" t="s">
        <v>8</v>
      </c>
      <c r="P4" s="5" t="s">
        <v>8</v>
      </c>
      <c r="Q4" s="5" t="s">
        <v>7</v>
      </c>
      <c r="R4" s="5" t="s">
        <v>8</v>
      </c>
      <c r="S4" s="5"/>
      <c r="T4" s="5" t="s">
        <v>8</v>
      </c>
      <c r="U4" s="5" t="s">
        <v>8</v>
      </c>
      <c r="V4" s="5" t="s">
        <v>8</v>
      </c>
      <c r="W4" s="5" t="s">
        <v>8</v>
      </c>
      <c r="X4" s="5" t="s">
        <v>8</v>
      </c>
      <c r="Y4" s="5" t="s">
        <v>7</v>
      </c>
      <c r="Z4" s="5" t="s">
        <v>8</v>
      </c>
      <c r="AA4" s="5" t="s">
        <v>8</v>
      </c>
      <c r="AB4" s="5" t="s">
        <v>8</v>
      </c>
      <c r="AC4" s="5" t="s">
        <v>7</v>
      </c>
      <c r="AD4" s="5" t="s">
        <v>8</v>
      </c>
      <c r="AE4" s="5" t="s">
        <v>7</v>
      </c>
    </row>
    <row r="5" spans="1:31" s="9" customFormat="1" x14ac:dyDescent="0.25">
      <c r="A5" s="4" t="s">
        <v>33</v>
      </c>
      <c r="B5" s="4" t="s">
        <v>32</v>
      </c>
      <c r="C5" s="6" t="s">
        <v>47</v>
      </c>
      <c r="D5" s="6" t="s">
        <v>47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  <c r="L5" s="6" t="s">
        <v>47</v>
      </c>
      <c r="M5" s="6" t="s">
        <v>47</v>
      </c>
      <c r="N5" s="6" t="s">
        <v>47</v>
      </c>
      <c r="O5" s="6" t="s">
        <v>47</v>
      </c>
      <c r="P5" s="6" t="s">
        <v>47</v>
      </c>
      <c r="Q5" s="6" t="s">
        <v>47</v>
      </c>
      <c r="R5" s="6" t="s">
        <v>47</v>
      </c>
      <c r="S5" s="6" t="s">
        <v>47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</row>
    <row r="6" spans="1:31" s="2" customFormat="1" ht="54.6" hidden="1" customHeight="1" x14ac:dyDescent="0.25">
      <c r="A6" s="4" t="s">
        <v>33</v>
      </c>
      <c r="B6" s="5" t="s">
        <v>29</v>
      </c>
      <c r="C6" s="7" t="str">
        <f t="shared" ref="C6:V6" si="0">CONCATENATE(C2,", ",C4,", ","in ",C5)</f>
        <v>UK, Imports, in pound/ton</v>
      </c>
      <c r="D6" s="7" t="str">
        <f t="shared" si="0"/>
        <v>UK, Foreign and Colonial Exports, in pound/ton</v>
      </c>
      <c r="E6" s="7" t="str">
        <f t="shared" si="0"/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Bazaar (Local), in pound/ton</v>
      </c>
      <c r="J6" s="7" t="str">
        <f t="shared" si="0"/>
        <v>Mosul, Imports, in pound/ton</v>
      </c>
      <c r="K6" s="7" t="str">
        <f t="shared" si="0"/>
        <v>Egypt, Imports, in pound/ton</v>
      </c>
      <c r="L6" s="7" t="str">
        <f t="shared" si="0"/>
        <v>Palestine, Imports, in pound/ton</v>
      </c>
      <c r="M6" s="7" t="str">
        <f t="shared" si="0"/>
        <v>Palestine, Bazaar (Local), in pound/ton</v>
      </c>
      <c r="N6" s="7" t="str">
        <f t="shared" si="0"/>
        <v>Damascus, Imports, in pound/ton</v>
      </c>
      <c r="O6" s="7" t="str">
        <f t="shared" si="0"/>
        <v>Beirut, Imports, in pound/ton</v>
      </c>
      <c r="P6" s="7" t="str">
        <f t="shared" si="0"/>
        <v>Turkey &amp; Constantinople, Imports, in pound/ton</v>
      </c>
      <c r="Q6" s="7" t="str">
        <f t="shared" si="0"/>
        <v>Turkey, Exports, in pound/ton</v>
      </c>
      <c r="R6" s="7" t="str">
        <f t="shared" si="0"/>
        <v>Trebizond (Anatolia), Imports, in pound/ton</v>
      </c>
      <c r="S6" s="7" t="str">
        <f t="shared" si="0"/>
        <v>Izmir, , in pound/ton</v>
      </c>
      <c r="T6" s="7" t="str">
        <f t="shared" si="0"/>
        <v>Alexandretta, Imports, in pound/ton</v>
      </c>
      <c r="U6" s="7" t="str">
        <f t="shared" si="0"/>
        <v>Kermanshah, Imports, in pound/ton</v>
      </c>
      <c r="V6" s="7" t="str">
        <f t="shared" si="0"/>
        <v>Kerman, Imports, in pound/ton</v>
      </c>
      <c r="W6" s="7" t="str">
        <f t="shared" ref="W6:AE6" si="1">CONCATENATE(W2,", ",W4,", ","in ",W5)</f>
        <v>Bam, Imports, in pound/ton</v>
      </c>
      <c r="X6" s="7" t="str">
        <f t="shared" si="1"/>
        <v>Bahrain, Imports, in pound/ton</v>
      </c>
      <c r="Y6" s="7" t="str">
        <f t="shared" si="1"/>
        <v>Bahrain, Exports, in pound/ton</v>
      </c>
      <c r="Z6" s="7" t="str">
        <f t="shared" si="1"/>
        <v>Muscat, Imports, in pound/ton</v>
      </c>
      <c r="AA6" s="7" t="str">
        <f t="shared" si="1"/>
        <v>Mohammerah, Imports, in pound/ton</v>
      </c>
      <c r="AB6" s="7" t="str">
        <f t="shared" si="1"/>
        <v>Lingah, Imports, in pound/ton</v>
      </c>
      <c r="AC6" s="7" t="str">
        <f t="shared" si="1"/>
        <v>Lingah, Exports, in pound/ton</v>
      </c>
      <c r="AD6" s="7" t="str">
        <f t="shared" si="1"/>
        <v>Shiraz, Imports, in pound/ton</v>
      </c>
      <c r="AE6" s="7" t="str">
        <f t="shared" si="1"/>
        <v>India, Exports, in pound/ton</v>
      </c>
    </row>
    <row r="7" spans="1:31" hidden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1" hidden="1" x14ac:dyDescent="0.25">
      <c r="A8" s="8">
        <f t="shared" ref="A8:A71" si="2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31" hidden="1" x14ac:dyDescent="0.25">
      <c r="A9" s="8">
        <f t="shared" si="2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31" hidden="1" x14ac:dyDescent="0.25">
      <c r="A10" s="8">
        <f t="shared" si="2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1" hidden="1" x14ac:dyDescent="0.25">
      <c r="A11" s="8">
        <f t="shared" si="2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1" hidden="1" x14ac:dyDescent="0.25">
      <c r="A12" s="8">
        <f t="shared" si="2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31" hidden="1" x14ac:dyDescent="0.25">
      <c r="A13" s="8">
        <f t="shared" si="2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1" hidden="1" x14ac:dyDescent="0.25">
      <c r="A14" s="8">
        <f t="shared" si="2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1" hidden="1" x14ac:dyDescent="0.25">
      <c r="A15" s="8">
        <f t="shared" si="2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1" hidden="1" x14ac:dyDescent="0.25">
      <c r="A16" s="8">
        <f t="shared" si="2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8">
        <f t="shared" si="2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8">
        <f t="shared" si="2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8">
        <f t="shared" si="2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8">
        <f t="shared" si="2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8">
        <f t="shared" si="2"/>
        <v>1854</v>
      </c>
      <c r="C21" s="1">
        <v>53.058577519236813</v>
      </c>
      <c r="D21" s="1">
        <v>52.516260566372509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4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8">
        <f t="shared" si="2"/>
        <v>1855</v>
      </c>
      <c r="C22" s="1">
        <v>59.149915037084924</v>
      </c>
      <c r="D22" s="1">
        <v>58.025104732833945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4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8">
        <f t="shared" si="2"/>
        <v>1856</v>
      </c>
      <c r="C23" s="1">
        <v>58.881160334527678</v>
      </c>
      <c r="D23" s="1">
        <v>57.796774215519015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4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8">
        <f t="shared" si="2"/>
        <v>1857</v>
      </c>
      <c r="C24" s="1">
        <v>65.438329344781906</v>
      </c>
      <c r="D24" s="1">
        <v>66.265081218624687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4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8">
        <f t="shared" si="2"/>
        <v>1858</v>
      </c>
      <c r="C25" s="1">
        <v>64.296875320494266</v>
      </c>
      <c r="D25" s="1">
        <v>61.15130901182053</v>
      </c>
      <c r="E25" s="1"/>
      <c r="F25" s="1"/>
      <c r="G25" s="1"/>
      <c r="H25" s="1"/>
      <c r="I25" s="1"/>
      <c r="J25" s="1"/>
      <c r="K25" s="1"/>
      <c r="M25" s="1">
        <f>2240*0.0269995779425976</f>
        <v>60.479054591418624</v>
      </c>
      <c r="N25" s="1"/>
      <c r="O25" s="1"/>
      <c r="P25" s="1"/>
      <c r="Q25" s="1"/>
      <c r="R25" s="1"/>
      <c r="S25" s="1"/>
      <c r="T25" s="14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8">
        <f t="shared" si="2"/>
        <v>1859</v>
      </c>
      <c r="C26" s="1">
        <v>67.028660798129792</v>
      </c>
      <c r="D26" s="1">
        <v>66.428757278682724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4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8">
        <f t="shared" si="2"/>
        <v>1860</v>
      </c>
      <c r="C27" s="1">
        <v>68.831253179227573</v>
      </c>
      <c r="D27" s="1">
        <v>70.645904034732084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4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8">
        <f t="shared" si="2"/>
        <v>1861</v>
      </c>
      <c r="C28" s="1">
        <v>70.493010434069078</v>
      </c>
      <c r="D28" s="1">
        <v>69.940965631357798</v>
      </c>
      <c r="E28" s="1"/>
      <c r="F28" s="1"/>
      <c r="G28" s="1"/>
      <c r="H28" s="1"/>
      <c r="I28" s="1">
        <f>2240*0.0287946428571429</f>
        <v>64.500000000000099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4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8">
        <f t="shared" si="2"/>
        <v>1862</v>
      </c>
      <c r="C29" s="1">
        <v>78.683919681775961</v>
      </c>
      <c r="D29" s="1">
        <v>77.464470456238615</v>
      </c>
      <c r="E29" s="1"/>
      <c r="F29" s="1"/>
      <c r="G29" s="1"/>
      <c r="H29" s="1"/>
      <c r="I29" s="1">
        <f>2240*0.0360119047619047</f>
        <v>80.666666666666529</v>
      </c>
      <c r="J29" s="1"/>
      <c r="K29" s="1"/>
      <c r="L29" s="1"/>
      <c r="M29" s="3"/>
      <c r="N29" s="1"/>
      <c r="O29" s="1"/>
      <c r="P29" s="1"/>
      <c r="Q29" s="1"/>
      <c r="R29" s="1"/>
      <c r="S29" s="1"/>
      <c r="T29" s="14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8">
        <f t="shared" si="2"/>
        <v>1863</v>
      </c>
      <c r="C30" s="1">
        <v>79.314873173087378</v>
      </c>
      <c r="D30" s="1">
        <v>79.410431566427761</v>
      </c>
      <c r="E30" s="1"/>
      <c r="F30" s="1"/>
      <c r="G30" s="1"/>
      <c r="H30" s="1"/>
      <c r="I30" s="1">
        <f>2240*0.0379464285714286</f>
        <v>85.000000000000071</v>
      </c>
      <c r="J30" s="1"/>
      <c r="K30" s="1"/>
      <c r="L30" s="1"/>
      <c r="M30" s="3"/>
      <c r="N30" s="1"/>
      <c r="O30" s="1"/>
      <c r="P30" s="1"/>
      <c r="Q30" s="1"/>
      <c r="R30" s="1"/>
      <c r="S30" s="1"/>
      <c r="T30" s="14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8">
        <f t="shared" si="2"/>
        <v>1864</v>
      </c>
      <c r="C31" s="1">
        <v>73.921682171917126</v>
      </c>
      <c r="D31" s="1">
        <v>73.163651884920043</v>
      </c>
      <c r="E31" s="1"/>
      <c r="F31" s="1"/>
      <c r="G31" s="1"/>
      <c r="H31" s="1"/>
      <c r="I31" s="1">
        <f>2240*0.0325148809523809</f>
        <v>72.833333333333215</v>
      </c>
      <c r="J31" s="1"/>
      <c r="K31" s="1"/>
      <c r="L31" s="1"/>
      <c r="M31" s="3"/>
      <c r="N31" s="1"/>
      <c r="O31" s="1"/>
      <c r="P31" s="1"/>
      <c r="Q31" s="1"/>
      <c r="R31" s="1"/>
      <c r="S31" s="1">
        <v>78</v>
      </c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8">
        <f t="shared" si="2"/>
        <v>1865</v>
      </c>
      <c r="C32" s="1">
        <v>74.599999999999994</v>
      </c>
      <c r="D32" s="1">
        <v>72.873967143704533</v>
      </c>
      <c r="E32" s="1"/>
      <c r="F32" s="1"/>
      <c r="G32" s="1"/>
      <c r="H32" s="1"/>
      <c r="I32" s="1">
        <f>2240*0.033110119047619</f>
        <v>74.166666666666558</v>
      </c>
      <c r="J32" s="1"/>
      <c r="K32" s="1"/>
      <c r="L32" s="1"/>
      <c r="M32" s="3"/>
      <c r="N32" s="1"/>
      <c r="O32" s="1"/>
      <c r="P32" s="1"/>
      <c r="Q32" s="1"/>
      <c r="R32" s="1">
        <v>93.333333333333343</v>
      </c>
      <c r="S32" s="1">
        <v>85</v>
      </c>
      <c r="U32" s="1"/>
      <c r="V32" s="1"/>
      <c r="W32" s="1"/>
      <c r="X32" s="1"/>
      <c r="Y32" s="1"/>
      <c r="Z32" s="1"/>
      <c r="AA32" s="1"/>
      <c r="AB32" s="1"/>
      <c r="AC32" s="1"/>
    </row>
    <row r="33" spans="1:31" x14ac:dyDescent="0.25">
      <c r="A33" s="8">
        <f t="shared" si="2"/>
        <v>1866</v>
      </c>
      <c r="C33" s="1">
        <v>72.2</v>
      </c>
      <c r="D33" s="1">
        <v>72.377079709742219</v>
      </c>
      <c r="E33" s="1"/>
      <c r="F33" s="1"/>
      <c r="G33" s="1"/>
      <c r="H33" s="1"/>
      <c r="I33" s="1"/>
      <c r="J33" s="1"/>
      <c r="K33" s="16"/>
      <c r="L33" s="1"/>
      <c r="M33" s="1"/>
      <c r="N33" s="1"/>
      <c r="O33" s="1"/>
      <c r="P33" s="1"/>
      <c r="Q33" s="1"/>
      <c r="R33" s="1">
        <v>93.333333333333343</v>
      </c>
      <c r="S33" s="1">
        <v>80</v>
      </c>
      <c r="U33" s="1"/>
      <c r="V33" s="1"/>
      <c r="W33" s="1"/>
      <c r="X33" s="1"/>
      <c r="Y33" s="1"/>
      <c r="Z33" s="1"/>
      <c r="AA33" s="1"/>
      <c r="AB33" s="1"/>
      <c r="AC33" s="1"/>
    </row>
    <row r="34" spans="1:31" x14ac:dyDescent="0.25">
      <c r="A34" s="8">
        <f t="shared" si="2"/>
        <v>1867</v>
      </c>
      <c r="C34" s="1">
        <v>71</v>
      </c>
      <c r="D34" s="1">
        <v>69.667084389115345</v>
      </c>
      <c r="E34" s="1">
        <f>2240*0.0246575446579092</f>
        <v>55.232900033716604</v>
      </c>
      <c r="F34" s="1"/>
      <c r="G34" s="1"/>
      <c r="H34" s="1"/>
      <c r="I34" s="1"/>
      <c r="J34" s="1"/>
      <c r="K34" s="16"/>
      <c r="L34" s="1"/>
      <c r="M34" s="1"/>
      <c r="N34" s="1"/>
      <c r="O34" s="1"/>
      <c r="P34" s="1"/>
      <c r="Q34" s="1"/>
      <c r="R34" s="1">
        <v>93.333333333333343</v>
      </c>
      <c r="S34" s="1"/>
      <c r="U34" s="1"/>
      <c r="V34" s="1"/>
      <c r="W34" s="1"/>
      <c r="X34" s="1"/>
      <c r="Y34" s="1"/>
      <c r="Z34" s="1"/>
      <c r="AA34" s="1"/>
      <c r="AB34" s="1"/>
      <c r="AC34" s="1"/>
    </row>
    <row r="35" spans="1:31" x14ac:dyDescent="0.25">
      <c r="A35" s="8">
        <f t="shared" si="2"/>
        <v>1868</v>
      </c>
      <c r="C35" s="1">
        <v>62.599999999999994</v>
      </c>
      <c r="D35" s="1">
        <v>62.032026229964941</v>
      </c>
      <c r="E35" s="1">
        <f>2240*0.0241106728026936</f>
        <v>54.007907078033661</v>
      </c>
      <c r="F35" s="1"/>
      <c r="G35" s="1"/>
      <c r="H35" s="1"/>
      <c r="I35" s="1"/>
      <c r="J35" s="1"/>
      <c r="K35" s="16"/>
      <c r="L35" s="1"/>
      <c r="M35" s="1"/>
      <c r="N35" s="1"/>
      <c r="O35" s="1"/>
      <c r="P35" s="1"/>
      <c r="Q35" s="1"/>
      <c r="R35" s="1">
        <v>93.333333333333343</v>
      </c>
      <c r="S35" s="1">
        <v>70</v>
      </c>
      <c r="U35" s="1"/>
      <c r="V35" s="1"/>
      <c r="W35" s="1"/>
      <c r="X35" s="1"/>
      <c r="Y35" s="1"/>
      <c r="Z35" s="1"/>
      <c r="AA35" s="1"/>
      <c r="AB35" s="1"/>
      <c r="AC35" s="1"/>
      <c r="AE35" s="17">
        <v>51.384595656223425</v>
      </c>
    </row>
    <row r="36" spans="1:31" x14ac:dyDescent="0.25">
      <c r="A36" s="8">
        <f t="shared" si="2"/>
        <v>1869</v>
      </c>
      <c r="C36" s="1">
        <v>63.6</v>
      </c>
      <c r="D36" s="1">
        <v>63.660047892887732</v>
      </c>
      <c r="E36" s="1">
        <f>2240*0.024605261340936</f>
        <v>55.115785403696641</v>
      </c>
      <c r="F36" s="1"/>
      <c r="G36" s="1"/>
      <c r="H36" s="1"/>
      <c r="I36" s="1">
        <f>2240*0.0287878787878788</f>
        <v>64.484848484848513</v>
      </c>
      <c r="J36" s="1"/>
      <c r="K36" s="1"/>
      <c r="L36" s="1"/>
      <c r="M36" s="1"/>
      <c r="N36" s="1"/>
      <c r="O36" s="1"/>
      <c r="P36" s="1"/>
      <c r="Q36" s="1"/>
      <c r="R36" s="1">
        <v>93.333333333333343</v>
      </c>
      <c r="S36" s="1">
        <v>72</v>
      </c>
      <c r="U36" s="1"/>
      <c r="V36" s="1"/>
      <c r="W36" s="1"/>
      <c r="X36" s="1"/>
      <c r="Y36" s="1"/>
      <c r="Z36" s="1"/>
      <c r="AA36" s="1"/>
      <c r="AB36" s="1"/>
      <c r="AC36" s="1"/>
      <c r="AE36" s="17">
        <v>52.546117159028327</v>
      </c>
    </row>
    <row r="37" spans="1:31" x14ac:dyDescent="0.25">
      <c r="A37" s="8">
        <f t="shared" si="2"/>
        <v>1870</v>
      </c>
      <c r="C37" s="1">
        <v>61.6</v>
      </c>
      <c r="D37" s="1">
        <v>60.883602838875923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80</v>
      </c>
      <c r="S37" s="1"/>
      <c r="U37" s="1"/>
      <c r="V37" s="1"/>
      <c r="W37" s="1"/>
      <c r="X37" s="1"/>
      <c r="Y37" s="1"/>
      <c r="Z37" s="1"/>
      <c r="AA37" s="1"/>
      <c r="AB37" s="1"/>
      <c r="AC37" s="1"/>
      <c r="AE37" s="17">
        <v>54.023504432690153</v>
      </c>
    </row>
    <row r="38" spans="1:31" x14ac:dyDescent="0.25">
      <c r="A38" s="8">
        <f t="shared" si="2"/>
        <v>1871</v>
      </c>
      <c r="C38" s="1">
        <v>63</v>
      </c>
      <c r="D38" s="1">
        <v>60.749889069664249</v>
      </c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>
        <v>80</v>
      </c>
      <c r="S38" s="1">
        <v>100</v>
      </c>
      <c r="U38" s="1"/>
      <c r="V38" s="1"/>
      <c r="W38" s="1"/>
      <c r="X38" s="1"/>
      <c r="Y38" s="1"/>
      <c r="Z38" s="1"/>
      <c r="AA38" s="1"/>
      <c r="AB38" s="1"/>
      <c r="AC38" s="1"/>
      <c r="AE38" s="17">
        <v>53.634126550416482</v>
      </c>
    </row>
    <row r="39" spans="1:31" x14ac:dyDescent="0.25">
      <c r="A39" s="8">
        <f t="shared" si="2"/>
        <v>1872</v>
      </c>
      <c r="C39" s="1">
        <v>70.8</v>
      </c>
      <c r="D39" s="1">
        <v>65.034142870655202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>
        <v>100</v>
      </c>
      <c r="U39" s="1"/>
      <c r="V39" s="1"/>
      <c r="W39" s="1"/>
      <c r="X39" s="1"/>
      <c r="Y39" s="1"/>
      <c r="Z39" s="1"/>
      <c r="AA39" s="1"/>
      <c r="AB39" s="1"/>
      <c r="AC39" s="1"/>
      <c r="AE39" s="17">
        <v>54.422270232763516</v>
      </c>
    </row>
    <row r="40" spans="1:31" x14ac:dyDescent="0.25">
      <c r="A40" s="8">
        <f t="shared" si="2"/>
        <v>1873</v>
      </c>
      <c r="C40" s="1">
        <v>88.4</v>
      </c>
      <c r="D40" s="1">
        <v>84.422102319970818</v>
      </c>
      <c r="F40" s="1"/>
      <c r="G40" s="1"/>
      <c r="H40" s="3"/>
      <c r="I40" s="1">
        <f>2240*0.0381578947368421</f>
        <v>85.473684210526301</v>
      </c>
      <c r="J40" s="1"/>
      <c r="K40" s="1"/>
      <c r="L40" s="1"/>
      <c r="M40" s="1"/>
      <c r="N40" s="1"/>
      <c r="O40" s="1"/>
      <c r="P40" s="1"/>
      <c r="Q40" s="1"/>
      <c r="R40" s="1">
        <v>80</v>
      </c>
      <c r="S40" s="1"/>
      <c r="U40" s="1"/>
      <c r="V40" s="1"/>
      <c r="W40" s="1"/>
      <c r="X40" s="1"/>
      <c r="Y40" s="1"/>
      <c r="Z40" s="1"/>
      <c r="AA40" s="1"/>
      <c r="AB40" s="1"/>
      <c r="AC40" s="1"/>
      <c r="AE40" s="17">
        <v>60.987424412123858</v>
      </c>
    </row>
    <row r="41" spans="1:31" x14ac:dyDescent="0.25">
      <c r="A41" s="8">
        <f t="shared" si="2"/>
        <v>1874</v>
      </c>
      <c r="C41" s="1">
        <v>100.60000000000001</v>
      </c>
      <c r="D41" s="1">
        <v>96.939461966467363</v>
      </c>
      <c r="F41" s="1"/>
      <c r="G41" s="1"/>
      <c r="H41" s="1"/>
      <c r="I41" s="1"/>
      <c r="J41" s="1"/>
      <c r="K41" s="1"/>
      <c r="L41" s="1">
        <f>2240*0.0529343261460282</f>
        <v>118.57289056710317</v>
      </c>
      <c r="M41" s="1"/>
      <c r="N41" s="1"/>
      <c r="O41" s="1"/>
      <c r="P41" s="1"/>
      <c r="Q41" s="1"/>
      <c r="R41" s="1">
        <v>80</v>
      </c>
      <c r="S41" s="1">
        <v>120</v>
      </c>
      <c r="U41" s="1"/>
      <c r="V41" s="1"/>
      <c r="W41" s="1"/>
      <c r="X41" s="1"/>
      <c r="Y41" s="1"/>
      <c r="Z41" s="1">
        <f>20*3.65270489755122</f>
        <v>73.054097951024403</v>
      </c>
      <c r="AA41" s="1"/>
      <c r="AB41" s="1"/>
      <c r="AC41" s="1"/>
      <c r="AE41" s="17">
        <v>81.6870226512535</v>
      </c>
    </row>
    <row r="42" spans="1:31" x14ac:dyDescent="0.25">
      <c r="A42" s="8">
        <f t="shared" si="2"/>
        <v>1875</v>
      </c>
      <c r="C42" s="1">
        <v>94.600000000000009</v>
      </c>
      <c r="D42" s="1">
        <v>94.221898772325488</v>
      </c>
      <c r="E42" s="1">
        <f>2240*0.0226089048893257</f>
        <v>50.643946952089564</v>
      </c>
      <c r="F42" s="1"/>
      <c r="G42" s="1"/>
      <c r="H42" s="1"/>
      <c r="I42" s="1"/>
      <c r="J42" s="1"/>
      <c r="K42" s="1"/>
      <c r="L42" s="3">
        <f>2240*0.0530329503986715</f>
        <v>118.79380889302416</v>
      </c>
      <c r="M42" s="1"/>
      <c r="N42" s="1"/>
      <c r="O42" s="1"/>
      <c r="P42" s="1"/>
      <c r="Q42" s="1"/>
      <c r="R42" s="1">
        <v>80</v>
      </c>
      <c r="S42" s="1">
        <v>100</v>
      </c>
      <c r="U42" s="1"/>
      <c r="V42" s="1"/>
      <c r="W42" s="1"/>
      <c r="X42" s="1"/>
      <c r="Y42" s="1"/>
      <c r="Z42" s="1">
        <f>20*3.70524010747081</f>
        <v>74.104802149416201</v>
      </c>
      <c r="AA42" s="1"/>
      <c r="AB42" s="1"/>
      <c r="AC42" s="1"/>
      <c r="AE42" s="17">
        <v>83.60675543509528</v>
      </c>
    </row>
    <row r="43" spans="1:31" x14ac:dyDescent="0.25">
      <c r="A43" s="8">
        <f t="shared" si="2"/>
        <v>1876</v>
      </c>
      <c r="C43" s="1">
        <v>93.6</v>
      </c>
      <c r="D43" s="1">
        <v>94.574016074618626</v>
      </c>
      <c r="E43" s="1"/>
      <c r="F43" s="1"/>
      <c r="G43" s="1"/>
      <c r="H43" s="1"/>
      <c r="I43" s="1"/>
      <c r="J43" s="1"/>
      <c r="K43" s="1"/>
      <c r="L43" s="1">
        <f>2240*0.0592056465645476</f>
        <v>132.62064830458661</v>
      </c>
      <c r="M43" s="1"/>
      <c r="N43" s="1"/>
      <c r="O43" s="1">
        <v>101.81818181818183</v>
      </c>
      <c r="P43" s="1"/>
      <c r="Q43" s="1"/>
      <c r="R43" s="1">
        <v>80</v>
      </c>
      <c r="S43" s="3">
        <v>90</v>
      </c>
      <c r="U43" s="1"/>
      <c r="V43" s="1"/>
      <c r="W43" s="1"/>
      <c r="X43" s="1"/>
      <c r="Y43" s="1"/>
      <c r="Z43" s="1">
        <f>20*1.91830064764048</f>
        <v>38.366012952809598</v>
      </c>
      <c r="AA43" s="1"/>
      <c r="AB43" s="1"/>
      <c r="AC43" s="1"/>
      <c r="AE43" s="17">
        <v>87.46449120345703</v>
      </c>
    </row>
    <row r="44" spans="1:31" x14ac:dyDescent="0.25">
      <c r="A44" s="8">
        <f t="shared" si="2"/>
        <v>1877</v>
      </c>
      <c r="C44" s="1">
        <v>96.6</v>
      </c>
      <c r="D44" s="1">
        <v>95.008361346918974</v>
      </c>
      <c r="E44" s="1">
        <f>2240*0.0205917321415164</f>
        <v>46.125479996996738</v>
      </c>
      <c r="F44" s="1">
        <f>2240*0.0221105980961006</f>
        <v>49.527739735265342</v>
      </c>
      <c r="H44" s="1"/>
      <c r="I44" s="1"/>
      <c r="J44" s="1"/>
      <c r="K44" s="1"/>
      <c r="L44" s="1">
        <f>2240*0.0498456580610655</f>
        <v>111.65427405678672</v>
      </c>
      <c r="M44" s="1"/>
      <c r="N44" s="1"/>
      <c r="O44" s="1"/>
      <c r="P44" s="1"/>
      <c r="Q44" s="1"/>
      <c r="R44" s="1">
        <v>80</v>
      </c>
      <c r="S44" s="3">
        <v>88.948322732242175</v>
      </c>
      <c r="U44" s="1"/>
      <c r="V44" s="1"/>
      <c r="W44" s="1"/>
      <c r="X44" s="1"/>
      <c r="Y44" s="1"/>
      <c r="Z44" s="1">
        <f>20*1.87195099283269</f>
        <v>37.4390198566538</v>
      </c>
      <c r="AA44" s="1"/>
      <c r="AB44" s="1"/>
      <c r="AC44" s="1"/>
      <c r="AE44" s="17">
        <v>89.005582624819993</v>
      </c>
    </row>
    <row r="45" spans="1:31" x14ac:dyDescent="0.25">
      <c r="A45" s="8">
        <f t="shared" si="2"/>
        <v>1878</v>
      </c>
      <c r="C45" s="1">
        <v>93.2</v>
      </c>
      <c r="D45" s="1">
        <v>92.3074372266084</v>
      </c>
      <c r="E45" s="1">
        <f>2240*0.0232026016513476</f>
        <v>51.973827699018628</v>
      </c>
      <c r="F45" s="1">
        <f>2240*0.0231584821428571</f>
        <v>51.874999999999901</v>
      </c>
      <c r="H45" s="1"/>
      <c r="I45" s="1"/>
      <c r="J45" s="1"/>
      <c r="K45" s="1"/>
      <c r="L45" s="1"/>
      <c r="M45" s="1"/>
      <c r="N45" s="1"/>
      <c r="O45" s="1">
        <v>80.181818181818187</v>
      </c>
      <c r="P45" s="1"/>
      <c r="Q45" s="1"/>
      <c r="R45" s="1">
        <v>80</v>
      </c>
      <c r="S45" s="3">
        <v>88.904374999999987</v>
      </c>
      <c r="T45" s="1">
        <v>106.69456066945607</v>
      </c>
      <c r="U45" s="1"/>
      <c r="V45" s="1"/>
      <c r="W45" s="1"/>
      <c r="X45" s="1"/>
      <c r="Y45" s="1"/>
      <c r="Z45" s="1">
        <f>20*1.97848059071934</f>
        <v>39.569611814386796</v>
      </c>
      <c r="AA45" s="1"/>
      <c r="AB45" s="1"/>
      <c r="AC45" s="1"/>
      <c r="AE45" s="17">
        <v>77.545183075731956</v>
      </c>
    </row>
    <row r="46" spans="1:31" x14ac:dyDescent="0.25">
      <c r="A46" s="8">
        <f t="shared" si="2"/>
        <v>1879</v>
      </c>
      <c r="C46" s="1">
        <v>88</v>
      </c>
      <c r="D46" s="1">
        <v>90.228570278899383</v>
      </c>
      <c r="E46" s="1"/>
      <c r="F46" s="1"/>
      <c r="G46" s="1"/>
      <c r="H46" s="1"/>
      <c r="J46" s="1"/>
      <c r="K46" s="1"/>
      <c r="L46" s="1">
        <f>2240*0.0345687092108143</f>
        <v>77.433908632224032</v>
      </c>
      <c r="M46" s="1"/>
      <c r="N46" s="1"/>
      <c r="O46" s="1">
        <v>111.86424242424242</v>
      </c>
      <c r="P46" s="1"/>
      <c r="Q46" s="1"/>
      <c r="R46" s="1">
        <v>60</v>
      </c>
      <c r="S46" s="3">
        <v>136.43277361460957</v>
      </c>
      <c r="T46" s="1">
        <v>105.8</v>
      </c>
      <c r="U46" s="1"/>
      <c r="V46" s="1"/>
      <c r="W46" s="1"/>
      <c r="X46" s="1"/>
      <c r="Y46" s="1"/>
      <c r="Z46" s="1">
        <f>20*1.85191429371494</f>
        <v>37.038285874298801</v>
      </c>
      <c r="AA46" s="1"/>
      <c r="AB46" s="1"/>
      <c r="AC46" s="1"/>
      <c r="AE46" s="17">
        <v>75.95874504116</v>
      </c>
    </row>
    <row r="47" spans="1:31" x14ac:dyDescent="0.25">
      <c r="A47" s="8">
        <f t="shared" si="2"/>
        <v>1880</v>
      </c>
      <c r="C47" s="1">
        <v>88.800000000000011</v>
      </c>
      <c r="D47" s="1">
        <v>88.438630511598802</v>
      </c>
      <c r="F47" s="1"/>
      <c r="G47" s="1"/>
      <c r="H47" s="1"/>
      <c r="J47" s="1"/>
      <c r="K47" s="1"/>
      <c r="L47" s="1">
        <f>2240*0.035158848724152</f>
        <v>78.755821142100487</v>
      </c>
      <c r="M47" s="1">
        <f>2240*0.033749472428247</f>
        <v>75.598818239273285</v>
      </c>
      <c r="N47" s="1"/>
      <c r="O47" s="1">
        <v>64.838661710037172</v>
      </c>
      <c r="P47" s="1"/>
      <c r="Q47" s="1"/>
      <c r="R47" s="1">
        <v>60</v>
      </c>
      <c r="S47" s="3">
        <v>95.254687499999989</v>
      </c>
      <c r="T47" s="1">
        <v>105.81560283687942</v>
      </c>
      <c r="U47" s="1"/>
      <c r="V47" s="1"/>
      <c r="W47" s="1"/>
      <c r="X47" s="1"/>
      <c r="Y47" s="1"/>
      <c r="Z47" s="1">
        <f>20*1.39399237449881</f>
        <v>27.8798474899762</v>
      </c>
      <c r="AA47" s="1"/>
      <c r="AB47" s="1"/>
      <c r="AC47" s="1"/>
      <c r="AE47" s="17">
        <v>77.423643560078347</v>
      </c>
    </row>
    <row r="48" spans="1:31" x14ac:dyDescent="0.25">
      <c r="A48" s="8">
        <f t="shared" si="2"/>
        <v>1881</v>
      </c>
      <c r="C48" s="1">
        <v>77.400000000000006</v>
      </c>
      <c r="D48" s="1">
        <v>84.514945270911838</v>
      </c>
      <c r="F48" s="1"/>
      <c r="G48" s="1"/>
      <c r="H48" s="1"/>
      <c r="J48" s="1"/>
      <c r="K48" s="1"/>
      <c r="L48" s="1">
        <f>2240*0.0300614691693493</f>
        <v>67.337690939342423</v>
      </c>
      <c r="M48" s="1"/>
      <c r="N48" s="1"/>
      <c r="O48" s="1">
        <v>61.090909090909086</v>
      </c>
      <c r="P48" s="1"/>
      <c r="Q48" s="1"/>
      <c r="R48" s="1">
        <v>50.028490028490033</v>
      </c>
      <c r="S48" s="3">
        <v>82.555885244746264</v>
      </c>
      <c r="T48" s="1">
        <v>102.8132911392405</v>
      </c>
      <c r="U48" s="1"/>
      <c r="V48" s="1"/>
      <c r="W48" s="1"/>
      <c r="X48" s="1"/>
      <c r="Y48" s="1"/>
      <c r="Z48" s="1">
        <f>20*1.21685004062818</f>
        <v>24.337000812563598</v>
      </c>
      <c r="AA48" s="1"/>
      <c r="AB48" s="1"/>
      <c r="AC48" s="1"/>
      <c r="AE48" s="17">
        <v>73.20075337126265</v>
      </c>
    </row>
    <row r="49" spans="1:31" x14ac:dyDescent="0.25">
      <c r="A49" s="8">
        <f t="shared" si="2"/>
        <v>1882</v>
      </c>
      <c r="C49" s="1">
        <v>76.2</v>
      </c>
      <c r="D49" s="1">
        <v>78.149137893713572</v>
      </c>
      <c r="F49" s="1"/>
      <c r="G49" s="1"/>
      <c r="H49" s="1"/>
      <c r="I49" s="1"/>
      <c r="J49" s="1"/>
      <c r="K49" s="1"/>
      <c r="L49" s="1">
        <f>2240*0.0296081927347947</f>
        <v>66.322351725940123</v>
      </c>
      <c r="M49" s="1"/>
      <c r="N49" s="1">
        <v>65.454545454545453</v>
      </c>
      <c r="O49" s="1">
        <v>61.090909090909086</v>
      </c>
      <c r="P49" s="1"/>
      <c r="Q49" s="1"/>
      <c r="R49" s="1">
        <v>60</v>
      </c>
      <c r="S49" s="3">
        <v>47.673615200047102</v>
      </c>
      <c r="T49" s="1">
        <v>100.48034934497818</v>
      </c>
      <c r="U49" s="1"/>
      <c r="V49" s="1"/>
      <c r="W49" s="1"/>
      <c r="X49" s="1"/>
      <c r="Y49" s="1"/>
      <c r="Z49" s="1">
        <f>20*1.35148245118774</f>
        <v>27.0296490237548</v>
      </c>
      <c r="AA49" s="1"/>
      <c r="AB49" s="1"/>
      <c r="AC49" s="1"/>
      <c r="AE49" s="17">
        <v>70.186699871682862</v>
      </c>
    </row>
    <row r="50" spans="1:31" x14ac:dyDescent="0.25">
      <c r="A50" s="8">
        <f t="shared" si="2"/>
        <v>1883</v>
      </c>
      <c r="C50" s="1">
        <v>70.199999999999989</v>
      </c>
      <c r="D50" s="1">
        <v>69.761657883608208</v>
      </c>
      <c r="F50" s="1"/>
      <c r="G50" s="1"/>
      <c r="H50" s="1"/>
      <c r="I50" s="1"/>
      <c r="J50" s="1"/>
      <c r="K50" s="1"/>
      <c r="L50" s="1">
        <f>2240*0.0298781969363259</f>
        <v>66.927161137370021</v>
      </c>
      <c r="M50" s="1"/>
      <c r="N50" s="1"/>
      <c r="O50" s="1">
        <v>71.176973496722709</v>
      </c>
      <c r="P50" s="1"/>
      <c r="Q50" s="1"/>
      <c r="R50" s="1">
        <v>99.934853420195452</v>
      </c>
      <c r="S50" s="3">
        <v>55.565234374999996</v>
      </c>
      <c r="T50" s="1">
        <v>101.10045662100455</v>
      </c>
      <c r="U50" s="1"/>
      <c r="V50" s="1"/>
      <c r="W50" s="1"/>
      <c r="X50" s="1"/>
      <c r="Y50" s="1"/>
      <c r="Z50" s="1">
        <f>20*1.72498122056833</f>
        <v>34.499624411366597</v>
      </c>
      <c r="AA50" s="1"/>
      <c r="AB50" s="1"/>
      <c r="AC50" s="1"/>
      <c r="AE50" s="17">
        <v>64.577975351983071</v>
      </c>
    </row>
    <row r="51" spans="1:31" x14ac:dyDescent="0.25">
      <c r="A51" s="8">
        <f t="shared" si="2"/>
        <v>1884</v>
      </c>
      <c r="C51" s="1">
        <v>66</v>
      </c>
      <c r="D51" s="1">
        <v>66.855374909251836</v>
      </c>
      <c r="F51" s="1"/>
      <c r="G51" s="1"/>
      <c r="H51" s="1"/>
      <c r="I51" s="1"/>
      <c r="J51" s="3">
        <f>2240*0.0363636363636364</f>
        <v>81.454545454545524</v>
      </c>
      <c r="K51" s="3"/>
      <c r="L51" s="1">
        <f>2240*0.0290643474564771</f>
        <v>65.104138302508701</v>
      </c>
      <c r="M51" s="1"/>
      <c r="N51" s="1">
        <v>75.719298245614041</v>
      </c>
      <c r="O51" s="1"/>
      <c r="P51" s="3"/>
      <c r="Q51" s="1"/>
      <c r="R51" s="1">
        <v>79.980449657869016</v>
      </c>
      <c r="S51" s="3">
        <v>59.534599134286822</v>
      </c>
      <c r="T51" s="1"/>
      <c r="U51" s="1"/>
      <c r="V51" s="3"/>
      <c r="W51" s="3"/>
      <c r="X51" s="1"/>
      <c r="Y51" s="1"/>
      <c r="Z51" s="1">
        <f>20*1.66302724823625</f>
        <v>33.260544964725</v>
      </c>
      <c r="AA51" s="3"/>
      <c r="AB51" s="1"/>
      <c r="AC51" s="3"/>
      <c r="AE51" s="17">
        <v>66.915284691278771</v>
      </c>
    </row>
    <row r="52" spans="1:31" x14ac:dyDescent="0.25">
      <c r="A52" s="8">
        <f t="shared" si="2"/>
        <v>1885</v>
      </c>
      <c r="C52" s="1">
        <v>63.8</v>
      </c>
      <c r="D52" s="1">
        <v>64.605930406610213</v>
      </c>
      <c r="F52" s="1"/>
      <c r="G52" s="1"/>
      <c r="H52" s="1"/>
      <c r="I52" s="1"/>
      <c r="J52" s="1"/>
      <c r="K52" s="1">
        <v>51.067952226922117</v>
      </c>
      <c r="L52" s="1">
        <f>2240*0.025</f>
        <v>56</v>
      </c>
      <c r="M52" s="1"/>
      <c r="N52" s="1">
        <v>79.514767932489434</v>
      </c>
      <c r="O52" s="1"/>
      <c r="P52" s="1">
        <f>2240*0.027002700270027</f>
        <v>60.486048604860478</v>
      </c>
      <c r="Q52" s="1"/>
      <c r="R52" s="1">
        <v>83.994413407821241</v>
      </c>
      <c r="S52" s="3">
        <v>47.627343749999994</v>
      </c>
      <c r="T52" s="1"/>
      <c r="U52" s="1"/>
      <c r="V52" s="1"/>
      <c r="W52" s="1"/>
      <c r="X52" s="1"/>
      <c r="Y52" s="1"/>
      <c r="Z52" s="1">
        <f>20*1.35598314333041</f>
        <v>27.119662866608198</v>
      </c>
      <c r="AA52" s="1"/>
      <c r="AB52" s="1"/>
      <c r="AC52" s="1"/>
      <c r="AE52" s="17">
        <v>59.794629370139617</v>
      </c>
    </row>
    <row r="53" spans="1:31" x14ac:dyDescent="0.25">
      <c r="A53" s="8">
        <f t="shared" si="2"/>
        <v>1886</v>
      </c>
      <c r="C53" s="1">
        <v>65.400000000000006</v>
      </c>
      <c r="D53" s="1">
        <v>66.85539379872354</v>
      </c>
      <c r="F53" s="1"/>
      <c r="G53" s="1"/>
      <c r="H53" s="1"/>
      <c r="I53" s="1"/>
      <c r="J53" s="1"/>
      <c r="K53" s="1">
        <v>50.977279243119263</v>
      </c>
      <c r="L53" s="1">
        <f>2240*0.0285714285714286</f>
        <v>64.000000000000057</v>
      </c>
      <c r="M53" s="1"/>
      <c r="N53" s="1">
        <v>97.013429544998999</v>
      </c>
      <c r="O53" s="1"/>
      <c r="Q53" s="1"/>
      <c r="R53" s="1">
        <v>83.989361702127653</v>
      </c>
      <c r="S53" s="3">
        <v>51.029296875</v>
      </c>
      <c r="T53" s="1"/>
      <c r="U53" s="1"/>
      <c r="V53" s="1"/>
      <c r="W53" s="1"/>
      <c r="X53" s="1"/>
      <c r="Y53" s="1"/>
      <c r="Z53" s="1">
        <f>20*1.73071177286611</f>
        <v>34.614235457322202</v>
      </c>
      <c r="AA53" s="1"/>
      <c r="AB53" s="1"/>
      <c r="AC53" s="1"/>
      <c r="AE53" s="17">
        <v>53.853458185529696</v>
      </c>
    </row>
    <row r="54" spans="1:31" x14ac:dyDescent="0.25">
      <c r="A54" s="8">
        <f t="shared" si="2"/>
        <v>1887</v>
      </c>
      <c r="C54" s="1">
        <v>81.199999999999989</v>
      </c>
      <c r="D54" s="1">
        <v>77.156030468214141</v>
      </c>
      <c r="E54" s="1">
        <f>2240*0.0329887218045113</f>
        <v>73.894736842105317</v>
      </c>
      <c r="F54" s="1"/>
      <c r="G54" s="1"/>
      <c r="H54" s="1">
        <f>2240*0.0208100491952047</f>
        <v>46.614510197258525</v>
      </c>
      <c r="J54" s="1"/>
      <c r="K54" s="1">
        <v>66.735632183908052</v>
      </c>
      <c r="L54" s="1">
        <f>2240*0.0328947368421053</f>
        <v>73.68421052631588</v>
      </c>
      <c r="M54" s="1"/>
      <c r="N54" s="1">
        <v>233.62122495060686</v>
      </c>
      <c r="O54" s="1"/>
      <c r="P54" s="1">
        <f>2240*0.0482673267326733</f>
        <v>108.11881188118819</v>
      </c>
      <c r="Q54" s="1"/>
      <c r="R54" s="1">
        <v>84.005102040816325</v>
      </c>
      <c r="S54" s="3"/>
      <c r="T54" s="1">
        <v>102.92561983471074</v>
      </c>
      <c r="U54" s="1"/>
      <c r="V54" s="1"/>
      <c r="W54" s="1"/>
      <c r="X54" s="1"/>
      <c r="Y54" s="1"/>
      <c r="Z54" s="1">
        <f>20*1.79644155610594</f>
        <v>35.928831122118801</v>
      </c>
      <c r="AA54" s="1"/>
      <c r="AB54" s="1">
        <f>20*4.48361162646877</f>
        <v>89.672232529375407</v>
      </c>
      <c r="AC54" s="1">
        <f>20*3.72981818181818</f>
        <v>74.596363636363606</v>
      </c>
      <c r="AD54" s="3">
        <f>20*5.50903928335835</f>
        <v>110.18078566716699</v>
      </c>
      <c r="AE54" s="17">
        <v>59.143166478858348</v>
      </c>
    </row>
    <row r="55" spans="1:31" x14ac:dyDescent="0.25">
      <c r="A55" s="8">
        <f t="shared" si="2"/>
        <v>1888</v>
      </c>
      <c r="C55" s="1">
        <v>75.400000000000006</v>
      </c>
      <c r="D55" s="1">
        <v>75.043445623055874</v>
      </c>
      <c r="E55" s="1">
        <f>2240*0.0401780446691951</f>
        <v>89.998820058997026</v>
      </c>
      <c r="F55" s="1"/>
      <c r="G55" s="1"/>
      <c r="H55" s="1">
        <f>2240*0.0215198496321855</f>
        <v>48.204463176095516</v>
      </c>
      <c r="J55" s="1"/>
      <c r="K55" s="1">
        <v>78.117227543360087</v>
      </c>
      <c r="L55" s="1">
        <f>2240*0.0298780487804878</f>
        <v>66.926829268292678</v>
      </c>
      <c r="M55" s="1"/>
      <c r="N55" s="1">
        <v>216.16464704750913</v>
      </c>
      <c r="O55" s="1"/>
      <c r="P55" s="1"/>
      <c r="Q55" s="1"/>
      <c r="R55" s="1">
        <v>80.017746228926342</v>
      </c>
      <c r="S55" s="3">
        <v>50.802430447169833</v>
      </c>
      <c r="T55" s="1">
        <v>102.58590308370044</v>
      </c>
      <c r="U55" s="1"/>
      <c r="V55" s="1"/>
      <c r="W55" s="1"/>
      <c r="X55" s="1">
        <v>93.411420204978043</v>
      </c>
      <c r="Y55" s="1">
        <v>90.765456329735045</v>
      </c>
      <c r="Z55" s="1">
        <f>20*1.95421100068206</f>
        <v>39.0842200136412</v>
      </c>
      <c r="AA55" s="1"/>
      <c r="AB55" s="1">
        <f>20*3.36044444444444</f>
        <v>67.208888888888808</v>
      </c>
      <c r="AC55" s="1">
        <f>20*3.36012585812357</f>
        <v>67.202517162471395</v>
      </c>
      <c r="AD55" s="3">
        <f>20*3.13669659464052</f>
        <v>62.733931892810403</v>
      </c>
      <c r="AE55" s="17">
        <v>78.47642277650661</v>
      </c>
    </row>
    <row r="56" spans="1:31" x14ac:dyDescent="0.25">
      <c r="A56" s="8">
        <f t="shared" si="2"/>
        <v>1889</v>
      </c>
      <c r="C56" s="1">
        <v>83.4</v>
      </c>
      <c r="D56" s="1">
        <v>86.582511236938885</v>
      </c>
      <c r="E56" s="1">
        <f>2240*0.0436046511627907</f>
        <v>97.674418604651166</v>
      </c>
      <c r="F56" s="1"/>
      <c r="G56" s="1"/>
      <c r="H56" s="1">
        <f>2240*0.0209868373989556</f>
        <v>47.010515773660543</v>
      </c>
      <c r="J56" s="1"/>
      <c r="K56" s="1">
        <v>80.724648107600871</v>
      </c>
      <c r="L56" s="1">
        <f>2240*0.03125</f>
        <v>70</v>
      </c>
      <c r="M56" s="1"/>
      <c r="N56" s="1">
        <v>40.928859894377133</v>
      </c>
      <c r="O56" s="1"/>
      <c r="P56" s="1"/>
      <c r="Q56" s="1"/>
      <c r="R56" s="1">
        <v>91.989528795811509</v>
      </c>
      <c r="S56" s="3">
        <v>50.802308621767821</v>
      </c>
      <c r="T56" s="1">
        <v>102.02845528455285</v>
      </c>
      <c r="V56" s="1"/>
      <c r="W56" s="1"/>
      <c r="X56" s="1">
        <v>81.080752884031568</v>
      </c>
      <c r="Y56" s="1">
        <v>82.1111111111111</v>
      </c>
      <c r="Z56" s="1">
        <f>20*3.58938085022475</f>
        <v>71.787617004495004</v>
      </c>
      <c r="AA56" s="1"/>
      <c r="AB56" s="1">
        <f>20*2.26285714285714</f>
        <v>45.257142857142796</v>
      </c>
      <c r="AC56" s="1">
        <f>20*2.50329411764706</f>
        <v>50.065882352941202</v>
      </c>
      <c r="AD56" s="3">
        <f>20*4.16413866501432</f>
        <v>83.282773300286408</v>
      </c>
      <c r="AE56" s="17">
        <v>72.093877679147624</v>
      </c>
    </row>
    <row r="57" spans="1:31" x14ac:dyDescent="0.25">
      <c r="A57" s="8">
        <f t="shared" si="2"/>
        <v>1890</v>
      </c>
      <c r="C57" s="1">
        <v>92.6</v>
      </c>
      <c r="D57" s="1">
        <v>86.329428013668121</v>
      </c>
      <c r="E57" s="1">
        <f>2240*0.0446428571428571</f>
        <v>99.999999999999915</v>
      </c>
      <c r="F57" s="1"/>
      <c r="G57" s="1"/>
      <c r="H57" s="1">
        <f>2240*0.0212665146812426</f>
        <v>47.636992885983425</v>
      </c>
      <c r="J57" s="1"/>
      <c r="K57" s="1">
        <v>84.325238095238092</v>
      </c>
      <c r="L57" s="1">
        <f>2240*0.0391206287202381</f>
        <v>87.630208333333357</v>
      </c>
      <c r="M57" s="1"/>
      <c r="N57" s="1">
        <v>115.14285714285714</v>
      </c>
      <c r="O57" s="1"/>
      <c r="P57" s="1"/>
      <c r="Q57" s="1"/>
      <c r="R57" s="1">
        <v>92.16901408450704</v>
      </c>
      <c r="S57" s="3">
        <v>50.802605648374588</v>
      </c>
      <c r="T57" s="1">
        <v>101.55882352941167</v>
      </c>
      <c r="U57" s="1"/>
      <c r="V57" s="1"/>
      <c r="W57" s="1"/>
      <c r="X57" s="1"/>
      <c r="Z57" s="1">
        <f>20*4.40680042016531</f>
        <v>88.136008403306207</v>
      </c>
      <c r="AA57" s="1">
        <f>20*4.14154972544234</f>
        <v>82.8309945088468</v>
      </c>
      <c r="AB57" s="1">
        <f>20*2.35674019607843</f>
        <v>47.134803921568604</v>
      </c>
      <c r="AC57" s="1">
        <f>20*2.35650793650794</f>
        <v>47.130158730158804</v>
      </c>
      <c r="AD57" s="3">
        <f>20*3.47352700293877</f>
        <v>69.470540058775399</v>
      </c>
      <c r="AE57" s="17">
        <v>97.085906655268815</v>
      </c>
    </row>
    <row r="58" spans="1:31" x14ac:dyDescent="0.25">
      <c r="A58" s="8">
        <f t="shared" si="2"/>
        <v>1891</v>
      </c>
      <c r="C58" s="1">
        <v>94.600000000000009</v>
      </c>
      <c r="D58" s="1">
        <v>92.152924934510281</v>
      </c>
      <c r="E58" s="1">
        <f>2240*0.0491071428571429</f>
        <v>110.00000000000009</v>
      </c>
      <c r="F58" s="1"/>
      <c r="G58" s="1"/>
      <c r="H58" s="3">
        <f>2240*0.0218938044665303</f>
        <v>49.042122005027871</v>
      </c>
      <c r="I58" s="1"/>
      <c r="J58" s="1"/>
      <c r="K58" s="1">
        <v>85.736484553775739</v>
      </c>
      <c r="L58" s="1">
        <f>2240*0.0404575892857143</f>
        <v>90.625000000000028</v>
      </c>
      <c r="M58" s="1"/>
      <c r="N58" s="1">
        <v>115.10857142857142</v>
      </c>
      <c r="O58" s="1"/>
      <c r="P58" s="1"/>
      <c r="Q58" s="1"/>
      <c r="R58" s="1">
        <v>92.012383900928796</v>
      </c>
      <c r="S58" s="3">
        <v>50.802500000000002</v>
      </c>
      <c r="T58" s="1">
        <v>100.54999999999991</v>
      </c>
      <c r="U58" s="1"/>
      <c r="V58" s="1"/>
      <c r="W58" s="1"/>
      <c r="X58" s="1">
        <v>92.857142857142861</v>
      </c>
      <c r="Y58" s="1">
        <v>92.857142857142861</v>
      </c>
      <c r="Z58" s="1">
        <f>20*3.68574587122971</f>
        <v>73.714917424594205</v>
      </c>
      <c r="AA58" s="1">
        <f>20*4.66666666666667</f>
        <v>93.3333333333334</v>
      </c>
      <c r="AB58" s="1">
        <f>20*4.28569444444444</f>
        <v>85.713888888888789</v>
      </c>
      <c r="AC58" s="1">
        <f>20*4.28571428571429</f>
        <v>85.714285714285808</v>
      </c>
      <c r="AD58" s="3">
        <f>20*1.73628173628174</f>
        <v>34.725634725634798</v>
      </c>
      <c r="AE58" s="17">
        <v>91.947529538268057</v>
      </c>
    </row>
    <row r="59" spans="1:31" x14ac:dyDescent="0.25">
      <c r="A59" s="8">
        <f t="shared" si="2"/>
        <v>1892</v>
      </c>
      <c r="C59" s="1">
        <v>93</v>
      </c>
      <c r="D59" s="1">
        <v>90.463671190790649</v>
      </c>
      <c r="E59" s="1">
        <f>2240*0.0535714285714286</f>
        <v>120.00000000000007</v>
      </c>
      <c r="F59" s="1"/>
      <c r="G59" s="1"/>
      <c r="H59" s="3">
        <f>2240*0.0416666666666667</f>
        <v>93.3333333333334</v>
      </c>
      <c r="I59" s="1"/>
      <c r="J59" s="1"/>
      <c r="K59" s="1">
        <v>85.492880258899675</v>
      </c>
      <c r="L59" s="1">
        <f>2240*0.0361607142857143</f>
        <v>81.000000000000043</v>
      </c>
      <c r="M59" s="1"/>
      <c r="N59" s="1">
        <v>115.19999999999999</v>
      </c>
      <c r="O59" s="1"/>
      <c r="P59" s="1"/>
      <c r="Q59" s="1"/>
      <c r="R59" s="1">
        <v>80.017714791851205</v>
      </c>
      <c r="S59" s="3">
        <v>56.7768332497781</v>
      </c>
      <c r="T59" s="1">
        <v>99.999999999999901</v>
      </c>
      <c r="U59" s="1"/>
      <c r="V59" s="1"/>
      <c r="W59" s="1"/>
      <c r="X59" s="1">
        <v>93.749707602339186</v>
      </c>
      <c r="Y59" s="1">
        <v>93.75333333333333</v>
      </c>
      <c r="Z59" s="1">
        <f>20*3.94999768257003</f>
        <v>78.999953651400602</v>
      </c>
      <c r="AA59" s="1">
        <f>20*4.16704086214639</f>
        <v>83.340817242927798</v>
      </c>
      <c r="AB59" s="1">
        <f>20*3.1248</f>
        <v>62.496000000000002</v>
      </c>
      <c r="AC59" s="1">
        <f>20*2.982</f>
        <v>59.64</v>
      </c>
      <c r="AD59" s="3">
        <f>20*3.952</f>
        <v>79.039999999999992</v>
      </c>
      <c r="AE59" s="17">
        <v>83.344785078198115</v>
      </c>
    </row>
    <row r="60" spans="1:31" x14ac:dyDescent="0.25">
      <c r="A60" s="8">
        <f t="shared" si="2"/>
        <v>1893</v>
      </c>
      <c r="C60" s="1">
        <v>96.4</v>
      </c>
      <c r="D60" s="1">
        <v>92.956811033636271</v>
      </c>
      <c r="E60" s="1"/>
      <c r="F60" s="1"/>
      <c r="G60" s="1"/>
      <c r="H60" s="3">
        <f>2240*0.0416666666666667</f>
        <v>93.3333333333334</v>
      </c>
      <c r="I60" s="1"/>
      <c r="J60" s="1"/>
      <c r="K60" s="1">
        <v>88.496626040428055</v>
      </c>
      <c r="L60" s="1">
        <f>2240*0.0475159123055163</f>
        <v>106.43564356435651</v>
      </c>
      <c r="M60" s="1"/>
      <c r="N60" s="1">
        <v>106.66666666666666</v>
      </c>
      <c r="O60" s="1">
        <v>63.333333333333329</v>
      </c>
      <c r="P60" s="1"/>
      <c r="Q60" s="1"/>
      <c r="R60" s="1">
        <v>63.989681857265694</v>
      </c>
      <c r="S60" s="3"/>
      <c r="T60" s="1">
        <v>98.697674418604549</v>
      </c>
      <c r="U60" s="1"/>
      <c r="V60" s="1"/>
      <c r="W60" s="1"/>
      <c r="X60" s="1">
        <v>92.307246376811605</v>
      </c>
      <c r="Y60" s="1">
        <v>92.305010893246191</v>
      </c>
      <c r="Z60" s="1">
        <f>20*3.45779308967951</f>
        <v>69.155861793590205</v>
      </c>
      <c r="AA60" s="1">
        <f>20*4</f>
        <v>80</v>
      </c>
      <c r="AB60" s="1">
        <f>20*3.38457142857143</f>
        <v>67.691428571428602</v>
      </c>
      <c r="AC60" s="1">
        <f>20*3.38466666666667</f>
        <v>67.693333333333399</v>
      </c>
      <c r="AD60" s="3">
        <f>20*5.48</f>
        <v>109.60000000000001</v>
      </c>
      <c r="AE60" s="17">
        <v>87.082396487881113</v>
      </c>
    </row>
    <row r="61" spans="1:31" x14ac:dyDescent="0.25">
      <c r="A61" s="8">
        <f t="shared" si="2"/>
        <v>1894</v>
      </c>
      <c r="C61" s="1">
        <v>96.4</v>
      </c>
      <c r="D61" s="1">
        <v>93.897458936783806</v>
      </c>
      <c r="F61" s="1"/>
      <c r="G61" s="1"/>
      <c r="H61" s="3">
        <f t="shared" ref="H61:H66" si="3">2240*0.0357142857142857</f>
        <v>79.999999999999972</v>
      </c>
      <c r="I61" s="1"/>
      <c r="J61" s="1"/>
      <c r="K61" s="1">
        <v>80.191283607979173</v>
      </c>
      <c r="L61" s="1">
        <f>2240*0.0458619505494505</f>
        <v>102.73076923076911</v>
      </c>
      <c r="M61" s="1"/>
      <c r="N61" s="1">
        <v>101.58730158730158</v>
      </c>
      <c r="O61" s="1"/>
      <c r="P61" s="1"/>
      <c r="Q61" s="1"/>
      <c r="R61" s="1">
        <v>40</v>
      </c>
      <c r="S61" s="3">
        <v>63.503124999999997</v>
      </c>
      <c r="T61" s="1">
        <v>99.999999999999915</v>
      </c>
      <c r="U61" s="1"/>
      <c r="V61" s="1">
        <f>2240*0.0461538461538462</f>
        <v>103.38461538461549</v>
      </c>
      <c r="W61" s="1"/>
      <c r="X61" s="1">
        <v>86.666666666666657</v>
      </c>
      <c r="Y61" s="1">
        <v>85.51627906976745</v>
      </c>
      <c r="Z61" s="1">
        <f>20*0.579268576801736</f>
        <v>11.585371536034721</v>
      </c>
      <c r="AA61" s="1"/>
      <c r="AB61" s="1">
        <f>20*3.88833333333333</f>
        <v>77.766666666666595</v>
      </c>
      <c r="AC61" s="1">
        <f>20*3.88873153955088</f>
        <v>77.7746307910176</v>
      </c>
      <c r="AD61" s="3">
        <f>20*3.33333333333333</f>
        <v>66.6666666666666</v>
      </c>
      <c r="AE61" s="17">
        <v>71.821267824411038</v>
      </c>
    </row>
    <row r="62" spans="1:31" x14ac:dyDescent="0.25">
      <c r="A62" s="8">
        <f t="shared" si="2"/>
        <v>1895</v>
      </c>
      <c r="C62" s="1">
        <v>97.6</v>
      </c>
      <c r="D62" s="1">
        <v>93.244922276493753</v>
      </c>
      <c r="F62" s="1"/>
      <c r="G62" s="1"/>
      <c r="H62" s="3">
        <f t="shared" si="3"/>
        <v>79.999999999999972</v>
      </c>
      <c r="I62" s="1"/>
      <c r="J62" s="1"/>
      <c r="K62" s="1">
        <v>76.71032763532763</v>
      </c>
      <c r="L62" s="1">
        <f>2240*0.0376349667774086</f>
        <v>84.302325581395266</v>
      </c>
      <c r="M62" s="1"/>
      <c r="N62" s="1"/>
      <c r="O62" s="1">
        <v>52.168242582328006</v>
      </c>
      <c r="P62" s="1"/>
      <c r="Q62" s="1"/>
      <c r="R62" s="1">
        <v>36.014388489208635</v>
      </c>
      <c r="S62" s="3"/>
      <c r="T62" s="1">
        <v>99.91150442477867</v>
      </c>
      <c r="U62" s="1"/>
      <c r="V62" s="1"/>
      <c r="W62" s="1"/>
      <c r="X62" s="1">
        <v>88.941935483870964</v>
      </c>
      <c r="Y62" s="1"/>
      <c r="Z62" s="1">
        <f>20*0.516447914979617</f>
        <v>10.328958299592339</v>
      </c>
      <c r="AA62" s="1">
        <f>20*4.3641585295807</f>
        <v>87.283170591613995</v>
      </c>
      <c r="AB62" s="1">
        <f>20*3.889</f>
        <v>77.78</v>
      </c>
      <c r="AC62" s="1">
        <f>20*3.88816738816739</f>
        <v>77.763347763347795</v>
      </c>
      <c r="AD62" s="3">
        <f>20*1.85</f>
        <v>37</v>
      </c>
      <c r="AE62" s="17">
        <v>75.4692321377876</v>
      </c>
    </row>
    <row r="63" spans="1:31" x14ac:dyDescent="0.25">
      <c r="A63" s="8">
        <f t="shared" si="2"/>
        <v>1896</v>
      </c>
      <c r="C63" s="1">
        <v>99.800000000000011</v>
      </c>
      <c r="D63" s="1">
        <v>90.488482045873511</v>
      </c>
      <c r="F63" s="1"/>
      <c r="G63" s="1"/>
      <c r="H63" s="3">
        <f t="shared" si="3"/>
        <v>79.999999999999972</v>
      </c>
      <c r="I63" s="1"/>
      <c r="J63" s="1"/>
      <c r="K63" s="1">
        <v>72.384150131484574</v>
      </c>
      <c r="L63" s="1">
        <f>2240*0.0390625</f>
        <v>87.5</v>
      </c>
      <c r="M63" s="1"/>
      <c r="N63" s="1"/>
      <c r="O63" s="1">
        <v>50.7134</v>
      </c>
      <c r="P63" s="1"/>
      <c r="Q63" s="1"/>
      <c r="R63" s="1">
        <v>38.337801608579085</v>
      </c>
      <c r="S63" s="3"/>
      <c r="T63" s="1">
        <v>100.01041666666657</v>
      </c>
      <c r="U63" s="1"/>
      <c r="V63" s="1"/>
      <c r="W63" s="1"/>
      <c r="X63" s="1">
        <v>82.35</v>
      </c>
      <c r="Y63" s="1"/>
      <c r="Z63" s="1">
        <f>20*1.5657286054141</f>
        <v>31.314572108282</v>
      </c>
      <c r="AA63" s="1">
        <f>20*10</f>
        <v>200</v>
      </c>
      <c r="AB63" s="1">
        <f>20*3.52933333333333</f>
        <v>70.586666666666602</v>
      </c>
      <c r="AC63" s="1">
        <f>20*4.11746031746032</f>
        <v>82.349206349206398</v>
      </c>
      <c r="AD63" s="3">
        <f>20*1.96</f>
        <v>39.200000000000003</v>
      </c>
      <c r="AE63" s="17">
        <v>86.797241738323549</v>
      </c>
    </row>
    <row r="64" spans="1:31" x14ac:dyDescent="0.25">
      <c r="A64" s="8">
        <f t="shared" si="2"/>
        <v>1897</v>
      </c>
      <c r="C64" s="1">
        <v>94.800000000000011</v>
      </c>
      <c r="D64" s="1">
        <v>85.634363907881976</v>
      </c>
      <c r="E64" s="1">
        <f>2240*0.0357142857142857</f>
        <v>79.999999999999972</v>
      </c>
      <c r="F64" s="1"/>
      <c r="G64" s="1"/>
      <c r="H64" s="3">
        <f t="shared" si="3"/>
        <v>79.999999999999972</v>
      </c>
      <c r="I64" s="1"/>
      <c r="J64" s="1"/>
      <c r="K64" s="1">
        <v>62.913312693498447</v>
      </c>
      <c r="L64" s="1">
        <f>2240*0.0280924139728884</f>
        <v>62.927007299270009</v>
      </c>
      <c r="M64" s="1"/>
      <c r="N64" s="1"/>
      <c r="O64" s="1"/>
      <c r="P64" s="1">
        <v>48.47</v>
      </c>
      <c r="R64" s="1">
        <v>33.94736842105263</v>
      </c>
      <c r="S64" s="3"/>
      <c r="T64" s="1">
        <v>100.08695652173904</v>
      </c>
      <c r="V64" s="1"/>
      <c r="W64" s="1"/>
      <c r="X64" s="1">
        <v>78.751807228915666</v>
      </c>
      <c r="Y64" s="1">
        <v>79.992141453831039</v>
      </c>
      <c r="Z64" s="1">
        <f>20*1.65994756814692</f>
        <v>33.198951362938402</v>
      </c>
      <c r="AA64" s="1">
        <f>20*4.66666666666667</f>
        <v>93.3333333333334</v>
      </c>
      <c r="AB64" s="1">
        <f>20*3.125</f>
        <v>62.5</v>
      </c>
      <c r="AC64" s="1">
        <f>20*3.125</f>
        <v>62.5</v>
      </c>
      <c r="AD64" s="3">
        <f>20*1.90673817567568</f>
        <v>38.134763513513604</v>
      </c>
      <c r="AE64" s="17">
        <v>92.393338041750297</v>
      </c>
    </row>
    <row r="65" spans="1:31" x14ac:dyDescent="0.25">
      <c r="A65" s="8">
        <f t="shared" si="2"/>
        <v>1898</v>
      </c>
      <c r="C65" s="1">
        <v>77.8</v>
      </c>
      <c r="D65" s="1">
        <v>76.31619062614061</v>
      </c>
      <c r="E65" s="1">
        <f>2240*0.0209750566893424</f>
        <v>46.984126984126981</v>
      </c>
      <c r="F65" s="1"/>
      <c r="G65" s="1"/>
      <c r="H65" s="1">
        <f t="shared" si="3"/>
        <v>79.999999999999972</v>
      </c>
      <c r="J65" s="1"/>
      <c r="K65" s="1">
        <v>40.641999999999996</v>
      </c>
      <c r="L65" s="1">
        <f>2240*0.0178571428571429</f>
        <v>40.000000000000099</v>
      </c>
      <c r="M65" s="1"/>
      <c r="N65" s="1">
        <v>16.074418604651164</v>
      </c>
      <c r="O65" s="1">
        <v>29.126766666666665</v>
      </c>
      <c r="P65" s="1"/>
      <c r="R65" s="1">
        <v>34</v>
      </c>
      <c r="S65" s="3"/>
      <c r="T65" s="1">
        <v>99.893162393162299</v>
      </c>
      <c r="V65" s="1"/>
      <c r="W65" s="1"/>
      <c r="X65" s="1">
        <v>52.501061571125263</v>
      </c>
      <c r="Y65" s="1">
        <v>52.502078137988363</v>
      </c>
      <c r="Z65" s="1">
        <f>20*1.19934841421578</f>
        <v>23.986968284315601</v>
      </c>
      <c r="AA65" s="1">
        <f>20*4.66666666666667</f>
        <v>93.3333333333334</v>
      </c>
      <c r="AB65" s="1">
        <f>20*1.875</f>
        <v>37.5</v>
      </c>
      <c r="AC65" s="1">
        <f>20*1.87504437344693</f>
        <v>37.5008874689386</v>
      </c>
      <c r="AD65" s="3">
        <f>20*3.54969779054478</f>
        <v>70.993955810895599</v>
      </c>
      <c r="AE65" s="17">
        <v>81.922141016567622</v>
      </c>
    </row>
    <row r="66" spans="1:31" x14ac:dyDescent="0.25">
      <c r="A66" s="8">
        <f t="shared" si="2"/>
        <v>1899</v>
      </c>
      <c r="C66" s="1">
        <v>67.599999999999994</v>
      </c>
      <c r="D66" s="1">
        <v>66.869718709857835</v>
      </c>
      <c r="E66" s="1">
        <f>2240*0.0238095238095238</f>
        <v>53.333333333333314</v>
      </c>
      <c r="F66" s="1"/>
      <c r="G66" s="1">
        <f>2240*0.0200051778107275</f>
        <v>44.811598296029601</v>
      </c>
      <c r="H66" s="1">
        <f t="shared" si="3"/>
        <v>79.999999999999972</v>
      </c>
      <c r="J66" s="1"/>
      <c r="K66" s="1">
        <v>37.890197916666665</v>
      </c>
      <c r="L66" s="1">
        <f>2240*0.0142857142857143</f>
        <v>32.000000000000028</v>
      </c>
      <c r="M66" s="1"/>
      <c r="N66" s="1"/>
      <c r="O66" s="1">
        <v>36.984220000000001</v>
      </c>
      <c r="P66" s="1"/>
      <c r="R66" s="1">
        <v>34.006054490413725</v>
      </c>
      <c r="S66" s="3"/>
      <c r="T66" s="1">
        <v>59.999999999999943</v>
      </c>
      <c r="V66" s="1"/>
      <c r="W66" s="1"/>
      <c r="X66" s="1">
        <v>48.501098901098906</v>
      </c>
      <c r="Y66" s="1">
        <v>42.674719585849871</v>
      </c>
      <c r="Z66" s="1">
        <f>20*1.48717751513571</f>
        <v>29.743550302714201</v>
      </c>
      <c r="AA66" s="1">
        <f>20*4.7989417989418</f>
        <v>95.978835978836003</v>
      </c>
      <c r="AB66" s="1">
        <f>20*1.66666666666667</f>
        <v>33.3333333333334</v>
      </c>
      <c r="AC66" s="1">
        <f>20*1.6672972972973</f>
        <v>33.345945945945999</v>
      </c>
      <c r="AD66" s="3">
        <f>20*3.87498648658336</f>
        <v>77.499729731667202</v>
      </c>
      <c r="AE66" s="17">
        <v>86.393118464318519</v>
      </c>
    </row>
    <row r="67" spans="1:31" x14ac:dyDescent="0.25">
      <c r="A67" s="8">
        <f t="shared" si="2"/>
        <v>1900</v>
      </c>
      <c r="C67" s="1">
        <v>67</v>
      </c>
      <c r="D67" s="1">
        <v>66.645507169399053</v>
      </c>
      <c r="E67" s="1">
        <f>2240*0.0238095238095238</f>
        <v>53.333333333333314</v>
      </c>
      <c r="F67" s="1"/>
      <c r="G67" s="1"/>
      <c r="H67" s="1">
        <f>2240*0.023783009863188</f>
        <v>53.273942093541123</v>
      </c>
      <c r="J67" s="1"/>
      <c r="K67" s="1">
        <v>44.46989916326968</v>
      </c>
      <c r="L67" s="1">
        <f>2240*0.0223809523809524</f>
        <v>50.133333333333375</v>
      </c>
      <c r="M67" s="1"/>
      <c r="N67" s="3"/>
      <c r="O67" s="1">
        <v>38.945454545454545</v>
      </c>
      <c r="P67" s="1"/>
      <c r="Q67" s="1"/>
      <c r="R67" s="1">
        <v>40</v>
      </c>
      <c r="S67" s="3"/>
      <c r="T67" s="1">
        <v>54.99999999999995</v>
      </c>
      <c r="U67" s="1">
        <f>20*2.71855560612957</f>
        <v>54.371112122591398</v>
      </c>
      <c r="V67" s="1"/>
      <c r="W67" s="1"/>
      <c r="X67" s="1">
        <v>46.756714795839152</v>
      </c>
      <c r="Y67" s="1">
        <v>60</v>
      </c>
      <c r="Z67" s="1">
        <f>20*1.15750795336123</f>
        <v>23.1501590672246</v>
      </c>
      <c r="AA67" s="1">
        <f>20*4.9412965798877</f>
        <v>98.825931597753993</v>
      </c>
      <c r="AB67" s="1">
        <f>20*1.66675</f>
        <v>33.335000000000001</v>
      </c>
      <c r="AC67" s="1">
        <f>20*1.65451263537906</f>
        <v>33.0902527075812</v>
      </c>
      <c r="AD67" s="3">
        <f>20*4.86819183313616</f>
        <v>97.363836662723202</v>
      </c>
      <c r="AE67" s="17">
        <v>70.360650144124989</v>
      </c>
    </row>
    <row r="68" spans="1:31" x14ac:dyDescent="0.25">
      <c r="A68" s="8">
        <f t="shared" si="2"/>
        <v>1901</v>
      </c>
      <c r="C68" s="1">
        <v>69.400000000000006</v>
      </c>
      <c r="D68" s="1">
        <v>57.62536210464085</v>
      </c>
      <c r="E68" s="1">
        <f>2240*0.0193452380952381</f>
        <v>43.333333333333343</v>
      </c>
      <c r="F68" s="1"/>
      <c r="G68" s="1"/>
      <c r="H68" s="1">
        <f>2240*0.0353164879228591</f>
        <v>79.108932947204394</v>
      </c>
      <c r="J68" s="1"/>
      <c r="K68" s="1">
        <v>40.424170274170272</v>
      </c>
      <c r="L68" s="1">
        <f>2240*0.0211678663713547</f>
        <v>47.416020671834531</v>
      </c>
      <c r="M68" s="1"/>
      <c r="N68" s="3">
        <v>47.41379310344827</v>
      </c>
      <c r="O68" s="1">
        <v>41.575757575757578</v>
      </c>
      <c r="P68" s="1"/>
      <c r="Q68" s="1"/>
      <c r="R68" s="1">
        <v>39.975155279503106</v>
      </c>
      <c r="S68" s="3"/>
      <c r="T68" s="1">
        <v>54.990494296577893</v>
      </c>
      <c r="U68" s="1">
        <f>20*3.19135382262226</f>
        <v>63.827076452445198</v>
      </c>
      <c r="V68" s="1"/>
      <c r="W68" s="1"/>
      <c r="X68" s="1">
        <v>46.699394534446085</v>
      </c>
      <c r="Y68" s="1">
        <v>46.670100437805822</v>
      </c>
      <c r="Z68" s="1">
        <f>20*1.42735118999549</f>
        <v>28.547023799909802</v>
      </c>
      <c r="AA68" s="1">
        <f>20*5</f>
        <v>100</v>
      </c>
      <c r="AB68" s="1">
        <f>20*1.66666666666667</f>
        <v>33.3333333333334</v>
      </c>
      <c r="AC68" s="1">
        <f>20*1.66666666666667</f>
        <v>33.3333333333334</v>
      </c>
      <c r="AD68" s="3">
        <f>20*5.66593406593407</f>
        <v>113.3186813186814</v>
      </c>
      <c r="AE68" s="17">
        <v>66.466231926989707</v>
      </c>
    </row>
    <row r="69" spans="1:31" x14ac:dyDescent="0.25">
      <c r="A69" s="8">
        <f t="shared" si="2"/>
        <v>1902</v>
      </c>
      <c r="C69" s="1">
        <v>56.8</v>
      </c>
      <c r="D69" s="1">
        <v>57.451463142045966</v>
      </c>
      <c r="E69" s="1">
        <f>2240*0.0178642885725719</f>
        <v>40.016006402561054</v>
      </c>
      <c r="F69" s="1"/>
      <c r="G69" s="1"/>
      <c r="H69" s="1">
        <f>2240*0.0238095238095238</f>
        <v>53.333333333333314</v>
      </c>
      <c r="J69" s="1"/>
      <c r="K69" s="1">
        <v>36.659122420040958</v>
      </c>
      <c r="L69" s="1">
        <f>2240*0.0169936801881246</f>
        <v>38.065843621399104</v>
      </c>
      <c r="M69" s="1"/>
      <c r="N69" s="1">
        <v>47.770700636942678</v>
      </c>
      <c r="O69" s="1"/>
      <c r="P69" s="1"/>
      <c r="Q69" s="1"/>
      <c r="R69" s="1">
        <v>40.015186028853449</v>
      </c>
      <c r="S69" s="3"/>
      <c r="T69" s="1">
        <v>44.917431192660516</v>
      </c>
      <c r="U69" s="1">
        <f>20*2.81218358621212</f>
        <v>56.243671724242397</v>
      </c>
      <c r="V69" s="1"/>
      <c r="W69" s="1"/>
      <c r="X69" s="1">
        <v>41.76484070593628</v>
      </c>
      <c r="Y69" s="1">
        <v>42.672985781990526</v>
      </c>
      <c r="Z69" s="1">
        <f>20*1.15919526538727</f>
        <v>23.183905307745398</v>
      </c>
      <c r="AA69" s="1">
        <f>20*3.24878048780488</f>
        <v>64.975609756097597</v>
      </c>
      <c r="AB69" s="1"/>
      <c r="AC69" s="1"/>
      <c r="AE69" s="17">
        <v>65.360215180244822</v>
      </c>
    </row>
    <row r="70" spans="1:31" x14ac:dyDescent="0.25">
      <c r="A70" s="8">
        <f t="shared" si="2"/>
        <v>1903</v>
      </c>
      <c r="C70" s="1">
        <v>54.800000000000004</v>
      </c>
      <c r="D70" s="1">
        <v>49.842109623565975</v>
      </c>
      <c r="E70" s="1">
        <f>2240*0.0193461664141639</f>
        <v>43.335412767727135</v>
      </c>
      <c r="F70" s="1"/>
      <c r="G70" s="1"/>
      <c r="H70" s="1">
        <f>2240*0.0178571428571429</f>
        <v>40.000000000000099</v>
      </c>
      <c r="J70" s="1"/>
      <c r="K70" s="1">
        <v>34.287019712662875</v>
      </c>
      <c r="L70" s="3">
        <f>2240*0.0165365557217651</f>
        <v>37.041884816753821</v>
      </c>
      <c r="M70" s="1"/>
      <c r="N70" s="1">
        <v>48.421052631578945</v>
      </c>
      <c r="O70" s="1"/>
      <c r="P70" s="1"/>
      <c r="Q70" s="1"/>
      <c r="R70" s="1">
        <v>42.022471910112358</v>
      </c>
      <c r="S70" s="3"/>
      <c r="T70" s="1">
        <v>45.009242144177406</v>
      </c>
      <c r="U70" s="1">
        <f>20*2.80586981693993</f>
        <v>56.117396338798599</v>
      </c>
      <c r="V70" s="1"/>
      <c r="W70" s="1"/>
      <c r="X70" s="1">
        <v>40.350877192982459</v>
      </c>
      <c r="Y70" s="1">
        <v>40.681481481481477</v>
      </c>
      <c r="Z70" s="1">
        <f>20*1.21154999674111</f>
        <v>24.230999934822201</v>
      </c>
      <c r="AA70" s="1"/>
      <c r="AC70" s="1"/>
      <c r="AE70" s="17">
        <v>65.449965634462131</v>
      </c>
    </row>
    <row r="71" spans="1:31" x14ac:dyDescent="0.25">
      <c r="A71" s="8">
        <f t="shared" si="2"/>
        <v>1904</v>
      </c>
      <c r="C71" s="1">
        <v>63</v>
      </c>
      <c r="D71" s="1">
        <v>51.87104793817219</v>
      </c>
      <c r="E71" s="1">
        <f>2240*0.0238095238095238</f>
        <v>53.333333333333314</v>
      </c>
      <c r="F71" s="1"/>
      <c r="G71" s="1"/>
      <c r="H71" s="1">
        <f>2240*0.0193453326435091</f>
        <v>43.333545121460382</v>
      </c>
      <c r="J71" s="1"/>
      <c r="K71" s="1">
        <v>37.131977245302537</v>
      </c>
      <c r="L71" s="1">
        <f>2240*0.0189055735930736</f>
        <v>42.348484848484858</v>
      </c>
      <c r="M71" s="1"/>
      <c r="N71" s="1">
        <v>61.871345029239762</v>
      </c>
      <c r="O71" s="1"/>
      <c r="P71" s="1"/>
      <c r="Q71" s="1"/>
      <c r="R71" s="1">
        <v>34.179301252471987</v>
      </c>
      <c r="S71" s="3"/>
      <c r="T71" s="1">
        <v>44.999999999999964</v>
      </c>
      <c r="U71" s="1">
        <f>20*3.25268029761556</f>
        <v>65.053605952311202</v>
      </c>
      <c r="V71" s="1"/>
      <c r="W71" s="1"/>
      <c r="X71" s="1">
        <v>42.731849200134242</v>
      </c>
      <c r="Y71" s="1">
        <v>46.445553272673905</v>
      </c>
      <c r="Z71" s="1">
        <f>20*2.21092236656702</f>
        <v>44.2184473313404</v>
      </c>
      <c r="AA71" s="1"/>
      <c r="AC71" s="1"/>
      <c r="AE71" s="17">
        <v>62.597251883235934</v>
      </c>
    </row>
    <row r="72" spans="1:31" x14ac:dyDescent="0.25">
      <c r="A72" s="8">
        <f t="shared" ref="A72:A135" si="4">A71+1</f>
        <v>1905</v>
      </c>
      <c r="C72" s="1">
        <v>55.4</v>
      </c>
      <c r="D72" s="1">
        <v>50.245350525442475</v>
      </c>
      <c r="E72" s="1">
        <f>2240*0.0267857142857143</f>
        <v>60.000000000000036</v>
      </c>
      <c r="F72" s="1"/>
      <c r="G72" s="1"/>
      <c r="H72" s="1">
        <f>2240*0.019345145787364</f>
        <v>43.333126563695366</v>
      </c>
      <c r="J72" s="1"/>
      <c r="K72" s="1">
        <v>39.208103638368243</v>
      </c>
      <c r="L72" s="1">
        <f>2240*0.0199117288961039</f>
        <v>44.602272727272734</v>
      </c>
      <c r="M72" s="1"/>
      <c r="N72" s="1"/>
      <c r="O72" s="1"/>
      <c r="P72" s="1"/>
      <c r="Q72" s="1"/>
      <c r="R72" s="1">
        <v>36.346356916578671</v>
      </c>
      <c r="S72" s="3">
        <v>46.186999999999998</v>
      </c>
      <c r="T72" s="1">
        <v>44.999999999999964</v>
      </c>
      <c r="U72" s="1">
        <f>20*2.69897238911323</f>
        <v>53.9794477822646</v>
      </c>
      <c r="V72" s="1"/>
      <c r="W72" s="1"/>
      <c r="X72" s="1">
        <v>54.66734097550011</v>
      </c>
      <c r="Y72" s="1">
        <v>53.333333333333343</v>
      </c>
      <c r="Z72" s="1">
        <f>20*2.16734693877551</f>
        <v>43.346938775510196</v>
      </c>
      <c r="AA72" s="1"/>
      <c r="AC72" s="1"/>
      <c r="AE72" s="17">
        <v>67.18198557851278</v>
      </c>
    </row>
    <row r="73" spans="1:31" x14ac:dyDescent="0.25">
      <c r="A73" s="8">
        <f t="shared" si="4"/>
        <v>1906</v>
      </c>
      <c r="C73" s="1">
        <v>52.800000000000004</v>
      </c>
      <c r="D73" s="1">
        <v>51.321510222839493</v>
      </c>
      <c r="E73" s="1">
        <f>2240*0.0208333333333333</f>
        <v>46.666666666666593</v>
      </c>
      <c r="F73" s="1"/>
      <c r="G73" s="1"/>
      <c r="H73" s="1">
        <f>2240*0.0202381659230608</f>
        <v>45.33349166765619</v>
      </c>
      <c r="J73" s="1"/>
      <c r="K73" s="1">
        <v>40.65660716425063</v>
      </c>
      <c r="L73" s="3">
        <f>2240*0.0192133815551537</f>
        <v>43.037974683544284</v>
      </c>
      <c r="M73" s="1"/>
      <c r="N73" s="1"/>
      <c r="O73" s="1"/>
      <c r="P73" s="1"/>
      <c r="Q73" s="1"/>
      <c r="R73" s="1"/>
      <c r="S73" s="3">
        <v>41.07779698691035</v>
      </c>
      <c r="T73" s="1">
        <v>44.999999999999957</v>
      </c>
      <c r="U73" s="1"/>
      <c r="V73" s="3"/>
      <c r="W73" s="1"/>
      <c r="X73" s="1">
        <v>47.928367563937542</v>
      </c>
      <c r="Y73" s="1">
        <v>49.333333333333336</v>
      </c>
      <c r="Z73" s="1">
        <f>20*2.59132075471698</f>
        <v>51.826415094339602</v>
      </c>
      <c r="AA73" s="1"/>
      <c r="AC73" s="1"/>
      <c r="AE73" s="17">
        <v>65.030956571955286</v>
      </c>
    </row>
    <row r="74" spans="1:31" x14ac:dyDescent="0.25">
      <c r="A74" s="8">
        <f t="shared" si="4"/>
        <v>1907</v>
      </c>
      <c r="C74" s="1">
        <v>46.2</v>
      </c>
      <c r="D74" s="1">
        <v>50.072924166289361</v>
      </c>
      <c r="E74" s="1">
        <f>2240*0.0193446703366581</f>
        <v>43.332061554114141</v>
      </c>
      <c r="F74" s="1"/>
      <c r="G74" s="1"/>
      <c r="H74" s="3">
        <f>2240*0.0208331264091537</f>
        <v>46.666203156504288</v>
      </c>
      <c r="J74" s="1"/>
      <c r="K74" s="1">
        <v>39.188149565729425</v>
      </c>
      <c r="L74" s="1">
        <f>2240*0.0234688503210273</f>
        <v>52.570224719101155</v>
      </c>
      <c r="M74" s="3"/>
      <c r="N74" s="1"/>
      <c r="O74" s="1"/>
      <c r="P74" s="1">
        <v>38.596491228070178</v>
      </c>
      <c r="Q74" s="1"/>
      <c r="R74" s="1"/>
      <c r="S74" s="3">
        <v>36.731372549019611</v>
      </c>
      <c r="T74" s="1">
        <v>44.947643979057553</v>
      </c>
      <c r="U74" s="1">
        <f>20*3.01904761904762</f>
        <v>60.380952380952394</v>
      </c>
      <c r="V74" s="3">
        <f>2240*0.0337202380952381</f>
        <v>75.533333333333346</v>
      </c>
      <c r="W74" s="1"/>
      <c r="X74" s="1">
        <v>53.333333333333329</v>
      </c>
      <c r="Y74" s="1">
        <v>58.675433581093955</v>
      </c>
      <c r="Z74" s="1">
        <f>20*2.66659663865546</f>
        <v>53.331932773109195</v>
      </c>
      <c r="AA74" s="1"/>
      <c r="AB74" s="1">
        <f>20*5</f>
        <v>100</v>
      </c>
      <c r="AC74" s="1"/>
      <c r="AE74" s="17">
        <v>58.249581312967464</v>
      </c>
    </row>
    <row r="75" spans="1:31" x14ac:dyDescent="0.25">
      <c r="A75" s="8">
        <f t="shared" si="4"/>
        <v>1908</v>
      </c>
      <c r="C75" s="1">
        <v>55.599999999999994</v>
      </c>
      <c r="D75" s="1">
        <v>53.385491058981984</v>
      </c>
      <c r="E75" s="1">
        <f>2240*0.0193456610461765</f>
        <v>43.334280743435357</v>
      </c>
      <c r="F75" s="1"/>
      <c r="G75" s="1"/>
      <c r="H75" s="3">
        <f>2240*0.0178571428571429</f>
        <v>40.000000000000099</v>
      </c>
      <c r="J75" s="1"/>
      <c r="K75" s="1">
        <v>36.544750834028356</v>
      </c>
      <c r="L75" s="1">
        <f>2240*0.0203987682594702</f>
        <v>45.693240901213251</v>
      </c>
      <c r="M75" s="1"/>
      <c r="N75" s="1">
        <v>55.555555555555557</v>
      </c>
      <c r="O75" s="1"/>
      <c r="Q75" s="1"/>
      <c r="R75" s="1"/>
      <c r="S75" s="3">
        <v>38.068405797101448</v>
      </c>
      <c r="T75" s="1">
        <v>45.217391304347785</v>
      </c>
      <c r="U75" s="1">
        <f>20*4.59722222222222</f>
        <v>91.9444444444444</v>
      </c>
      <c r="V75" s="3">
        <f>2240*0.0333294555607259</f>
        <v>74.65798045602601</v>
      </c>
      <c r="W75" s="1"/>
      <c r="X75" s="1">
        <v>42.666666666666664</v>
      </c>
      <c r="Y75" s="1">
        <v>53.514807813484559</v>
      </c>
      <c r="Z75" s="1">
        <f>20*2.66679810725552</f>
        <v>53.3359621451104</v>
      </c>
      <c r="AA75" s="1"/>
      <c r="AB75" s="1">
        <f>20*3.9375</f>
        <v>78.75</v>
      </c>
      <c r="AC75" s="1"/>
      <c r="AE75" s="17">
        <v>60.844436073601543</v>
      </c>
    </row>
    <row r="76" spans="1:31" x14ac:dyDescent="0.25">
      <c r="A76" s="8">
        <f t="shared" si="4"/>
        <v>1909</v>
      </c>
      <c r="C76" s="1">
        <v>50.599999999999994</v>
      </c>
      <c r="D76" s="1">
        <v>50.398628566721804</v>
      </c>
      <c r="E76" s="1">
        <f>2240*0.0222204118873827</f>
        <v>49.77372262773725</v>
      </c>
      <c r="F76" s="1"/>
      <c r="G76" s="1"/>
      <c r="H76" s="1">
        <f>2240*0.0184522428781301</f>
        <v>41.333024047011428</v>
      </c>
      <c r="J76" s="1"/>
      <c r="K76" s="1">
        <v>37.972156453110493</v>
      </c>
      <c r="L76" s="1">
        <f>2240*0.0211763904034896</f>
        <v>47.435114503816699</v>
      </c>
      <c r="M76" s="1"/>
      <c r="N76" s="1">
        <v>87.5</v>
      </c>
      <c r="O76" s="1"/>
      <c r="Q76" s="1"/>
      <c r="R76" s="1"/>
      <c r="S76" s="1"/>
      <c r="T76" s="1">
        <v>49.99999999999995</v>
      </c>
      <c r="U76" s="1">
        <f>20*3.99511002444988</f>
        <v>79.902200488997593</v>
      </c>
      <c r="V76" s="3">
        <f>2240*0.05</f>
        <v>112</v>
      </c>
      <c r="W76" s="1"/>
      <c r="X76" s="1">
        <v>51.999999999999993</v>
      </c>
      <c r="Y76" s="1">
        <v>47.4969696969697</v>
      </c>
      <c r="Z76" s="1">
        <f>20*2.86670812603648</f>
        <v>57.334162520729599</v>
      </c>
      <c r="AA76" s="1"/>
      <c r="AB76" s="1"/>
      <c r="AC76" s="1"/>
      <c r="AE76" s="17">
        <v>61.363278171788807</v>
      </c>
    </row>
    <row r="77" spans="1:31" x14ac:dyDescent="0.25">
      <c r="A77" s="8">
        <f t="shared" si="4"/>
        <v>1910</v>
      </c>
      <c r="C77" s="1">
        <v>49.2</v>
      </c>
      <c r="D77" s="1">
        <v>49.397338019495002</v>
      </c>
      <c r="E77" s="1">
        <f>2240*0.0256471957246294</f>
        <v>57.449718423169855</v>
      </c>
      <c r="F77" s="1"/>
      <c r="G77" s="1">
        <f>2240*0.0295758928571429</f>
        <v>66.250000000000099</v>
      </c>
      <c r="H77" s="1">
        <f>2240*0.0187500682925763</f>
        <v>42.000152975370916</v>
      </c>
      <c r="J77" s="1"/>
      <c r="K77" s="1">
        <v>45.794680361796715</v>
      </c>
      <c r="L77" s="1">
        <f>2240*0.0243303571428571</f>
        <v>54.499999999999908</v>
      </c>
      <c r="M77" s="3"/>
      <c r="N77" s="1">
        <v>74</v>
      </c>
      <c r="O77" s="1"/>
      <c r="P77" s="1">
        <f>AVERAGE(49.7343383170641,48.0769230769231)</f>
        <v>48.905630696993597</v>
      </c>
      <c r="Q77" s="1">
        <v>43.022820800598581</v>
      </c>
      <c r="R77" s="1"/>
      <c r="S77" s="1">
        <v>34.465534465534468</v>
      </c>
      <c r="T77" s="1">
        <v>94.999999999999915</v>
      </c>
      <c r="U77" s="1">
        <f>20*3.66071428571429</f>
        <v>73.214285714285808</v>
      </c>
      <c r="V77" s="1">
        <f>2240*0.05</f>
        <v>112</v>
      </c>
      <c r="W77" s="1"/>
      <c r="X77" s="1">
        <v>79.998063704133983</v>
      </c>
      <c r="Y77" s="1">
        <v>54.271617761620362</v>
      </c>
      <c r="Z77" s="1">
        <f>20*3.07809487080602</f>
        <v>61.561897416120395</v>
      </c>
      <c r="AA77" s="1"/>
      <c r="AB77" s="1">
        <f>20*4.33802816901408</f>
        <v>86.760563380281596</v>
      </c>
      <c r="AC77" s="1"/>
      <c r="AE77" s="17">
        <v>62.837026370650563</v>
      </c>
    </row>
    <row r="78" spans="1:31" x14ac:dyDescent="0.25">
      <c r="A78" s="8">
        <f t="shared" si="4"/>
        <v>1911</v>
      </c>
      <c r="C78" s="1">
        <v>63.2</v>
      </c>
      <c r="D78" s="1">
        <v>59.308819697300493</v>
      </c>
      <c r="E78" s="1">
        <f>2240*0.0353132361272624</f>
        <v>79.101648925067778</v>
      </c>
      <c r="F78" s="1"/>
      <c r="G78" s="1">
        <f>2240*0.0390625</f>
        <v>87.5</v>
      </c>
      <c r="H78" s="3">
        <f>2240*0.0238095238095238</f>
        <v>53.333333333333314</v>
      </c>
      <c r="I78" s="1">
        <f>2240*0.0324404761904762</f>
        <v>72.666666666666686</v>
      </c>
      <c r="J78" s="1"/>
      <c r="K78" s="1">
        <v>60.924552466889821</v>
      </c>
      <c r="L78" s="1">
        <f>2240*0.0270126776485788</f>
        <v>60.508397932816514</v>
      </c>
      <c r="M78" s="3"/>
      <c r="N78" s="1">
        <v>80</v>
      </c>
      <c r="O78" s="1"/>
      <c r="P78" s="1">
        <v>68.285912560721727</v>
      </c>
      <c r="Q78" s="1"/>
      <c r="R78" s="1"/>
      <c r="S78" s="1"/>
      <c r="T78" s="1">
        <v>93.880327868852461</v>
      </c>
      <c r="U78" s="1">
        <f>20*8.05</f>
        <v>161</v>
      </c>
      <c r="V78" s="1">
        <f>2240*0.05</f>
        <v>112</v>
      </c>
      <c r="W78" s="1"/>
      <c r="X78" s="1">
        <v>76.572465960665653</v>
      </c>
      <c r="Y78" s="1">
        <v>79.676985195154785</v>
      </c>
      <c r="Z78" s="1">
        <f>20*3.26018447348194</f>
        <v>65.203689469638803</v>
      </c>
      <c r="AA78" s="1"/>
      <c r="AB78" s="1">
        <f>20*3.75</f>
        <v>75</v>
      </c>
      <c r="AC78" s="1"/>
      <c r="AE78" s="17">
        <v>65.215446154072197</v>
      </c>
    </row>
    <row r="79" spans="1:31" x14ac:dyDescent="0.25">
      <c r="A79" s="8">
        <f t="shared" si="4"/>
        <v>1912</v>
      </c>
      <c r="C79" s="1">
        <v>74.800000000000011</v>
      </c>
      <c r="D79" s="1">
        <v>74.341069929640426</v>
      </c>
      <c r="E79" s="1">
        <f>2240*0.0386423839595273</f>
        <v>86.558940069341148</v>
      </c>
      <c r="F79" s="1"/>
      <c r="G79" s="1"/>
      <c r="H79" s="3">
        <f>2240*0.0238095238095238</f>
        <v>53.333333333333314</v>
      </c>
      <c r="I79" s="1">
        <f>2240*0.0357142857142857</f>
        <v>79.999999999999972</v>
      </c>
      <c r="J79" s="1"/>
      <c r="K79" s="1">
        <v>68.872711390635914</v>
      </c>
      <c r="L79" s="1">
        <f>2240*0.0377869897959184</f>
        <v>84.642857142857224</v>
      </c>
      <c r="M79" s="3"/>
      <c r="N79" s="1"/>
      <c r="O79" s="1"/>
      <c r="P79" s="1"/>
      <c r="R79" s="1"/>
      <c r="S79" s="1"/>
      <c r="T79" s="1">
        <v>93.830000000000013</v>
      </c>
      <c r="U79" s="1">
        <f>20*6.34156378600823</f>
        <v>126.8312757201646</v>
      </c>
      <c r="V79" s="1">
        <f>2240*0.0714285714285714</f>
        <v>159.99999999999994</v>
      </c>
      <c r="W79" s="1">
        <f>2240*0.0600150037509377</f>
        <v>134.43360840210045</v>
      </c>
      <c r="X79" s="1">
        <v>83.554999999999993</v>
      </c>
      <c r="Y79" s="1">
        <v>78.543726235741445</v>
      </c>
      <c r="Z79" s="1"/>
      <c r="AA79" s="1"/>
      <c r="AB79" s="1">
        <f>20*6.56</f>
        <v>131.19999999999999</v>
      </c>
      <c r="AC79" s="1"/>
      <c r="AE79" s="17">
        <v>74.450919800070508</v>
      </c>
    </row>
    <row r="80" spans="1:31" x14ac:dyDescent="0.25">
      <c r="A80" s="8">
        <f t="shared" si="4"/>
        <v>1913</v>
      </c>
      <c r="C80" s="1">
        <v>69</v>
      </c>
      <c r="D80" s="1">
        <v>71.604003792412072</v>
      </c>
      <c r="E80" s="1"/>
      <c r="F80" s="1"/>
      <c r="G80" s="1"/>
      <c r="H80" s="1">
        <f>2240*0.0238095238095238</f>
        <v>53.333333333333314</v>
      </c>
      <c r="I80" s="1">
        <f>2240*0.03359375</f>
        <v>75.25</v>
      </c>
      <c r="J80" s="1"/>
      <c r="K80" s="1">
        <v>60.427646316453696</v>
      </c>
      <c r="L80" s="1">
        <f>2240*0.0233928571428571</f>
        <v>52.399999999999906</v>
      </c>
      <c r="M80" s="3"/>
      <c r="N80" s="1"/>
      <c r="O80" s="1"/>
      <c r="P80" s="1"/>
      <c r="Q80" s="1"/>
      <c r="R80" s="1"/>
      <c r="S80" s="1"/>
      <c r="T80" s="1">
        <v>65.148750000000007</v>
      </c>
      <c r="U80" s="1"/>
      <c r="V80" s="1"/>
      <c r="W80" s="1"/>
      <c r="X80" s="1">
        <v>69.334171644137058</v>
      </c>
      <c r="Y80" s="1">
        <v>80</v>
      </c>
      <c r="Z80" s="1"/>
      <c r="AA80" s="1"/>
      <c r="AB80" s="1"/>
      <c r="AC80" s="1"/>
      <c r="AE80" s="17">
        <v>78.171459820659379</v>
      </c>
    </row>
    <row r="81" spans="1:31" x14ac:dyDescent="0.25">
      <c r="A81" s="8">
        <f t="shared" si="4"/>
        <v>1914</v>
      </c>
      <c r="C81" s="1">
        <v>68.400000000000006</v>
      </c>
      <c r="D81" s="1">
        <v>65.544573079248494</v>
      </c>
      <c r="E81" s="1"/>
      <c r="F81" s="1"/>
      <c r="G81" s="1"/>
      <c r="H81" s="1"/>
      <c r="I81" s="1"/>
      <c r="J81" s="1"/>
      <c r="K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E81" s="17">
        <v>78.830473258945744</v>
      </c>
    </row>
    <row r="82" spans="1:31" x14ac:dyDescent="0.25">
      <c r="A82" s="8">
        <f t="shared" si="4"/>
        <v>1915</v>
      </c>
      <c r="C82" s="1">
        <v>67.400000000000006</v>
      </c>
      <c r="D82" s="1">
        <v>62.718098350951912</v>
      </c>
      <c r="E82" s="1"/>
      <c r="F82" s="1"/>
      <c r="G82" s="1"/>
      <c r="H82" s="1"/>
      <c r="I82" s="1"/>
      <c r="J82" s="1"/>
      <c r="K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E82" s="17">
        <v>75.932353974255676</v>
      </c>
    </row>
    <row r="83" spans="1:31" x14ac:dyDescent="0.25">
      <c r="A83" s="8">
        <f t="shared" si="4"/>
        <v>1916</v>
      </c>
      <c r="C83" s="1">
        <v>58</v>
      </c>
      <c r="D83" s="1">
        <v>62.854779027751064</v>
      </c>
      <c r="E83" s="1"/>
      <c r="F83" s="1"/>
      <c r="G83" s="1"/>
      <c r="H83" s="1"/>
      <c r="I83" s="1"/>
      <c r="J83" s="1"/>
      <c r="K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E83" s="17">
        <v>74.47774287573931</v>
      </c>
    </row>
    <row r="84" spans="1:31" x14ac:dyDescent="0.25">
      <c r="A84" s="8">
        <f t="shared" si="4"/>
        <v>1917</v>
      </c>
      <c r="C84" s="1">
        <v>70</v>
      </c>
      <c r="D84" s="1">
        <v>70.262453322060168</v>
      </c>
      <c r="E84" s="1"/>
      <c r="F84" s="1"/>
      <c r="G84" s="1"/>
      <c r="H84" s="1"/>
      <c r="I84" s="1"/>
      <c r="J84" s="1"/>
      <c r="K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E84" s="17">
        <v>72.595682711123914</v>
      </c>
    </row>
    <row r="85" spans="1:31" x14ac:dyDescent="0.25">
      <c r="A85" s="8">
        <f t="shared" si="4"/>
        <v>1918</v>
      </c>
      <c r="C85" s="1">
        <v>89.2</v>
      </c>
      <c r="D85" s="1">
        <v>83.783837513667535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E85" s="17">
        <v>67.716854346291925</v>
      </c>
    </row>
    <row r="86" spans="1:31" x14ac:dyDescent="0.25">
      <c r="A86" s="8">
        <f t="shared" si="4"/>
        <v>1919</v>
      </c>
      <c r="C86" s="1">
        <v>112.4</v>
      </c>
      <c r="D86" s="1">
        <v>124.17743444950273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E86" s="17">
        <v>72.845806026434289</v>
      </c>
    </row>
    <row r="87" spans="1:31" x14ac:dyDescent="0.25">
      <c r="A87" s="8">
        <f t="shared" si="4"/>
        <v>1920</v>
      </c>
      <c r="C87" s="1">
        <v>120.8</v>
      </c>
      <c r="D87" s="1">
        <v>115.36719495201469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E87" s="17">
        <v>125.76597532295523</v>
      </c>
    </row>
    <row r="88" spans="1:31" hidden="1" x14ac:dyDescent="0.25">
      <c r="A88" s="8">
        <f t="shared" si="4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E88" s="1"/>
    </row>
    <row r="89" spans="1:31" hidden="1" x14ac:dyDescent="0.25">
      <c r="A89" s="8">
        <f t="shared" si="4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1" hidden="1" x14ac:dyDescent="0.25">
      <c r="A90" s="8">
        <f t="shared" si="4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31" hidden="1" x14ac:dyDescent="0.25">
      <c r="A91" s="8">
        <f t="shared" si="4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1" hidden="1" x14ac:dyDescent="0.25">
      <c r="A92" s="8">
        <f t="shared" si="4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1" hidden="1" x14ac:dyDescent="0.25">
      <c r="A93" s="8">
        <f t="shared" si="4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1" hidden="1" x14ac:dyDescent="0.25">
      <c r="A94" s="8">
        <f t="shared" si="4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U94" s="1"/>
      <c r="V94" s="1"/>
      <c r="W94" s="1"/>
      <c r="X94" s="1"/>
      <c r="Y94" s="1"/>
      <c r="Z94" s="1"/>
      <c r="AA94" s="1"/>
      <c r="AB94" s="1"/>
      <c r="AC94" s="1"/>
    </row>
    <row r="95" spans="1:31" hidden="1" x14ac:dyDescent="0.25">
      <c r="A95" s="8">
        <f t="shared" si="4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U95" s="1"/>
      <c r="V95" s="1"/>
      <c r="W95" s="1"/>
      <c r="X95" s="1"/>
      <c r="Y95" s="1"/>
      <c r="Z95" s="1"/>
      <c r="AA95" s="1"/>
      <c r="AB95" s="1"/>
      <c r="AC95" s="1"/>
    </row>
    <row r="96" spans="1:31" hidden="1" x14ac:dyDescent="0.25">
      <c r="A96" s="8">
        <f t="shared" si="4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idden="1" x14ac:dyDescent="0.25">
      <c r="A97" s="8">
        <f t="shared" si="4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idden="1" x14ac:dyDescent="0.25">
      <c r="A98" s="8">
        <f t="shared" si="4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idden="1" x14ac:dyDescent="0.25">
      <c r="A99" s="8">
        <f t="shared" si="4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idden="1" x14ac:dyDescent="0.25">
      <c r="A100" s="8">
        <f t="shared" si="4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idden="1" x14ac:dyDescent="0.25">
      <c r="A101" s="8">
        <f t="shared" si="4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idden="1" x14ac:dyDescent="0.25">
      <c r="A102" s="8">
        <f t="shared" si="4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idden="1" x14ac:dyDescent="0.25">
      <c r="A103" s="8">
        <f t="shared" si="4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idden="1" x14ac:dyDescent="0.25">
      <c r="A104" s="8">
        <f t="shared" si="4"/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idden="1" x14ac:dyDescent="0.25">
      <c r="A105" s="8">
        <f t="shared" si="4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idden="1" x14ac:dyDescent="0.25">
      <c r="A106" s="8">
        <f t="shared" si="4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idden="1" x14ac:dyDescent="0.25">
      <c r="A107" s="8">
        <f t="shared" si="4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idden="1" x14ac:dyDescent="0.25">
      <c r="A108" s="8">
        <f t="shared" si="4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idden="1" x14ac:dyDescent="0.25">
      <c r="A109" s="8">
        <f t="shared" si="4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idden="1" x14ac:dyDescent="0.25">
      <c r="A110" s="8">
        <f t="shared" si="4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idden="1" x14ac:dyDescent="0.25">
      <c r="A111" s="8">
        <f t="shared" si="4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idden="1" x14ac:dyDescent="0.25">
      <c r="A112" s="8">
        <f t="shared" si="4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idden="1" x14ac:dyDescent="0.25">
      <c r="A113" s="8">
        <f t="shared" si="4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idden="1" x14ac:dyDescent="0.25">
      <c r="A114" s="8">
        <f t="shared" si="4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idden="1" x14ac:dyDescent="0.25">
      <c r="A115" s="8">
        <f t="shared" si="4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idden="1" x14ac:dyDescent="0.25">
      <c r="A116" s="8">
        <f t="shared" si="4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idden="1" x14ac:dyDescent="0.25">
      <c r="A117" s="8">
        <f t="shared" si="4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idden="1" x14ac:dyDescent="0.25">
      <c r="A118" s="8">
        <f t="shared" si="4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idden="1" x14ac:dyDescent="0.25">
      <c r="A119" s="8">
        <f t="shared" si="4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idden="1" x14ac:dyDescent="0.25">
      <c r="A120" s="8">
        <f t="shared" si="4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idden="1" x14ac:dyDescent="0.25">
      <c r="A121" s="8">
        <f t="shared" si="4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idden="1" x14ac:dyDescent="0.25">
      <c r="A122" s="8">
        <f t="shared" si="4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idden="1" x14ac:dyDescent="0.25">
      <c r="A123" s="8">
        <f t="shared" si="4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idden="1" x14ac:dyDescent="0.25">
      <c r="A124" s="8">
        <f t="shared" si="4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idden="1" x14ac:dyDescent="0.25">
      <c r="A125" s="8">
        <f t="shared" si="4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idden="1" x14ac:dyDescent="0.25">
      <c r="A126" s="8">
        <f t="shared" si="4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idden="1" x14ac:dyDescent="0.25">
      <c r="A127" s="8">
        <f t="shared" si="4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idden="1" x14ac:dyDescent="0.25">
      <c r="A128" s="8">
        <f t="shared" si="4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idden="1" x14ac:dyDescent="0.25">
      <c r="A129" s="8">
        <f t="shared" si="4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idden="1" x14ac:dyDescent="0.25">
      <c r="A130" s="8">
        <f t="shared" si="4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idden="1" x14ac:dyDescent="0.25">
      <c r="A131" s="8">
        <f t="shared" si="4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idden="1" x14ac:dyDescent="0.25">
      <c r="A132" s="8">
        <f t="shared" si="4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idden="1" x14ac:dyDescent="0.25">
      <c r="A133" s="8">
        <f t="shared" si="4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idden="1" x14ac:dyDescent="0.25">
      <c r="A134" s="8">
        <f t="shared" si="4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idden="1" x14ac:dyDescent="0.25">
      <c r="A135" s="8">
        <f t="shared" si="4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idden="1" x14ac:dyDescent="0.25">
      <c r="A136" s="8">
        <f t="shared" ref="A136:A145" si="5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idden="1" x14ac:dyDescent="0.25">
      <c r="A137" s="8">
        <f t="shared" si="5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idden="1" x14ac:dyDescent="0.25">
      <c r="A138" s="8">
        <f t="shared" si="5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idden="1" x14ac:dyDescent="0.25">
      <c r="A139" s="8">
        <f t="shared" si="5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idden="1" x14ac:dyDescent="0.25">
      <c r="A140" s="8">
        <f t="shared" si="5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idden="1" x14ac:dyDescent="0.25">
      <c r="A141" s="8">
        <f t="shared" si="5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idden="1" x14ac:dyDescent="0.25">
      <c r="A142" s="8">
        <f t="shared" si="5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idden="1" x14ac:dyDescent="0.25">
      <c r="A143" s="8">
        <f t="shared" si="5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idden="1" x14ac:dyDescent="0.25">
      <c r="A144" s="8">
        <f t="shared" si="5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idden="1" x14ac:dyDescent="0.25">
      <c r="A145" s="8">
        <f t="shared" si="5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6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C153" s="1"/>
      <c r="D153" s="1"/>
      <c r="E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3:29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3:29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3:29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3:29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3:29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3:29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3:29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3:29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3:29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3:29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3:29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3:29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3:29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3:29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3:29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3:29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3:29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3:29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3:29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3:29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3:29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3:29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3:29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3:29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3:29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3:29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3:29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3:29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3:29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3:29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3:29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3:29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3:29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3:29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3:29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3:29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3:29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3:29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3:29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3:29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3:29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3:29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3:29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3:29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3:29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3:29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3:29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3:29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3:29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3:29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3:29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3:29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3:29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3:29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3:29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3:29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3:29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3:29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3:29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3:29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3:29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3:29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3:29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3:29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3:29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3:29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3:29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3:29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3:29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3:29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3:29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3:29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3:29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3:29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3:29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3:29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3:29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3:29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3:29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3:29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3:29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3:29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3:29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3:29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3:29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3:29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3:29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3:29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3:29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3:29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3:29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3:29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3:29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3:29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3:29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T3" sqref="T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/>
  </sheetViews>
  <sheetFormatPr defaultRowHeight="13.2" x14ac:dyDescent="0.25"/>
  <sheetData>
    <row r="2" spans="2:2" x14ac:dyDescent="0.25">
      <c r="B2" s="1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J31" sqref="J31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Coffee (All)</vt:lpstr>
      <vt:lpstr>Graphs (All)</vt:lpstr>
      <vt:lpstr>Collective Graph (All)</vt:lpstr>
      <vt:lpstr>Coffee (Adjusted)</vt:lpstr>
      <vt:lpstr>Graph - 1</vt:lpstr>
      <vt:lpstr>Graph - 2</vt:lpstr>
      <vt:lpstr>Graph - 3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2018-11-18T12:10:54Z</dcterms:modified>
</cp:coreProperties>
</file>