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drawings/drawing2.xml" ContentType="application/vnd.openxmlformats-officedocument.drawing+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comments2.xml" ContentType="application/vnd.openxmlformats-officedocument.spreadsheetml.comments+xml"/>
  <Override PartName="/xl/drawings/drawing3.xml" ContentType="application/vnd.openxmlformats-officedocument.drawing+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drawings/drawing4.xml" ContentType="application/vnd.openxmlformats-officedocument.drawing+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5.xml" ContentType="application/vnd.openxmlformats-officedocument.drawing+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drawings/drawing6.xml" ContentType="application/vnd.openxmlformats-officedocument.drawing+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7.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gm12\Dropbox\REFdata\20180215 Files added by Mustafa\Commodity Tables\Updated\"/>
    </mc:Choice>
  </mc:AlternateContent>
  <bookViews>
    <workbookView xWindow="600" yWindow="456" windowWidth="19680" windowHeight="8088" tabRatio="733"/>
  </bookViews>
  <sheets>
    <sheet name="Intro" sheetId="13" r:id="rId1"/>
    <sheet name="Wheat (All)" sheetId="1" r:id="rId2"/>
    <sheet name="Graphs (All)" sheetId="2" r:id="rId3"/>
    <sheet name="Collective Graph (All)" sheetId="3" r:id="rId4"/>
    <sheet name="Wheat (Adjusted)" sheetId="26" r:id="rId5"/>
    <sheet name="Graph - 1" sheetId="17" r:id="rId6"/>
    <sheet name="Graph - 2" sheetId="18" r:id="rId7"/>
    <sheet name="Graph - 3" sheetId="19" r:id="rId8"/>
    <sheet name="Graph - 4" sheetId="21" r:id="rId9"/>
    <sheet name="Graph - 5" sheetId="22" r:id="rId10"/>
  </sheets>
  <calcPr calcId="152511"/>
</workbook>
</file>

<file path=xl/calcChain.xml><?xml version="1.0" encoding="utf-8"?>
<calcChain xmlns="http://schemas.openxmlformats.org/spreadsheetml/2006/main">
  <c r="AY6" i="26" l="1"/>
  <c r="AX6" i="26"/>
  <c r="L6" i="26" l="1"/>
  <c r="M6" i="26"/>
  <c r="L51" i="26"/>
  <c r="M51" i="26"/>
  <c r="Y78" i="26"/>
  <c r="AC80" i="26"/>
  <c r="J80" i="26"/>
  <c r="I80" i="26"/>
  <c r="AW79" i="26"/>
  <c r="AV79" i="26"/>
  <c r="AO79" i="26"/>
  <c r="AJ79" i="26"/>
  <c r="AI79" i="26"/>
  <c r="AH79" i="26"/>
  <c r="AE79" i="26"/>
  <c r="AD79" i="26"/>
  <c r="AC79" i="26"/>
  <c r="Q79" i="26"/>
  <c r="P79" i="26"/>
  <c r="O79" i="26"/>
  <c r="K79" i="26"/>
  <c r="J79" i="26"/>
  <c r="I79" i="26"/>
  <c r="H79" i="26"/>
  <c r="AW78" i="26"/>
  <c r="AV78" i="26"/>
  <c r="AS78" i="26"/>
  <c r="AR78" i="26"/>
  <c r="AO78" i="26"/>
  <c r="AJ78" i="26"/>
  <c r="AI78" i="26"/>
  <c r="AH78" i="26"/>
  <c r="AE78" i="26"/>
  <c r="AD78" i="26"/>
  <c r="AC78" i="26"/>
  <c r="X78" i="26"/>
  <c r="P78" i="26"/>
  <c r="K78" i="26"/>
  <c r="J78" i="26"/>
  <c r="I78" i="26"/>
  <c r="H78" i="26"/>
  <c r="AW77" i="26"/>
  <c r="AV77" i="26"/>
  <c r="AS77" i="26"/>
  <c r="AR77" i="26"/>
  <c r="AO77" i="26"/>
  <c r="AN77" i="26"/>
  <c r="AM77" i="26"/>
  <c r="AK77" i="26"/>
  <c r="AJ77" i="26"/>
  <c r="AI77" i="26"/>
  <c r="AH77" i="26"/>
  <c r="AE77" i="26"/>
  <c r="AD77" i="26"/>
  <c r="AC77" i="26"/>
  <c r="X77" i="26"/>
  <c r="Q77" i="26"/>
  <c r="O77" i="26"/>
  <c r="J77" i="26"/>
  <c r="I77" i="26"/>
  <c r="H77" i="26"/>
  <c r="AV76" i="26"/>
  <c r="AR76" i="26"/>
  <c r="AN76" i="26"/>
  <c r="AM76" i="26"/>
  <c r="AK76" i="26"/>
  <c r="AH76" i="26"/>
  <c r="AE76" i="26"/>
  <c r="AD76" i="26"/>
  <c r="AC76" i="26"/>
  <c r="P76" i="26"/>
  <c r="J76" i="26"/>
  <c r="I76" i="26"/>
  <c r="H76" i="26"/>
  <c r="AW75" i="26"/>
  <c r="AV75" i="26"/>
  <c r="AR75" i="26"/>
  <c r="AN75" i="26"/>
  <c r="AM75" i="26"/>
  <c r="AK75" i="26"/>
  <c r="AH75" i="26"/>
  <c r="AE75" i="26"/>
  <c r="AD75" i="26"/>
  <c r="AC75" i="26"/>
  <c r="P75" i="26"/>
  <c r="J75" i="26"/>
  <c r="H75" i="26"/>
  <c r="AW74" i="26"/>
  <c r="AV74" i="26"/>
  <c r="AR74" i="26"/>
  <c r="AM74" i="26"/>
  <c r="AK74" i="26"/>
  <c r="AD74" i="26"/>
  <c r="AC74" i="26"/>
  <c r="X74" i="26"/>
  <c r="O74" i="26"/>
  <c r="J74" i="26"/>
  <c r="H74" i="26"/>
  <c r="AR73" i="26"/>
  <c r="AM73" i="26"/>
  <c r="AK73" i="26"/>
  <c r="AD73" i="26"/>
  <c r="AC73" i="26"/>
  <c r="P73" i="26"/>
  <c r="J73" i="26"/>
  <c r="I73" i="26"/>
  <c r="H73" i="26"/>
  <c r="F73" i="26"/>
  <c r="AR72" i="26"/>
  <c r="AD72" i="26"/>
  <c r="AC72" i="26"/>
  <c r="J72" i="26"/>
  <c r="I72" i="26"/>
  <c r="H72" i="26"/>
  <c r="F72" i="26"/>
  <c r="AR71" i="26"/>
  <c r="AI71" i="26"/>
  <c r="AG71" i="26"/>
  <c r="AD71" i="26"/>
  <c r="AC71" i="26"/>
  <c r="J71" i="26"/>
  <c r="I71" i="26"/>
  <c r="H71" i="26"/>
  <c r="AR70" i="26"/>
  <c r="AG70" i="26"/>
  <c r="AE70" i="26"/>
  <c r="AD70" i="26"/>
  <c r="AC70" i="26"/>
  <c r="J70" i="26"/>
  <c r="I70" i="26"/>
  <c r="H70" i="26"/>
  <c r="AT69" i="26"/>
  <c r="AR69" i="26"/>
  <c r="AI69" i="26"/>
  <c r="AE69" i="26"/>
  <c r="AD69" i="26"/>
  <c r="AC69" i="26"/>
  <c r="O69" i="26"/>
  <c r="J69" i="26"/>
  <c r="I69" i="26"/>
  <c r="H69" i="26"/>
  <c r="F69" i="26"/>
  <c r="AT68" i="26"/>
  <c r="AR68" i="26"/>
  <c r="AC68" i="26"/>
  <c r="Y68" i="26"/>
  <c r="J68" i="26"/>
  <c r="I68" i="26"/>
  <c r="H68" i="26"/>
  <c r="F68" i="26"/>
  <c r="AU67" i="26"/>
  <c r="AR67" i="26"/>
  <c r="AC67" i="26"/>
  <c r="Y67" i="26"/>
  <c r="J67" i="26"/>
  <c r="I67" i="26"/>
  <c r="F67" i="26"/>
  <c r="AW66" i="26"/>
  <c r="AV66" i="26"/>
  <c r="AU66" i="26"/>
  <c r="AR66" i="26"/>
  <c r="AC66" i="26"/>
  <c r="J66" i="26"/>
  <c r="I66" i="26"/>
  <c r="F66" i="26"/>
  <c r="AW65" i="26"/>
  <c r="AV65" i="26"/>
  <c r="AU65" i="26"/>
  <c r="AR65" i="26"/>
  <c r="AC65" i="26"/>
  <c r="P65" i="26"/>
  <c r="J65" i="26"/>
  <c r="I65" i="26"/>
  <c r="AW64" i="26"/>
  <c r="AV64" i="26"/>
  <c r="AU64" i="26"/>
  <c r="AT64" i="26"/>
  <c r="AR64" i="26"/>
  <c r="AC64" i="26"/>
  <c r="J64" i="26"/>
  <c r="AW63" i="26"/>
  <c r="AV63" i="26"/>
  <c r="AU63" i="26"/>
  <c r="AR63" i="26"/>
  <c r="AC63" i="26"/>
  <c r="Y63" i="26"/>
  <c r="P63" i="26"/>
  <c r="J63" i="26"/>
  <c r="H63" i="26"/>
  <c r="AU62" i="26"/>
  <c r="AR62" i="26"/>
  <c r="AC62" i="26"/>
  <c r="Y62" i="26"/>
  <c r="P62" i="26"/>
  <c r="J62" i="26"/>
  <c r="H62" i="26"/>
  <c r="AU61" i="26"/>
  <c r="AS61" i="26"/>
  <c r="AR61" i="26"/>
  <c r="AC61" i="26"/>
  <c r="Y61" i="26"/>
  <c r="J61" i="26"/>
  <c r="H61" i="26"/>
  <c r="AU60" i="26"/>
  <c r="AS60" i="26"/>
  <c r="AR60" i="26"/>
  <c r="AM60" i="26"/>
  <c r="AK60" i="26"/>
  <c r="AC60" i="26"/>
  <c r="Y60" i="26"/>
  <c r="J60" i="26"/>
  <c r="AU59" i="26"/>
  <c r="AS59" i="26"/>
  <c r="AR59" i="26"/>
  <c r="AL59" i="26"/>
  <c r="AC59" i="26"/>
  <c r="Y59" i="26"/>
  <c r="J59" i="26"/>
  <c r="F59" i="26"/>
  <c r="AU58" i="26"/>
  <c r="AS58" i="26"/>
  <c r="AR58" i="26"/>
  <c r="AC58" i="26"/>
  <c r="P58" i="26"/>
  <c r="J58" i="26"/>
  <c r="F58" i="26"/>
  <c r="AU57" i="26"/>
  <c r="AS57" i="26"/>
  <c r="AR57" i="26"/>
  <c r="AC57" i="26"/>
  <c r="Y57" i="26"/>
  <c r="X57" i="26"/>
  <c r="P57" i="26"/>
  <c r="J57" i="26"/>
  <c r="I57" i="26"/>
  <c r="F57" i="26"/>
  <c r="AS56" i="26"/>
  <c r="AR56" i="26"/>
  <c r="AF56" i="26"/>
  <c r="AC56" i="26"/>
  <c r="Y56" i="26"/>
  <c r="X56" i="26"/>
  <c r="P56" i="26"/>
  <c r="J56" i="26"/>
  <c r="I56" i="26"/>
  <c r="F56" i="26"/>
  <c r="AS55" i="26"/>
  <c r="AR55" i="26"/>
  <c r="AC55" i="26"/>
  <c r="P55" i="26"/>
  <c r="J55" i="26"/>
  <c r="I55" i="26"/>
  <c r="F55" i="26"/>
  <c r="AS54" i="26"/>
  <c r="AR54" i="26"/>
  <c r="AC54" i="26"/>
  <c r="P54" i="26"/>
  <c r="I54" i="26"/>
  <c r="F54" i="26"/>
  <c r="AS53" i="26"/>
  <c r="AR53" i="26"/>
  <c r="AC53" i="26"/>
  <c r="P53" i="26"/>
  <c r="AS52" i="26"/>
  <c r="AR52" i="26"/>
  <c r="AC52" i="26"/>
  <c r="Y52" i="26"/>
  <c r="P52" i="26"/>
  <c r="AS51" i="26"/>
  <c r="AR51" i="26"/>
  <c r="Y51" i="26"/>
  <c r="P51" i="26"/>
  <c r="AS50" i="26"/>
  <c r="AR50" i="26"/>
  <c r="AC50" i="26"/>
  <c r="P50" i="26"/>
  <c r="AS49" i="26"/>
  <c r="AR49" i="26"/>
  <c r="AC49" i="26"/>
  <c r="P49" i="26"/>
  <c r="AS48" i="26"/>
  <c r="AR48" i="26"/>
  <c r="AC48" i="26"/>
  <c r="P48" i="26"/>
  <c r="AS47" i="26"/>
  <c r="AR47" i="26"/>
  <c r="AC47" i="26"/>
  <c r="AB47" i="26"/>
  <c r="P47" i="26"/>
  <c r="AS46" i="26"/>
  <c r="AR46" i="26"/>
  <c r="AC46" i="26"/>
  <c r="P46" i="26"/>
  <c r="O46" i="26"/>
  <c r="H46" i="26"/>
  <c r="AS45" i="26"/>
  <c r="AR45" i="26"/>
  <c r="AC45" i="26"/>
  <c r="P45" i="26"/>
  <c r="H45" i="26"/>
  <c r="AS44" i="26"/>
  <c r="AR44" i="26"/>
  <c r="P44" i="26"/>
  <c r="O44" i="26"/>
  <c r="H44" i="26"/>
  <c r="F44" i="26"/>
  <c r="AS43" i="26"/>
  <c r="AR43" i="26"/>
  <c r="AL43" i="26"/>
  <c r="P43" i="26"/>
  <c r="H43" i="26"/>
  <c r="AS42" i="26"/>
  <c r="AR42" i="26"/>
  <c r="AL42" i="26"/>
  <c r="AM42" i="26"/>
  <c r="P42" i="26"/>
  <c r="H42" i="26"/>
  <c r="AS41" i="26"/>
  <c r="AR41" i="26"/>
  <c r="AL41" i="26"/>
  <c r="AM41" i="26"/>
  <c r="P41" i="26"/>
  <c r="H41" i="26"/>
  <c r="AM40" i="26"/>
  <c r="P40" i="26"/>
  <c r="I40" i="26"/>
  <c r="Y39" i="26"/>
  <c r="H38" i="26"/>
  <c r="H37" i="26"/>
  <c r="F37" i="26"/>
  <c r="H36" i="26"/>
  <c r="F36" i="26"/>
  <c r="K35" i="26"/>
  <c r="H35" i="26"/>
  <c r="F35" i="26"/>
  <c r="K34" i="26"/>
  <c r="H34" i="26"/>
  <c r="F34" i="26"/>
  <c r="K33" i="26"/>
  <c r="H33" i="26"/>
  <c r="F33" i="26"/>
  <c r="K32" i="26"/>
  <c r="H32" i="26"/>
  <c r="F32" i="26"/>
  <c r="K31" i="26"/>
  <c r="H31" i="26"/>
  <c r="Q30" i="26"/>
  <c r="P30" i="26"/>
  <c r="H30" i="26"/>
  <c r="Y29" i="26"/>
  <c r="Q29" i="26"/>
  <c r="P29" i="26"/>
  <c r="H29" i="26"/>
  <c r="P28" i="26"/>
  <c r="H28" i="26"/>
  <c r="P27" i="26"/>
  <c r="P26" i="26"/>
  <c r="P25" i="26"/>
  <c r="P24" i="26"/>
  <c r="P23" i="26"/>
  <c r="Y13" i="26"/>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W6" i="26"/>
  <c r="AV6" i="26"/>
  <c r="AU6" i="26"/>
  <c r="AT6" i="26"/>
  <c r="AS6" i="26"/>
  <c r="AR6" i="26"/>
  <c r="AQ6" i="26"/>
  <c r="AP6" i="26"/>
  <c r="AO6"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K6" i="26"/>
  <c r="J6" i="26"/>
  <c r="I6" i="26"/>
  <c r="H6" i="26"/>
  <c r="G6" i="26"/>
  <c r="F6" i="26"/>
  <c r="E6" i="26"/>
  <c r="D6" i="26"/>
  <c r="C6" i="26"/>
  <c r="AL78" i="1" l="1"/>
  <c r="AL77" i="1"/>
  <c r="AM78" i="1"/>
  <c r="AM68" i="1"/>
  <c r="AM67" i="1"/>
  <c r="AM63" i="1"/>
  <c r="AM62" i="1"/>
  <c r="AM61" i="1"/>
  <c r="AM60" i="1"/>
  <c r="AM59" i="1"/>
  <c r="AO74" i="1"/>
  <c r="AP78" i="1" l="1"/>
  <c r="AO57" i="1"/>
  <c r="AO56" i="1"/>
  <c r="AP57" i="1"/>
  <c r="AP56" i="1"/>
  <c r="AM52" i="1"/>
  <c r="AM51" i="1"/>
  <c r="AP39" i="1"/>
  <c r="AP29" i="1"/>
  <c r="AP13" i="1"/>
  <c r="M51" i="1" l="1"/>
  <c r="L51" i="1"/>
  <c r="K31" i="1"/>
  <c r="K32" i="1" l="1"/>
  <c r="K33" i="1"/>
  <c r="K35" i="1" l="1"/>
  <c r="K34" i="1"/>
  <c r="K79" i="1"/>
  <c r="K78" i="1"/>
  <c r="J80" i="1"/>
  <c r="J79" i="1"/>
  <c r="J78" i="1"/>
  <c r="J77" i="1"/>
  <c r="J76" i="1"/>
  <c r="J75" i="1"/>
  <c r="J74" i="1"/>
  <c r="J73" i="1"/>
  <c r="J72" i="1"/>
  <c r="J71" i="1"/>
  <c r="J70" i="1"/>
  <c r="J69" i="1"/>
  <c r="J68" i="1"/>
  <c r="J67" i="1"/>
  <c r="J66" i="1"/>
  <c r="J65" i="1"/>
  <c r="J64" i="1"/>
  <c r="J63" i="1"/>
  <c r="J62" i="1"/>
  <c r="J61" i="1"/>
  <c r="J60" i="1"/>
  <c r="J59" i="1"/>
  <c r="J58" i="1"/>
  <c r="J57" i="1"/>
  <c r="J56" i="1"/>
  <c r="J55" i="1"/>
  <c r="I80" i="1"/>
  <c r="I79" i="1"/>
  <c r="I78" i="1"/>
  <c r="I77" i="1"/>
  <c r="I76" i="1"/>
  <c r="I73" i="1"/>
  <c r="I72" i="1"/>
  <c r="I71" i="1"/>
  <c r="I70" i="1"/>
  <c r="I69" i="1"/>
  <c r="I68" i="1"/>
  <c r="I67" i="1"/>
  <c r="I66" i="1"/>
  <c r="I65" i="1"/>
  <c r="I57" i="1"/>
  <c r="I56" i="1"/>
  <c r="I55" i="1"/>
  <c r="I54" i="1"/>
  <c r="I40" i="1"/>
  <c r="F32" i="1"/>
  <c r="F73" i="1" l="1"/>
  <c r="F72" i="1"/>
  <c r="F69" i="1"/>
  <c r="F68" i="1"/>
  <c r="F67" i="1"/>
  <c r="F66" i="1"/>
  <c r="F59" i="1"/>
  <c r="F58" i="1"/>
  <c r="F57" i="1"/>
  <c r="F56" i="1"/>
  <c r="F55" i="1"/>
  <c r="F54" i="1"/>
  <c r="F44" i="1"/>
  <c r="F37" i="1"/>
  <c r="F36" i="1"/>
  <c r="F35" i="1"/>
  <c r="F34" i="1"/>
  <c r="F33" i="1"/>
  <c r="H79" i="1"/>
  <c r="H78" i="1"/>
  <c r="H77" i="1"/>
  <c r="H76" i="1"/>
  <c r="H75" i="1"/>
  <c r="H74" i="1"/>
  <c r="H73" i="1"/>
  <c r="H72" i="1"/>
  <c r="H71" i="1"/>
  <c r="H70" i="1"/>
  <c r="H69" i="1"/>
  <c r="H68" i="1"/>
  <c r="H63" i="1"/>
  <c r="H62" i="1"/>
  <c r="H61" i="1"/>
  <c r="H46" i="1"/>
  <c r="H45" i="1"/>
  <c r="H44" i="1"/>
  <c r="H43" i="1"/>
  <c r="H42" i="1"/>
  <c r="H41" i="1"/>
  <c r="H38" i="1"/>
  <c r="H37" i="1"/>
  <c r="H36" i="1"/>
  <c r="H35" i="1"/>
  <c r="H34" i="1"/>
  <c r="H33" i="1"/>
  <c r="H32" i="1"/>
  <c r="H31" i="1"/>
  <c r="H30" i="1"/>
  <c r="H29" i="1"/>
  <c r="H28" i="1"/>
  <c r="U30" i="1" l="1"/>
  <c r="U29" i="1"/>
  <c r="U77" i="1"/>
  <c r="U79" i="1"/>
  <c r="T79" i="1"/>
  <c r="T78" i="1"/>
  <c r="T76" i="1"/>
  <c r="T75" i="1"/>
  <c r="T73" i="1"/>
  <c r="T65" i="1"/>
  <c r="T63" i="1"/>
  <c r="T62" i="1"/>
  <c r="T58" i="1"/>
  <c r="T57" i="1"/>
  <c r="T56" i="1"/>
  <c r="T55" i="1"/>
  <c r="T54" i="1"/>
  <c r="T53" i="1"/>
  <c r="T52" i="1"/>
  <c r="T51" i="1"/>
  <c r="T50" i="1"/>
  <c r="T49" i="1"/>
  <c r="T48" i="1"/>
  <c r="T47" i="1"/>
  <c r="T46" i="1"/>
  <c r="T45" i="1"/>
  <c r="T44" i="1"/>
  <c r="T43" i="1"/>
  <c r="T42" i="1"/>
  <c r="T41" i="1"/>
  <c r="T40" i="1"/>
  <c r="T30" i="1"/>
  <c r="T29" i="1"/>
  <c r="T28" i="1"/>
  <c r="T27" i="1"/>
  <c r="T26" i="1"/>
  <c r="T25" i="1"/>
  <c r="T24" i="1"/>
  <c r="T23" i="1"/>
  <c r="S79" i="1"/>
  <c r="S77" i="1"/>
  <c r="S74" i="1"/>
  <c r="S69" i="1"/>
  <c r="S46" i="1"/>
  <c r="S44" i="1"/>
  <c r="CT69" i="1" l="1"/>
  <c r="CT68" i="1"/>
  <c r="CT64" i="1"/>
  <c r="CU67" i="1"/>
  <c r="CU66" i="1"/>
  <c r="CU65" i="1"/>
  <c r="CU64" i="1"/>
  <c r="CU63" i="1"/>
  <c r="CU62" i="1"/>
  <c r="CU61" i="1"/>
  <c r="CU60" i="1"/>
  <c r="CU59" i="1"/>
  <c r="CU58" i="1"/>
  <c r="CU57" i="1"/>
  <c r="CW63" i="1"/>
  <c r="CX79" i="1" l="1"/>
  <c r="CX78" i="1"/>
  <c r="CX77" i="1"/>
  <c r="CX75" i="1"/>
  <c r="CX74" i="1"/>
  <c r="CW79" i="1"/>
  <c r="CW78" i="1"/>
  <c r="CW77" i="1"/>
  <c r="CW76" i="1"/>
  <c r="CW75" i="1"/>
  <c r="CW74" i="1"/>
  <c r="CX66" i="1"/>
  <c r="CX65" i="1"/>
  <c r="CX64" i="1"/>
  <c r="CX63" i="1"/>
  <c r="CW66" i="1"/>
  <c r="CW65" i="1"/>
  <c r="CW64" i="1"/>
  <c r="BA47" i="1" l="1"/>
  <c r="BB80" i="1"/>
  <c r="BB79" i="1"/>
  <c r="BB78" i="1"/>
  <c r="BB77" i="1"/>
  <c r="BB76" i="1"/>
  <c r="BB75" i="1"/>
  <c r="BB74" i="1"/>
  <c r="BB73" i="1"/>
  <c r="BB72" i="1"/>
  <c r="BB71" i="1"/>
  <c r="BB70" i="1"/>
  <c r="BB69" i="1"/>
  <c r="BB68" i="1"/>
  <c r="BB67" i="1"/>
  <c r="BB66" i="1"/>
  <c r="BB65" i="1"/>
  <c r="BB64" i="1"/>
  <c r="BB63" i="1"/>
  <c r="BB62" i="1"/>
  <c r="BB61" i="1"/>
  <c r="BB60" i="1"/>
  <c r="BB59" i="1"/>
  <c r="BB58" i="1"/>
  <c r="BB57" i="1"/>
  <c r="BB56" i="1"/>
  <c r="BB55" i="1"/>
  <c r="BB54" i="1"/>
  <c r="BB53" i="1"/>
  <c r="BB52" i="1"/>
  <c r="BB50" i="1"/>
  <c r="BB49" i="1"/>
  <c r="BB48" i="1"/>
  <c r="BB47" i="1"/>
  <c r="BB46" i="1"/>
  <c r="BB45" i="1"/>
  <c r="BL56" i="1" l="1"/>
  <c r="BK79" i="1" l="1"/>
  <c r="BK78" i="1"/>
  <c r="BK77" i="1"/>
  <c r="BK76" i="1"/>
  <c r="BK75" i="1"/>
  <c r="BK70" i="1"/>
  <c r="BK69" i="1"/>
  <c r="BJ79" i="1"/>
  <c r="BJ78" i="1"/>
  <c r="BJ77" i="1"/>
  <c r="BJ76" i="1"/>
  <c r="BJ75" i="1"/>
  <c r="BJ74" i="1"/>
  <c r="BJ73" i="1"/>
  <c r="BJ72" i="1"/>
  <c r="BJ71" i="1"/>
  <c r="BJ70" i="1"/>
  <c r="BJ69" i="1"/>
  <c r="BO71" i="1" l="1"/>
  <c r="BO69" i="1"/>
  <c r="BN75" i="1"/>
  <c r="BN79" i="1" l="1"/>
  <c r="BN78" i="1"/>
  <c r="BN77" i="1"/>
  <c r="BN76" i="1"/>
  <c r="BM70" i="1"/>
  <c r="BM71" i="1"/>
  <c r="BR79" i="1" l="1"/>
  <c r="BR78" i="1"/>
  <c r="BR77" i="1"/>
  <c r="BT77" i="1"/>
  <c r="BT79" i="1" l="1"/>
  <c r="BT78" i="1"/>
  <c r="CK79" i="1" l="1"/>
  <c r="CK78" i="1"/>
  <c r="CK77" i="1"/>
  <c r="CI76" i="1"/>
  <c r="BX59" i="1" l="1"/>
  <c r="BX41" i="1"/>
  <c r="BW41" i="1"/>
  <c r="BW60" i="1"/>
  <c r="BW42" i="1"/>
  <c r="BW40" i="1"/>
  <c r="BV60" i="1"/>
  <c r="CB77" i="1" l="1"/>
  <c r="CB76" i="1"/>
  <c r="CB75" i="1"/>
  <c r="CB74" i="1"/>
  <c r="CB73" i="1"/>
  <c r="CD43" i="1"/>
  <c r="CD42" i="1"/>
  <c r="CF77" i="1" l="1"/>
  <c r="CF76" i="1"/>
  <c r="CF75" i="1"/>
  <c r="CF74" i="1"/>
  <c r="CF73" i="1"/>
  <c r="CI75" i="1"/>
  <c r="CI77" i="1" l="1"/>
  <c r="CR46" i="1" l="1"/>
  <c r="CR45" i="1"/>
  <c r="CR44" i="1"/>
  <c r="CR43" i="1"/>
  <c r="CR42" i="1"/>
  <c r="CR41" i="1"/>
  <c r="CQ43" i="1"/>
  <c r="CQ42" i="1"/>
  <c r="CQ41" i="1"/>
  <c r="CR61" i="1" l="1"/>
  <c r="CR60" i="1"/>
  <c r="CR59" i="1"/>
  <c r="CR58" i="1"/>
  <c r="CR57" i="1"/>
  <c r="CR56" i="1"/>
  <c r="CR55" i="1"/>
  <c r="CR54" i="1"/>
  <c r="CR53" i="1"/>
  <c r="CR52" i="1"/>
  <c r="CR51" i="1"/>
  <c r="CR50" i="1"/>
  <c r="CR49" i="1"/>
  <c r="CR48" i="1"/>
  <c r="CR47" i="1"/>
  <c r="CR77" i="1"/>
  <c r="CR78" i="1"/>
  <c r="CQ78" i="1"/>
  <c r="CQ77" i="1"/>
  <c r="CQ76" i="1"/>
  <c r="CQ75" i="1"/>
  <c r="CQ74" i="1"/>
  <c r="CQ73" i="1"/>
  <c r="CQ72" i="1"/>
  <c r="CQ71" i="1"/>
  <c r="CQ70" i="1"/>
  <c r="CQ69" i="1"/>
  <c r="CQ68" i="1"/>
  <c r="CQ67" i="1"/>
  <c r="CQ66" i="1"/>
  <c r="CQ65" i="1"/>
  <c r="CQ64" i="1"/>
  <c r="CQ63" i="1"/>
  <c r="CQ62" i="1"/>
  <c r="CQ61" i="1"/>
  <c r="CQ60" i="1"/>
  <c r="CQ59" i="1"/>
  <c r="CQ58" i="1"/>
  <c r="CQ57" i="1"/>
  <c r="CQ56" i="1"/>
  <c r="CQ55" i="1"/>
  <c r="CQ54" i="1"/>
  <c r="CQ53" i="1"/>
  <c r="CQ52" i="1"/>
  <c r="CQ51" i="1"/>
  <c r="CQ50" i="1"/>
  <c r="CQ49" i="1"/>
  <c r="CQ48" i="1"/>
  <c r="CQ47" i="1"/>
  <c r="CQ46" i="1"/>
  <c r="CQ45" i="1"/>
  <c r="CQ44" i="1"/>
  <c r="E6" i="1" l="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C6" i="1"/>
  <c r="D6" i="1" l="1"/>
  <c r="A8" i="1" l="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alcChain>
</file>

<file path=xl/comments1.xml><?xml version="1.0" encoding="utf-8"?>
<comments xmlns="http://schemas.openxmlformats.org/spreadsheetml/2006/main">
  <authors>
    <author>Rai Ghulam Mustafa</author>
  </authors>
  <commentList>
    <comment ref="D2" authorId="0" shapeId="0">
      <text>
        <r>
          <rPr>
            <b/>
            <sz val="9"/>
            <color indexed="81"/>
            <rFont val="Tahoma"/>
            <family val="2"/>
          </rPr>
          <t>Rai Ghulam Mustafa:</t>
        </r>
        <r>
          <rPr>
            <sz val="9"/>
            <color indexed="81"/>
            <rFont val="Tahoma"/>
            <family val="2"/>
          </rPr>
          <t xml:space="preserve">
Gazette.</t>
        </r>
      </text>
    </comment>
    <comment ref="E2" authorId="0" shapeId="0">
      <text>
        <r>
          <rPr>
            <b/>
            <sz val="9"/>
            <color indexed="81"/>
            <rFont val="Tahoma"/>
            <family val="2"/>
          </rPr>
          <t>Rai Ghulam Mustafa:</t>
        </r>
        <r>
          <rPr>
            <sz val="9"/>
            <color indexed="81"/>
            <rFont val="Tahoma"/>
            <family val="2"/>
          </rPr>
          <t xml:space="preserve">
Harley.</t>
        </r>
      </text>
    </comment>
    <comment ref="G2" authorId="0" shapeId="0">
      <text>
        <r>
          <rPr>
            <b/>
            <sz val="9"/>
            <color indexed="81"/>
            <rFont val="Tahoma"/>
            <family val="2"/>
          </rPr>
          <t>Rai Ghulam Mustafa:</t>
        </r>
        <r>
          <rPr>
            <sz val="9"/>
            <color indexed="81"/>
            <rFont val="Tahoma"/>
            <family val="2"/>
          </rPr>
          <t xml:space="preserve">
Harley.
</t>
        </r>
      </text>
    </comment>
    <comment ref="R2" authorId="0" shapeId="0">
      <text>
        <r>
          <rPr>
            <b/>
            <sz val="9"/>
            <color indexed="81"/>
            <rFont val="Tahoma"/>
            <family val="2"/>
          </rPr>
          <t>Rai Ghulam Mustafa:</t>
        </r>
        <r>
          <rPr>
            <sz val="9"/>
            <color indexed="81"/>
            <rFont val="Tahoma"/>
            <family val="2"/>
          </rPr>
          <t xml:space="preserve">
Issawi.</t>
        </r>
      </text>
    </comment>
    <comment ref="BJ4" authorId="0" shapeId="0">
      <text>
        <r>
          <rPr>
            <b/>
            <sz val="9"/>
            <color indexed="81"/>
            <rFont val="Tahoma"/>
            <family val="2"/>
          </rPr>
          <t>Rai Ghulam Mustafa:</t>
        </r>
        <r>
          <rPr>
            <sz val="9"/>
            <color indexed="81"/>
            <rFont val="Tahoma"/>
            <family val="2"/>
          </rPr>
          <t xml:space="preserve">
Some prices are unusually high, however have been confirmed from the reports.</t>
        </r>
      </text>
    </comment>
    <comment ref="BK4" authorId="0" shapeId="0">
      <text>
        <r>
          <rPr>
            <b/>
            <sz val="9"/>
            <color indexed="81"/>
            <rFont val="Tahoma"/>
            <family val="2"/>
          </rPr>
          <t>Rai Ghulam Mustafa:</t>
        </r>
        <r>
          <rPr>
            <sz val="9"/>
            <color indexed="81"/>
            <rFont val="Tahoma"/>
            <family val="2"/>
          </rPr>
          <t xml:space="preserve">
Some prices are unusually high, however have been confirmed from the reports.</t>
        </r>
      </text>
    </comment>
    <comment ref="BW40" authorId="0" shapeId="0">
      <text>
        <r>
          <rPr>
            <b/>
            <sz val="9"/>
            <color indexed="81"/>
            <rFont val="Tahoma"/>
            <family val="2"/>
          </rPr>
          <t>Rai Ghulam Mustafa:</t>
        </r>
        <r>
          <rPr>
            <sz val="9"/>
            <color indexed="81"/>
            <rFont val="Tahoma"/>
            <family val="2"/>
          </rPr>
          <t xml:space="preserve">
Combined price of wheat and flour.</t>
        </r>
      </text>
    </comment>
    <comment ref="BW41" authorId="0" shapeId="0">
      <text>
        <r>
          <rPr>
            <b/>
            <sz val="9"/>
            <color indexed="81"/>
            <rFont val="Tahoma"/>
            <family val="2"/>
          </rPr>
          <t>Rai Ghulam Mustafa:</t>
        </r>
        <r>
          <rPr>
            <sz val="9"/>
            <color indexed="81"/>
            <rFont val="Tahoma"/>
            <family val="2"/>
          </rPr>
          <t xml:space="preserve">
Combined price of wheat and flour.</t>
        </r>
      </text>
    </comment>
    <comment ref="CQ41"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CR41"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BW42" authorId="0" shapeId="0">
      <text>
        <r>
          <rPr>
            <b/>
            <sz val="9"/>
            <color indexed="81"/>
            <rFont val="Tahoma"/>
            <family val="2"/>
          </rPr>
          <t>Rai Ghulam Mustafa:</t>
        </r>
        <r>
          <rPr>
            <sz val="9"/>
            <color indexed="81"/>
            <rFont val="Tahoma"/>
            <family val="2"/>
          </rPr>
          <t xml:space="preserve">
Combined price of wheat and flour.</t>
        </r>
      </text>
    </comment>
    <comment ref="CQ42"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CR42"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CQ43"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CR43"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CQ44" authorId="0" shapeId="0">
      <text>
        <r>
          <rPr>
            <b/>
            <sz val="9"/>
            <color indexed="81"/>
            <rFont val="Tahoma"/>
            <family val="2"/>
          </rPr>
          <t>Rai Ghulam Mustafa:</t>
        </r>
        <r>
          <rPr>
            <sz val="9"/>
            <color indexed="81"/>
            <rFont val="Tahoma"/>
            <family val="2"/>
          </rPr>
          <t xml:space="preserve">
Quoted as 4.3327 sterling/kandy.</t>
        </r>
      </text>
    </comment>
    <comment ref="CR44"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BB45" authorId="0" shapeId="0">
      <text>
        <r>
          <rPr>
            <b/>
            <sz val="9"/>
            <color indexed="81"/>
            <rFont val="Tahoma"/>
            <family val="2"/>
          </rPr>
          <t>Rai Ghulam Mustafa:</t>
        </r>
        <r>
          <rPr>
            <sz val="9"/>
            <color indexed="81"/>
            <rFont val="Tahoma"/>
            <family val="2"/>
          </rPr>
          <t xml:space="preserve">
Combined price of wheat, barley, oats and dari.</t>
        </r>
      </text>
    </comment>
    <comment ref="CQ45" authorId="0" shapeId="0">
      <text>
        <r>
          <rPr>
            <b/>
            <sz val="9"/>
            <color indexed="81"/>
            <rFont val="Tahoma"/>
            <family val="2"/>
          </rPr>
          <t>Rai Ghulam Mustafa:</t>
        </r>
        <r>
          <rPr>
            <sz val="9"/>
            <color indexed="81"/>
            <rFont val="Tahoma"/>
            <family val="2"/>
          </rPr>
          <t xml:space="preserve">
Quoted as 3.5613 sterling/kandy.</t>
        </r>
      </text>
    </comment>
    <comment ref="CR45"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BB46" authorId="0" shapeId="0">
      <text>
        <r>
          <rPr>
            <b/>
            <sz val="9"/>
            <color indexed="81"/>
            <rFont val="Tahoma"/>
            <family val="2"/>
          </rPr>
          <t>Rai Ghulam Mustafa:</t>
        </r>
        <r>
          <rPr>
            <sz val="9"/>
            <color indexed="81"/>
            <rFont val="Tahoma"/>
            <family val="2"/>
          </rPr>
          <t xml:space="preserve">
Combined price of wheat, barley, oats and dari.</t>
        </r>
      </text>
    </comment>
    <comment ref="CQ46" authorId="0" shapeId="0">
      <text>
        <r>
          <rPr>
            <b/>
            <sz val="9"/>
            <color indexed="81"/>
            <rFont val="Tahoma"/>
            <family val="2"/>
          </rPr>
          <t>Rai Ghulam Mustafa:</t>
        </r>
        <r>
          <rPr>
            <sz val="9"/>
            <color indexed="81"/>
            <rFont val="Tahoma"/>
            <family val="2"/>
          </rPr>
          <t xml:space="preserve">
Quoted as 5.2085 sterling/kandy</t>
        </r>
      </text>
    </comment>
    <comment ref="BA47" authorId="0" shapeId="0">
      <text>
        <r>
          <rPr>
            <b/>
            <sz val="9"/>
            <color indexed="81"/>
            <rFont val="Tahoma"/>
            <family val="2"/>
          </rPr>
          <t>Rai Ghulam Mustafa:</t>
        </r>
        <r>
          <rPr>
            <sz val="9"/>
            <color indexed="81"/>
            <rFont val="Tahoma"/>
            <family val="2"/>
          </rPr>
          <t xml:space="preserve">
Combined price of wheat, barley, oats and dari.</t>
        </r>
      </text>
    </comment>
    <comment ref="BB47" authorId="0" shapeId="0">
      <text>
        <r>
          <rPr>
            <b/>
            <sz val="9"/>
            <color indexed="81"/>
            <rFont val="Tahoma"/>
            <family val="2"/>
          </rPr>
          <t>Rai Ghulam Mustafa:</t>
        </r>
        <r>
          <rPr>
            <sz val="9"/>
            <color indexed="81"/>
            <rFont val="Tahoma"/>
            <family val="2"/>
          </rPr>
          <t xml:space="preserve">
Combined price of wheat, barley, oats and dari.</t>
        </r>
      </text>
    </comment>
    <comment ref="BB48" authorId="0" shapeId="0">
      <text>
        <r>
          <rPr>
            <b/>
            <sz val="9"/>
            <color indexed="81"/>
            <rFont val="Tahoma"/>
            <family val="2"/>
          </rPr>
          <t>Rai Ghulam Mustafa:</t>
        </r>
        <r>
          <rPr>
            <sz val="9"/>
            <color indexed="81"/>
            <rFont val="Tahoma"/>
            <family val="2"/>
          </rPr>
          <t xml:space="preserve">
Combined price of wheat, barley, oats and dari.</t>
        </r>
      </text>
    </comment>
    <comment ref="BB49" authorId="0" shapeId="0">
      <text>
        <r>
          <rPr>
            <b/>
            <sz val="9"/>
            <color indexed="81"/>
            <rFont val="Tahoma"/>
            <family val="2"/>
          </rPr>
          <t>Rai Ghulam Mustafa:</t>
        </r>
        <r>
          <rPr>
            <sz val="9"/>
            <color indexed="81"/>
            <rFont val="Tahoma"/>
            <family val="2"/>
          </rPr>
          <t xml:space="preserve">
Combined price of wheat, barley, oats and dari.</t>
        </r>
      </text>
    </comment>
    <comment ref="BB50" authorId="0" shapeId="0">
      <text>
        <r>
          <rPr>
            <b/>
            <sz val="9"/>
            <color indexed="81"/>
            <rFont val="Tahoma"/>
            <family val="2"/>
          </rPr>
          <t>Rai Ghulam Mustafa:</t>
        </r>
        <r>
          <rPr>
            <sz val="9"/>
            <color indexed="81"/>
            <rFont val="Tahoma"/>
            <family val="2"/>
          </rPr>
          <t xml:space="preserve">
Combined price of wheat, barley, oats and dari.</t>
        </r>
      </text>
    </comment>
    <comment ref="BB52" authorId="0" shapeId="0">
      <text>
        <r>
          <rPr>
            <b/>
            <sz val="9"/>
            <color indexed="81"/>
            <rFont val="Tahoma"/>
            <family val="2"/>
          </rPr>
          <t>Rai Ghulam Mustafa:</t>
        </r>
        <r>
          <rPr>
            <sz val="9"/>
            <color indexed="81"/>
            <rFont val="Tahoma"/>
            <family val="2"/>
          </rPr>
          <t xml:space="preserve">
Combined price of wheat, barley, oats and dari.</t>
        </r>
      </text>
    </comment>
    <comment ref="AM53" authorId="0" shapeId="0">
      <text>
        <r>
          <rPr>
            <b/>
            <sz val="9"/>
            <color indexed="81"/>
            <rFont val="Tahoma"/>
            <family val="2"/>
          </rPr>
          <t>Rai Ghulam Mustafa:</t>
        </r>
        <r>
          <rPr>
            <sz val="9"/>
            <color indexed="81"/>
            <rFont val="Tahoma"/>
            <family val="2"/>
          </rPr>
          <t xml:space="preserve">
Sterling/Kilo is 0.0207054739603523.</t>
        </r>
      </text>
    </comment>
    <comment ref="BB53" authorId="0" shapeId="0">
      <text>
        <r>
          <rPr>
            <b/>
            <sz val="9"/>
            <color indexed="81"/>
            <rFont val="Tahoma"/>
            <family val="2"/>
          </rPr>
          <t>Rai Ghulam Mustafa:</t>
        </r>
        <r>
          <rPr>
            <sz val="9"/>
            <color indexed="81"/>
            <rFont val="Tahoma"/>
            <family val="2"/>
          </rPr>
          <t xml:space="preserve">
Combined price of wheat, barley, oats and dari.</t>
        </r>
      </text>
    </comment>
    <comment ref="F54" authorId="0" shapeId="0">
      <text>
        <r>
          <rPr>
            <b/>
            <sz val="9"/>
            <color indexed="81"/>
            <rFont val="Tahoma"/>
            <family val="2"/>
          </rPr>
          <t>Rai Ghulam Mustafa:</t>
        </r>
        <r>
          <rPr>
            <sz val="9"/>
            <color indexed="81"/>
            <rFont val="Tahoma"/>
            <family val="2"/>
          </rPr>
          <t xml:space="preserve">
Quoted as Food grains.</t>
        </r>
      </text>
    </comment>
    <comment ref="AM54" authorId="0" shapeId="0">
      <text>
        <r>
          <rPr>
            <b/>
            <sz val="9"/>
            <color indexed="81"/>
            <rFont val="Tahoma"/>
            <family val="2"/>
          </rPr>
          <t>Rai Ghulam Mustafa:</t>
        </r>
        <r>
          <rPr>
            <sz val="9"/>
            <color indexed="81"/>
            <rFont val="Tahoma"/>
            <family val="2"/>
          </rPr>
          <t xml:space="preserve">
Sterling/Kilo is 0.0194288632118039</t>
        </r>
      </text>
    </comment>
    <comment ref="BB54" authorId="0" shapeId="0">
      <text>
        <r>
          <rPr>
            <b/>
            <sz val="9"/>
            <color indexed="81"/>
            <rFont val="Tahoma"/>
            <family val="2"/>
          </rPr>
          <t>Rai Ghulam Mustafa:</t>
        </r>
        <r>
          <rPr>
            <sz val="9"/>
            <color indexed="81"/>
            <rFont val="Tahoma"/>
            <family val="2"/>
          </rPr>
          <t xml:space="preserve">
Combined price of wheat, barley, oats and dari.</t>
        </r>
      </text>
    </comment>
    <comment ref="F55" authorId="0" shapeId="0">
      <text>
        <r>
          <rPr>
            <b/>
            <sz val="9"/>
            <color indexed="81"/>
            <rFont val="Tahoma"/>
            <family val="2"/>
          </rPr>
          <t>Rai Ghulam Mustafa:</t>
        </r>
        <r>
          <rPr>
            <sz val="9"/>
            <color indexed="81"/>
            <rFont val="Tahoma"/>
            <family val="2"/>
          </rPr>
          <t xml:space="preserve">
Quoted as Food grains.</t>
        </r>
      </text>
    </comment>
    <comment ref="BB55" authorId="0" shapeId="0">
      <text>
        <r>
          <rPr>
            <b/>
            <sz val="9"/>
            <color indexed="81"/>
            <rFont val="Tahoma"/>
            <family val="2"/>
          </rPr>
          <t>Rai Ghulam Mustafa:</t>
        </r>
        <r>
          <rPr>
            <sz val="9"/>
            <color indexed="81"/>
            <rFont val="Tahoma"/>
            <family val="2"/>
          </rPr>
          <t xml:space="preserve">
Combined price of wheat, barley, oats and dari.</t>
        </r>
      </text>
    </comment>
    <comment ref="F56" authorId="0" shapeId="0">
      <text>
        <r>
          <rPr>
            <b/>
            <sz val="9"/>
            <color indexed="81"/>
            <rFont val="Tahoma"/>
            <family val="2"/>
          </rPr>
          <t>Rai Ghulam Mustafa:</t>
        </r>
        <r>
          <rPr>
            <sz val="9"/>
            <color indexed="81"/>
            <rFont val="Tahoma"/>
            <family val="2"/>
          </rPr>
          <t xml:space="preserve">
Quoted as Food grains.</t>
        </r>
      </text>
    </comment>
    <comment ref="BB56" authorId="0" shapeId="0">
      <text>
        <r>
          <rPr>
            <b/>
            <sz val="9"/>
            <color indexed="81"/>
            <rFont val="Tahoma"/>
            <family val="2"/>
          </rPr>
          <t>Rai Ghulam Mustafa:</t>
        </r>
        <r>
          <rPr>
            <sz val="9"/>
            <color indexed="81"/>
            <rFont val="Tahoma"/>
            <family val="2"/>
          </rPr>
          <t xml:space="preserve">
Combined price of wheat, barley, oats and dari.</t>
        </r>
      </text>
    </comment>
    <comment ref="F57" authorId="0" shapeId="0">
      <text>
        <r>
          <rPr>
            <b/>
            <sz val="9"/>
            <color indexed="81"/>
            <rFont val="Tahoma"/>
            <family val="2"/>
          </rPr>
          <t>Rai Ghulam Mustafa:</t>
        </r>
        <r>
          <rPr>
            <sz val="9"/>
            <color indexed="81"/>
            <rFont val="Tahoma"/>
            <family val="2"/>
          </rPr>
          <t xml:space="preserve">
Quoted as Food grains.</t>
        </r>
      </text>
    </comment>
    <comment ref="BB57" authorId="0" shapeId="0">
      <text>
        <r>
          <rPr>
            <b/>
            <sz val="9"/>
            <color indexed="81"/>
            <rFont val="Tahoma"/>
            <family val="2"/>
          </rPr>
          <t>Rai Ghulam Mustafa:</t>
        </r>
        <r>
          <rPr>
            <sz val="9"/>
            <color indexed="81"/>
            <rFont val="Tahoma"/>
            <family val="2"/>
          </rPr>
          <t xml:space="preserve">
Combined price of wheat, barley, oats and dari.</t>
        </r>
      </text>
    </comment>
    <comment ref="F58" authorId="0" shapeId="0">
      <text>
        <r>
          <rPr>
            <b/>
            <sz val="9"/>
            <color indexed="81"/>
            <rFont val="Tahoma"/>
            <family val="2"/>
          </rPr>
          <t>Rai Ghulam Mustafa:</t>
        </r>
        <r>
          <rPr>
            <sz val="9"/>
            <color indexed="81"/>
            <rFont val="Tahoma"/>
            <family val="2"/>
          </rPr>
          <t xml:space="preserve">
Quoted as Food grains.</t>
        </r>
      </text>
    </comment>
    <comment ref="BB58" authorId="0" shapeId="0">
      <text>
        <r>
          <rPr>
            <b/>
            <sz val="9"/>
            <color indexed="81"/>
            <rFont val="Tahoma"/>
            <family val="2"/>
          </rPr>
          <t>Rai Ghulam Mustafa:</t>
        </r>
        <r>
          <rPr>
            <sz val="9"/>
            <color indexed="81"/>
            <rFont val="Tahoma"/>
            <family val="2"/>
          </rPr>
          <t xml:space="preserve">
Combined price of wheat, barley, oats and dari.</t>
        </r>
      </text>
    </comment>
    <comment ref="F59" authorId="0" shapeId="0">
      <text>
        <r>
          <rPr>
            <b/>
            <sz val="9"/>
            <color indexed="81"/>
            <rFont val="Tahoma"/>
            <family val="2"/>
          </rPr>
          <t>Rai Ghulam Mustafa:</t>
        </r>
        <r>
          <rPr>
            <sz val="9"/>
            <color indexed="81"/>
            <rFont val="Tahoma"/>
            <family val="2"/>
          </rPr>
          <t xml:space="preserve">
Quoted as Food grains.</t>
        </r>
      </text>
    </comment>
    <comment ref="BB59" authorId="0" shapeId="0">
      <text>
        <r>
          <rPr>
            <b/>
            <sz val="9"/>
            <color indexed="81"/>
            <rFont val="Tahoma"/>
            <family val="2"/>
          </rPr>
          <t>Rai Ghulam Mustafa:</t>
        </r>
        <r>
          <rPr>
            <sz val="9"/>
            <color indexed="81"/>
            <rFont val="Tahoma"/>
            <family val="2"/>
          </rPr>
          <t xml:space="preserve">
Combined price of wheat, barley, oats and dari.</t>
        </r>
      </text>
    </comment>
    <comment ref="BB60" authorId="0" shapeId="0">
      <text>
        <r>
          <rPr>
            <b/>
            <sz val="9"/>
            <color indexed="81"/>
            <rFont val="Tahoma"/>
            <family val="2"/>
          </rPr>
          <t>Rai Ghulam Mustafa:</t>
        </r>
        <r>
          <rPr>
            <sz val="9"/>
            <color indexed="81"/>
            <rFont val="Tahoma"/>
            <family val="2"/>
          </rPr>
          <t xml:space="preserve">
Combined price of wheat, barley, oats and dari.</t>
        </r>
      </text>
    </comment>
    <comment ref="BV60" authorId="0" shapeId="0">
      <text>
        <r>
          <rPr>
            <b/>
            <sz val="9"/>
            <color indexed="81"/>
            <rFont val="Tahoma"/>
            <family val="2"/>
          </rPr>
          <t>Rai Ghulam Mustafa:</t>
        </r>
        <r>
          <rPr>
            <sz val="9"/>
            <color indexed="81"/>
            <rFont val="Tahoma"/>
            <family val="2"/>
          </rPr>
          <t xml:space="preserve">
Combined price of wheat, barley and oats.
</t>
        </r>
      </text>
    </comment>
    <comment ref="BW60" authorId="0" shapeId="0">
      <text>
        <r>
          <rPr>
            <b/>
            <sz val="9"/>
            <color indexed="81"/>
            <rFont val="Tahoma"/>
            <family val="2"/>
          </rPr>
          <t>Rai Ghulam Mustafa:</t>
        </r>
        <r>
          <rPr>
            <sz val="9"/>
            <color indexed="81"/>
            <rFont val="Tahoma"/>
            <family val="2"/>
          </rPr>
          <t xml:space="preserve">
Combined price of wheat and flour.</t>
        </r>
      </text>
    </comment>
    <comment ref="BB61" authorId="0" shapeId="0">
      <text>
        <r>
          <rPr>
            <b/>
            <sz val="9"/>
            <color indexed="81"/>
            <rFont val="Tahoma"/>
            <family val="2"/>
          </rPr>
          <t>Rai Ghulam Mustafa:</t>
        </r>
        <r>
          <rPr>
            <sz val="9"/>
            <color indexed="81"/>
            <rFont val="Tahoma"/>
            <family val="2"/>
          </rPr>
          <t xml:space="preserve">
Combined price of wheat, barley, oats and dari.</t>
        </r>
      </text>
    </comment>
    <comment ref="BB62" authorId="0" shapeId="0">
      <text>
        <r>
          <rPr>
            <b/>
            <sz val="9"/>
            <color indexed="81"/>
            <rFont val="Tahoma"/>
            <family val="2"/>
          </rPr>
          <t>Rai Ghulam Mustafa:</t>
        </r>
        <r>
          <rPr>
            <sz val="9"/>
            <color indexed="81"/>
            <rFont val="Tahoma"/>
            <family val="2"/>
          </rPr>
          <t xml:space="preserve">
Combined price of wheat, barley, oats and dari.</t>
        </r>
      </text>
    </comment>
    <comment ref="BB63" authorId="0" shapeId="0">
      <text>
        <r>
          <rPr>
            <b/>
            <sz val="9"/>
            <color indexed="81"/>
            <rFont val="Tahoma"/>
            <family val="2"/>
          </rPr>
          <t>Rai Ghulam Mustafa:</t>
        </r>
        <r>
          <rPr>
            <sz val="9"/>
            <color indexed="81"/>
            <rFont val="Tahoma"/>
            <family val="2"/>
          </rPr>
          <t xml:space="preserve">
Combined price of wheat, barley, oats and dari.</t>
        </r>
      </text>
    </comment>
    <comment ref="BB64" authorId="0" shapeId="0">
      <text>
        <r>
          <rPr>
            <b/>
            <sz val="9"/>
            <color indexed="81"/>
            <rFont val="Tahoma"/>
            <family val="2"/>
          </rPr>
          <t>Rai Ghulam Mustafa:</t>
        </r>
        <r>
          <rPr>
            <sz val="9"/>
            <color indexed="81"/>
            <rFont val="Tahoma"/>
            <family val="2"/>
          </rPr>
          <t xml:space="preserve">
Combined price of wheat, barley, oats and dari.</t>
        </r>
      </text>
    </comment>
    <comment ref="BB65" authorId="0" shapeId="0">
      <text>
        <r>
          <rPr>
            <b/>
            <sz val="9"/>
            <color indexed="81"/>
            <rFont val="Tahoma"/>
            <family val="2"/>
          </rPr>
          <t>Rai Ghulam Mustafa:</t>
        </r>
        <r>
          <rPr>
            <sz val="9"/>
            <color indexed="81"/>
            <rFont val="Tahoma"/>
            <family val="2"/>
          </rPr>
          <t xml:space="preserve">
Combined price of wheat, barley, oats and dari.</t>
        </r>
      </text>
    </comment>
    <comment ref="F66" authorId="0" shapeId="0">
      <text>
        <r>
          <rPr>
            <b/>
            <sz val="9"/>
            <color indexed="81"/>
            <rFont val="Tahoma"/>
            <family val="2"/>
          </rPr>
          <t>Rai Ghulam Mustafa:</t>
        </r>
        <r>
          <rPr>
            <sz val="9"/>
            <color indexed="81"/>
            <rFont val="Tahoma"/>
            <family val="2"/>
          </rPr>
          <t xml:space="preserve">
Quoted as Food grains.</t>
        </r>
      </text>
    </comment>
    <comment ref="BB66" authorId="0" shapeId="0">
      <text>
        <r>
          <rPr>
            <b/>
            <sz val="9"/>
            <color indexed="81"/>
            <rFont val="Tahoma"/>
            <family val="2"/>
          </rPr>
          <t>Rai Ghulam Mustafa:</t>
        </r>
        <r>
          <rPr>
            <sz val="9"/>
            <color indexed="81"/>
            <rFont val="Tahoma"/>
            <family val="2"/>
          </rPr>
          <t xml:space="preserve">
Combined price of wheat, barley, oats and dari.</t>
        </r>
      </text>
    </comment>
    <comment ref="F67" authorId="0" shapeId="0">
      <text>
        <r>
          <rPr>
            <b/>
            <sz val="9"/>
            <color indexed="81"/>
            <rFont val="Tahoma"/>
            <family val="2"/>
          </rPr>
          <t>Rai Ghulam Mustafa:</t>
        </r>
        <r>
          <rPr>
            <sz val="9"/>
            <color indexed="81"/>
            <rFont val="Tahoma"/>
            <family val="2"/>
          </rPr>
          <t xml:space="preserve">
Quoted as Food grains.</t>
        </r>
      </text>
    </comment>
    <comment ref="BB67" authorId="0" shapeId="0">
      <text>
        <r>
          <rPr>
            <b/>
            <sz val="9"/>
            <color indexed="81"/>
            <rFont val="Tahoma"/>
            <family val="2"/>
          </rPr>
          <t>Rai Ghulam Mustafa:</t>
        </r>
        <r>
          <rPr>
            <sz val="9"/>
            <color indexed="81"/>
            <rFont val="Tahoma"/>
            <family val="2"/>
          </rPr>
          <t xml:space="preserve">
Combined price of wheat, barley, oats and dari.</t>
        </r>
      </text>
    </comment>
    <comment ref="F68" authorId="0" shapeId="0">
      <text>
        <r>
          <rPr>
            <b/>
            <sz val="9"/>
            <color indexed="81"/>
            <rFont val="Tahoma"/>
            <family val="2"/>
          </rPr>
          <t>Rai Ghulam Mustafa:</t>
        </r>
        <r>
          <rPr>
            <sz val="9"/>
            <color indexed="81"/>
            <rFont val="Tahoma"/>
            <family val="2"/>
          </rPr>
          <t xml:space="preserve">
Quoted as Food grains.</t>
        </r>
      </text>
    </comment>
    <comment ref="BB68" authorId="0" shapeId="0">
      <text>
        <r>
          <rPr>
            <b/>
            <sz val="9"/>
            <color indexed="81"/>
            <rFont val="Tahoma"/>
            <family val="2"/>
          </rPr>
          <t>Rai Ghulam Mustafa:</t>
        </r>
        <r>
          <rPr>
            <sz val="9"/>
            <color indexed="81"/>
            <rFont val="Tahoma"/>
            <family val="2"/>
          </rPr>
          <t xml:space="preserve">
Combined price of wheat, barley, oats and dari.</t>
        </r>
      </text>
    </comment>
    <comment ref="F69" authorId="0" shapeId="0">
      <text>
        <r>
          <rPr>
            <b/>
            <sz val="9"/>
            <color indexed="81"/>
            <rFont val="Tahoma"/>
            <family val="2"/>
          </rPr>
          <t>Rai Ghulam Mustafa:</t>
        </r>
        <r>
          <rPr>
            <sz val="9"/>
            <color indexed="81"/>
            <rFont val="Tahoma"/>
            <family val="2"/>
          </rPr>
          <t xml:space="preserve">
Quoted as Food grains.</t>
        </r>
      </text>
    </comment>
    <comment ref="BB69" authorId="0" shapeId="0">
      <text>
        <r>
          <rPr>
            <b/>
            <sz val="9"/>
            <color indexed="81"/>
            <rFont val="Tahoma"/>
            <family val="2"/>
          </rPr>
          <t>Rai Ghulam Mustafa:</t>
        </r>
        <r>
          <rPr>
            <sz val="9"/>
            <color indexed="81"/>
            <rFont val="Tahoma"/>
            <family val="2"/>
          </rPr>
          <t xml:space="preserve">
Combined price of wheat, barley, oats and dari.</t>
        </r>
      </text>
    </comment>
    <comment ref="BJ69" authorId="0" shapeId="0">
      <text>
        <r>
          <rPr>
            <b/>
            <sz val="9"/>
            <color indexed="81"/>
            <rFont val="Tahoma"/>
            <family val="2"/>
          </rPr>
          <t>Rai Ghulam Mustafa:</t>
        </r>
        <r>
          <rPr>
            <sz val="9"/>
            <color indexed="81"/>
            <rFont val="Tahoma"/>
            <family val="2"/>
          </rPr>
          <t xml:space="preserve">
Combined price of grain, wheat and barley.</t>
        </r>
      </text>
    </comment>
    <comment ref="BK69" authorId="0" shapeId="0">
      <text>
        <r>
          <rPr>
            <b/>
            <sz val="9"/>
            <color indexed="81"/>
            <rFont val="Tahoma"/>
            <family val="2"/>
          </rPr>
          <t>Rai Ghulam Mustafa:</t>
        </r>
        <r>
          <rPr>
            <sz val="9"/>
            <color indexed="81"/>
            <rFont val="Tahoma"/>
            <family val="2"/>
          </rPr>
          <t xml:space="preserve">
Combined price of  grain, wheat and barley.</t>
        </r>
      </text>
    </comment>
    <comment ref="BO69" authorId="0" shapeId="0">
      <text>
        <r>
          <rPr>
            <b/>
            <sz val="9"/>
            <color indexed="81"/>
            <rFont val="Tahoma"/>
            <family val="2"/>
          </rPr>
          <t>Rai Ghulam Mustafa:</t>
        </r>
        <r>
          <rPr>
            <sz val="9"/>
            <color indexed="81"/>
            <rFont val="Tahoma"/>
            <family val="2"/>
          </rPr>
          <t xml:space="preserve">
Reconfirmed from report.</t>
        </r>
      </text>
    </comment>
    <comment ref="BB70" authorId="0" shapeId="0">
      <text>
        <r>
          <rPr>
            <b/>
            <sz val="9"/>
            <color indexed="81"/>
            <rFont val="Tahoma"/>
            <family val="2"/>
          </rPr>
          <t>Rai Ghulam Mustafa:</t>
        </r>
        <r>
          <rPr>
            <sz val="9"/>
            <color indexed="81"/>
            <rFont val="Tahoma"/>
            <family val="2"/>
          </rPr>
          <t xml:space="preserve">
Combined price of wheat, barley, oats and dari.</t>
        </r>
      </text>
    </comment>
    <comment ref="BJ70" authorId="0" shapeId="0">
      <text>
        <r>
          <rPr>
            <b/>
            <sz val="9"/>
            <color indexed="81"/>
            <rFont val="Tahoma"/>
            <family val="2"/>
          </rPr>
          <t>Rai Ghulam Mustafa:</t>
        </r>
        <r>
          <rPr>
            <sz val="9"/>
            <color indexed="81"/>
            <rFont val="Tahoma"/>
            <family val="2"/>
          </rPr>
          <t xml:space="preserve">
Combined price of  grain, wheat and barley.</t>
        </r>
      </text>
    </comment>
    <comment ref="BK70" authorId="0" shapeId="0">
      <text>
        <r>
          <rPr>
            <b/>
            <sz val="9"/>
            <color indexed="81"/>
            <rFont val="Tahoma"/>
            <family val="2"/>
          </rPr>
          <t>Rai Ghulam Mustafa:</t>
        </r>
        <r>
          <rPr>
            <sz val="9"/>
            <color indexed="81"/>
            <rFont val="Tahoma"/>
            <family val="2"/>
          </rPr>
          <t xml:space="preserve">
Combined price of  grain, wheat and barley.</t>
        </r>
      </text>
    </comment>
    <comment ref="BM70" authorId="0" shapeId="0">
      <text>
        <r>
          <rPr>
            <b/>
            <sz val="9"/>
            <color indexed="81"/>
            <rFont val="Tahoma"/>
            <family val="2"/>
          </rPr>
          <t>Rai Ghulam Mustafa:</t>
        </r>
        <r>
          <rPr>
            <sz val="9"/>
            <color indexed="81"/>
            <rFont val="Tahoma"/>
            <family val="2"/>
          </rPr>
          <t xml:space="preserve">
Combined price of wheat and barley.</t>
        </r>
      </text>
    </comment>
    <comment ref="BB71" authorId="0" shapeId="0">
      <text>
        <r>
          <rPr>
            <b/>
            <sz val="9"/>
            <color indexed="81"/>
            <rFont val="Tahoma"/>
            <family val="2"/>
          </rPr>
          <t>Rai Ghulam Mustafa:</t>
        </r>
        <r>
          <rPr>
            <sz val="9"/>
            <color indexed="81"/>
            <rFont val="Tahoma"/>
            <family val="2"/>
          </rPr>
          <t xml:space="preserve">
Combined price of wheat, barley, oats and dari.</t>
        </r>
      </text>
    </comment>
    <comment ref="BJ71" authorId="0" shapeId="0">
      <text>
        <r>
          <rPr>
            <b/>
            <sz val="9"/>
            <color indexed="81"/>
            <rFont val="Tahoma"/>
            <family val="2"/>
          </rPr>
          <t>Rai Ghulam Mustafa:</t>
        </r>
        <r>
          <rPr>
            <sz val="9"/>
            <color indexed="81"/>
            <rFont val="Tahoma"/>
            <family val="2"/>
          </rPr>
          <t xml:space="preserve">
Combined price of grain, wheat and barley.</t>
        </r>
      </text>
    </comment>
    <comment ref="BM71" authorId="0" shapeId="0">
      <text>
        <r>
          <rPr>
            <b/>
            <sz val="9"/>
            <color indexed="81"/>
            <rFont val="Tahoma"/>
            <family val="2"/>
          </rPr>
          <t>Rai Ghulam Mustafa:</t>
        </r>
        <r>
          <rPr>
            <sz val="9"/>
            <color indexed="81"/>
            <rFont val="Tahoma"/>
            <family val="2"/>
          </rPr>
          <t xml:space="preserve">
Combined price of wheat and barley.</t>
        </r>
      </text>
    </comment>
    <comment ref="F72" authorId="0" shapeId="0">
      <text>
        <r>
          <rPr>
            <b/>
            <sz val="9"/>
            <color indexed="81"/>
            <rFont val="Tahoma"/>
            <family val="2"/>
          </rPr>
          <t>Rai Ghulam Mustafa:</t>
        </r>
        <r>
          <rPr>
            <sz val="9"/>
            <color indexed="81"/>
            <rFont val="Tahoma"/>
            <family val="2"/>
          </rPr>
          <t xml:space="preserve">
Quoted as grain and flour.</t>
        </r>
      </text>
    </comment>
    <comment ref="BB72" authorId="0" shapeId="0">
      <text>
        <r>
          <rPr>
            <b/>
            <sz val="9"/>
            <color indexed="81"/>
            <rFont val="Tahoma"/>
            <family val="2"/>
          </rPr>
          <t>Rai Ghulam Mustafa:</t>
        </r>
        <r>
          <rPr>
            <sz val="9"/>
            <color indexed="81"/>
            <rFont val="Tahoma"/>
            <family val="2"/>
          </rPr>
          <t xml:space="preserve">
Combined price of wheat, barley, oats and dari.</t>
        </r>
      </text>
    </comment>
    <comment ref="BJ72" authorId="0" shapeId="0">
      <text>
        <r>
          <rPr>
            <b/>
            <sz val="9"/>
            <color indexed="81"/>
            <rFont val="Tahoma"/>
            <family val="2"/>
          </rPr>
          <t>Rai Ghulam Mustafa:</t>
        </r>
        <r>
          <rPr>
            <sz val="9"/>
            <color indexed="81"/>
            <rFont val="Tahoma"/>
            <family val="2"/>
          </rPr>
          <t xml:space="preserve">
Combined price of  grain, wheat and barley.</t>
        </r>
      </text>
    </comment>
    <comment ref="F73" authorId="0" shapeId="0">
      <text>
        <r>
          <rPr>
            <b/>
            <sz val="9"/>
            <color indexed="81"/>
            <rFont val="Tahoma"/>
            <family val="2"/>
          </rPr>
          <t>Rai Ghulam Mustafa:</t>
        </r>
        <r>
          <rPr>
            <sz val="9"/>
            <color indexed="81"/>
            <rFont val="Tahoma"/>
            <family val="2"/>
          </rPr>
          <t xml:space="preserve">
Quoted as grain and flour.</t>
        </r>
      </text>
    </comment>
    <comment ref="BB73" authorId="0" shapeId="0">
      <text>
        <r>
          <rPr>
            <b/>
            <sz val="9"/>
            <color indexed="81"/>
            <rFont val="Tahoma"/>
            <family val="2"/>
          </rPr>
          <t>Rai Ghulam Mustafa:</t>
        </r>
        <r>
          <rPr>
            <sz val="9"/>
            <color indexed="81"/>
            <rFont val="Tahoma"/>
            <family val="2"/>
          </rPr>
          <t xml:space="preserve">
Combined price of wheat, barley, oats and dari.</t>
        </r>
      </text>
    </comment>
    <comment ref="BJ73" authorId="0" shapeId="0">
      <text>
        <r>
          <rPr>
            <b/>
            <sz val="9"/>
            <color indexed="81"/>
            <rFont val="Tahoma"/>
            <family val="2"/>
          </rPr>
          <t>Rai Ghulam Mustafa:</t>
        </r>
        <r>
          <rPr>
            <sz val="9"/>
            <color indexed="81"/>
            <rFont val="Tahoma"/>
            <family val="2"/>
          </rPr>
          <t xml:space="preserve">
Combined price of  grain, wheat and barley.</t>
        </r>
      </text>
    </comment>
    <comment ref="CB73" authorId="0" shapeId="0">
      <text>
        <r>
          <rPr>
            <b/>
            <sz val="9"/>
            <color indexed="81"/>
            <rFont val="Tahoma"/>
            <family val="2"/>
          </rPr>
          <t>Rai Ghulam Mustafa:</t>
        </r>
        <r>
          <rPr>
            <sz val="9"/>
            <color indexed="81"/>
            <rFont val="Tahoma"/>
            <family val="2"/>
          </rPr>
          <t xml:space="preserve">
Combined price of wheat, barley and oats.</t>
        </r>
      </text>
    </comment>
    <comment ref="CF73" authorId="0" shapeId="0">
      <text>
        <r>
          <rPr>
            <b/>
            <sz val="9"/>
            <color indexed="81"/>
            <rFont val="Tahoma"/>
            <family val="2"/>
          </rPr>
          <t>Rai Ghulam Mustafa:</t>
        </r>
        <r>
          <rPr>
            <sz val="9"/>
            <color indexed="81"/>
            <rFont val="Tahoma"/>
            <family val="2"/>
          </rPr>
          <t xml:space="preserve">
Combined price of wheat and barley.</t>
        </r>
      </text>
    </comment>
    <comment ref="BB74" authorId="0" shapeId="0">
      <text>
        <r>
          <rPr>
            <b/>
            <sz val="9"/>
            <color indexed="81"/>
            <rFont val="Tahoma"/>
            <family val="2"/>
          </rPr>
          <t>Rai Ghulam Mustafa:</t>
        </r>
        <r>
          <rPr>
            <sz val="9"/>
            <color indexed="81"/>
            <rFont val="Tahoma"/>
            <family val="2"/>
          </rPr>
          <t xml:space="preserve">
Combined price of wheat, barley, oats and dari.</t>
        </r>
      </text>
    </comment>
    <comment ref="BJ74" authorId="0" shapeId="0">
      <text>
        <r>
          <rPr>
            <b/>
            <sz val="9"/>
            <color indexed="81"/>
            <rFont val="Tahoma"/>
            <family val="2"/>
          </rPr>
          <t>Rai Ghulam Mustafa:</t>
        </r>
        <r>
          <rPr>
            <sz val="9"/>
            <color indexed="81"/>
            <rFont val="Tahoma"/>
            <family val="2"/>
          </rPr>
          <t xml:space="preserve">
Combined price of grain,  wheat and barley.</t>
        </r>
      </text>
    </comment>
    <comment ref="CB74" authorId="0" shapeId="0">
      <text>
        <r>
          <rPr>
            <b/>
            <sz val="9"/>
            <color indexed="81"/>
            <rFont val="Tahoma"/>
            <family val="2"/>
          </rPr>
          <t>Rai Ghulam Mustafa:</t>
        </r>
        <r>
          <rPr>
            <sz val="9"/>
            <color indexed="81"/>
            <rFont val="Tahoma"/>
            <family val="2"/>
          </rPr>
          <t xml:space="preserve">
Combined price of wheat, barley and oats.</t>
        </r>
      </text>
    </comment>
    <comment ref="CF74" authorId="0" shapeId="0">
      <text>
        <r>
          <rPr>
            <b/>
            <sz val="9"/>
            <color indexed="81"/>
            <rFont val="Tahoma"/>
            <family val="2"/>
          </rPr>
          <t>Rai Ghulam Mustafa:</t>
        </r>
        <r>
          <rPr>
            <sz val="9"/>
            <color indexed="81"/>
            <rFont val="Tahoma"/>
            <family val="2"/>
          </rPr>
          <t xml:space="preserve">
Combined price of wheat and barley.</t>
        </r>
      </text>
    </comment>
    <comment ref="BB75" authorId="0" shapeId="0">
      <text>
        <r>
          <rPr>
            <b/>
            <sz val="9"/>
            <color indexed="81"/>
            <rFont val="Tahoma"/>
            <family val="2"/>
          </rPr>
          <t>Rai Ghulam Mustafa:</t>
        </r>
        <r>
          <rPr>
            <sz val="9"/>
            <color indexed="81"/>
            <rFont val="Tahoma"/>
            <family val="2"/>
          </rPr>
          <t xml:space="preserve">
Combined price of wheat, barley, oats and dari.</t>
        </r>
      </text>
    </comment>
    <comment ref="BJ75" authorId="0" shapeId="0">
      <text>
        <r>
          <rPr>
            <b/>
            <sz val="9"/>
            <color indexed="81"/>
            <rFont val="Tahoma"/>
            <family val="2"/>
          </rPr>
          <t>Rai Ghulam Mustafa:</t>
        </r>
        <r>
          <rPr>
            <sz val="9"/>
            <color indexed="81"/>
            <rFont val="Tahoma"/>
            <family val="2"/>
          </rPr>
          <t xml:space="preserve">
Combined price of  grain, wheat and barley.</t>
        </r>
      </text>
    </comment>
    <comment ref="BK75" authorId="0" shapeId="0">
      <text>
        <r>
          <rPr>
            <b/>
            <sz val="9"/>
            <color indexed="81"/>
            <rFont val="Tahoma"/>
            <family val="2"/>
          </rPr>
          <t>Rai Ghulam Mustafa:</t>
        </r>
        <r>
          <rPr>
            <sz val="9"/>
            <color indexed="81"/>
            <rFont val="Tahoma"/>
            <family val="2"/>
          </rPr>
          <t xml:space="preserve">
Combined price of  grain, wheat and barley.</t>
        </r>
      </text>
    </comment>
    <comment ref="BN75" authorId="0" shapeId="0">
      <text>
        <r>
          <rPr>
            <b/>
            <sz val="9"/>
            <color indexed="81"/>
            <rFont val="Tahoma"/>
            <family val="2"/>
          </rPr>
          <t>Rai Ghulam Mustafa:</t>
        </r>
        <r>
          <rPr>
            <sz val="9"/>
            <color indexed="81"/>
            <rFont val="Tahoma"/>
            <family val="2"/>
          </rPr>
          <t xml:space="preserve">
Combined price of wheat and barley.</t>
        </r>
      </text>
    </comment>
    <comment ref="CB75" authorId="0" shapeId="0">
      <text>
        <r>
          <rPr>
            <b/>
            <sz val="9"/>
            <color indexed="81"/>
            <rFont val="Tahoma"/>
            <family val="2"/>
          </rPr>
          <t>Rai Ghulam Mustafa:</t>
        </r>
        <r>
          <rPr>
            <sz val="9"/>
            <color indexed="81"/>
            <rFont val="Tahoma"/>
            <family val="2"/>
          </rPr>
          <t xml:space="preserve">
Combined price of wheat, barley and oats.</t>
        </r>
      </text>
    </comment>
    <comment ref="CF75" authorId="0" shapeId="0">
      <text>
        <r>
          <rPr>
            <b/>
            <sz val="9"/>
            <color indexed="81"/>
            <rFont val="Tahoma"/>
            <family val="2"/>
          </rPr>
          <t>Rai Ghulam Mustafa:</t>
        </r>
        <r>
          <rPr>
            <sz val="9"/>
            <color indexed="81"/>
            <rFont val="Tahoma"/>
            <family val="2"/>
          </rPr>
          <t xml:space="preserve">
Combined price of wheat and barley.</t>
        </r>
      </text>
    </comment>
    <comment ref="CI75" authorId="0" shapeId="0">
      <text>
        <r>
          <rPr>
            <b/>
            <sz val="9"/>
            <color indexed="81"/>
            <rFont val="Tahoma"/>
            <family val="2"/>
          </rPr>
          <t>Rai Ghulam Mustafa:</t>
        </r>
        <r>
          <rPr>
            <sz val="9"/>
            <color indexed="81"/>
            <rFont val="Tahoma"/>
            <family val="2"/>
          </rPr>
          <t xml:space="preserve">
Combined price of wheat and barley.</t>
        </r>
      </text>
    </comment>
    <comment ref="BB76" authorId="0" shapeId="0">
      <text>
        <r>
          <rPr>
            <b/>
            <sz val="9"/>
            <color indexed="81"/>
            <rFont val="Tahoma"/>
            <family val="2"/>
          </rPr>
          <t>Rai Ghulam Mustafa:</t>
        </r>
        <r>
          <rPr>
            <sz val="9"/>
            <color indexed="81"/>
            <rFont val="Tahoma"/>
            <family val="2"/>
          </rPr>
          <t xml:space="preserve">
Combined price of wheat, barley, oats and dari.</t>
        </r>
      </text>
    </comment>
    <comment ref="BJ76" authorId="0" shapeId="0">
      <text>
        <r>
          <rPr>
            <b/>
            <sz val="9"/>
            <color indexed="81"/>
            <rFont val="Tahoma"/>
            <family val="2"/>
          </rPr>
          <t>Rai Ghulam Mustafa:</t>
        </r>
        <r>
          <rPr>
            <sz val="9"/>
            <color indexed="81"/>
            <rFont val="Tahoma"/>
            <family val="2"/>
          </rPr>
          <t xml:space="preserve">
Combined price of grain,  wheat and barley.</t>
        </r>
      </text>
    </comment>
    <comment ref="BK76" authorId="0" shapeId="0">
      <text>
        <r>
          <rPr>
            <b/>
            <sz val="9"/>
            <color indexed="81"/>
            <rFont val="Tahoma"/>
            <family val="2"/>
          </rPr>
          <t>Rai Ghulam Mustafa:</t>
        </r>
        <r>
          <rPr>
            <sz val="9"/>
            <color indexed="81"/>
            <rFont val="Tahoma"/>
            <family val="2"/>
          </rPr>
          <t xml:space="preserve">
Combined price of  grain, wheat and barley.</t>
        </r>
      </text>
    </comment>
    <comment ref="BN76" authorId="0" shapeId="0">
      <text>
        <r>
          <rPr>
            <b/>
            <sz val="9"/>
            <color indexed="81"/>
            <rFont val="Tahoma"/>
            <family val="2"/>
          </rPr>
          <t>Rai Ghulam Mustafa:</t>
        </r>
        <r>
          <rPr>
            <sz val="9"/>
            <color indexed="81"/>
            <rFont val="Tahoma"/>
            <family val="2"/>
          </rPr>
          <t xml:space="preserve">
Combined price of wheat and barley.</t>
        </r>
      </text>
    </comment>
    <comment ref="CB76" authorId="0" shapeId="0">
      <text>
        <r>
          <rPr>
            <b/>
            <sz val="9"/>
            <color indexed="81"/>
            <rFont val="Tahoma"/>
            <family val="2"/>
          </rPr>
          <t>Rai Ghulam Mustafa:</t>
        </r>
        <r>
          <rPr>
            <sz val="9"/>
            <color indexed="81"/>
            <rFont val="Tahoma"/>
            <family val="2"/>
          </rPr>
          <t xml:space="preserve">
Combined price of wheat, barley and oats.</t>
        </r>
      </text>
    </comment>
    <comment ref="CF76" authorId="0" shapeId="0">
      <text>
        <r>
          <rPr>
            <b/>
            <sz val="9"/>
            <color indexed="81"/>
            <rFont val="Tahoma"/>
            <family val="2"/>
          </rPr>
          <t>Rai Ghulam Mustafa:</t>
        </r>
        <r>
          <rPr>
            <sz val="9"/>
            <color indexed="81"/>
            <rFont val="Tahoma"/>
            <family val="2"/>
          </rPr>
          <t xml:space="preserve">
Combined price of wheat and barley.</t>
        </r>
      </text>
    </comment>
    <comment ref="CI76" authorId="0" shapeId="0">
      <text>
        <r>
          <rPr>
            <b/>
            <sz val="9"/>
            <color indexed="81"/>
            <rFont val="Tahoma"/>
            <family val="2"/>
          </rPr>
          <t>Rai Ghulam Mustafa:</t>
        </r>
        <r>
          <rPr>
            <sz val="9"/>
            <color indexed="81"/>
            <rFont val="Tahoma"/>
            <family val="2"/>
          </rPr>
          <t xml:space="preserve">
Combined price of wheat and barley.</t>
        </r>
      </text>
    </comment>
    <comment ref="BB77" authorId="0" shapeId="0">
      <text>
        <r>
          <rPr>
            <b/>
            <sz val="9"/>
            <color indexed="81"/>
            <rFont val="Tahoma"/>
            <family val="2"/>
          </rPr>
          <t>Rai Ghulam Mustafa:</t>
        </r>
        <r>
          <rPr>
            <sz val="9"/>
            <color indexed="81"/>
            <rFont val="Tahoma"/>
            <family val="2"/>
          </rPr>
          <t xml:space="preserve">
Combined price of wheat, barley, oats and dari.</t>
        </r>
      </text>
    </comment>
    <comment ref="BJ77" authorId="0" shapeId="0">
      <text>
        <r>
          <rPr>
            <b/>
            <sz val="9"/>
            <color indexed="81"/>
            <rFont val="Tahoma"/>
            <family val="2"/>
          </rPr>
          <t>Rai Ghulam Mustafa:</t>
        </r>
        <r>
          <rPr>
            <sz val="9"/>
            <color indexed="81"/>
            <rFont val="Tahoma"/>
            <family val="2"/>
          </rPr>
          <t xml:space="preserve">
Combined price of  grain, wheat and barley.</t>
        </r>
      </text>
    </comment>
    <comment ref="BK77" authorId="0" shapeId="0">
      <text>
        <r>
          <rPr>
            <b/>
            <sz val="9"/>
            <color indexed="81"/>
            <rFont val="Tahoma"/>
            <family val="2"/>
          </rPr>
          <t>Rai Ghulam Mustafa:</t>
        </r>
        <r>
          <rPr>
            <sz val="9"/>
            <color indexed="81"/>
            <rFont val="Tahoma"/>
            <family val="2"/>
          </rPr>
          <t xml:space="preserve">
Combined price of  grain, wheat and barley.</t>
        </r>
      </text>
    </comment>
    <comment ref="BN77" authorId="0" shapeId="0">
      <text>
        <r>
          <rPr>
            <b/>
            <sz val="9"/>
            <color indexed="81"/>
            <rFont val="Tahoma"/>
            <family val="2"/>
          </rPr>
          <t>Rai Ghulam Mustafa:</t>
        </r>
        <r>
          <rPr>
            <sz val="9"/>
            <color indexed="81"/>
            <rFont val="Tahoma"/>
            <family val="2"/>
          </rPr>
          <t xml:space="preserve">
Combined price of wheat and barley.</t>
        </r>
      </text>
    </comment>
    <comment ref="CB77" authorId="0" shapeId="0">
      <text>
        <r>
          <rPr>
            <b/>
            <sz val="9"/>
            <color indexed="81"/>
            <rFont val="Tahoma"/>
            <family val="2"/>
          </rPr>
          <t>Rai Ghulam Mustafa:</t>
        </r>
        <r>
          <rPr>
            <sz val="9"/>
            <color indexed="81"/>
            <rFont val="Tahoma"/>
            <family val="2"/>
          </rPr>
          <t xml:space="preserve">
Combined price of wheat, barley and oats.</t>
        </r>
      </text>
    </comment>
    <comment ref="CF77" authorId="0" shapeId="0">
      <text>
        <r>
          <rPr>
            <b/>
            <sz val="9"/>
            <color indexed="81"/>
            <rFont val="Tahoma"/>
            <family val="2"/>
          </rPr>
          <t>Rai Ghulam Mustafa:</t>
        </r>
        <r>
          <rPr>
            <sz val="9"/>
            <color indexed="81"/>
            <rFont val="Tahoma"/>
            <family val="2"/>
          </rPr>
          <t xml:space="preserve">
Combined price of wheat and barley.</t>
        </r>
      </text>
    </comment>
    <comment ref="CI77" authorId="0" shapeId="0">
      <text>
        <r>
          <rPr>
            <b/>
            <sz val="9"/>
            <color indexed="81"/>
            <rFont val="Tahoma"/>
            <family val="2"/>
          </rPr>
          <t>Rai Ghulam Mustafa:</t>
        </r>
        <r>
          <rPr>
            <sz val="9"/>
            <color indexed="81"/>
            <rFont val="Tahoma"/>
            <family val="2"/>
          </rPr>
          <t xml:space="preserve">
Combined price of wheat and barley.</t>
        </r>
      </text>
    </comment>
    <comment ref="BB78" authorId="0" shapeId="0">
      <text>
        <r>
          <rPr>
            <b/>
            <sz val="9"/>
            <color indexed="81"/>
            <rFont val="Tahoma"/>
            <family val="2"/>
          </rPr>
          <t>Rai Ghulam Mustafa:</t>
        </r>
        <r>
          <rPr>
            <sz val="9"/>
            <color indexed="81"/>
            <rFont val="Tahoma"/>
            <family val="2"/>
          </rPr>
          <t xml:space="preserve">
Combined price of wheat, barley, oats and dari.</t>
        </r>
      </text>
    </comment>
    <comment ref="BJ78" authorId="0" shapeId="0">
      <text>
        <r>
          <rPr>
            <b/>
            <sz val="9"/>
            <color indexed="81"/>
            <rFont val="Tahoma"/>
            <family val="2"/>
          </rPr>
          <t>Rai Ghulam Mustafa:</t>
        </r>
        <r>
          <rPr>
            <sz val="9"/>
            <color indexed="81"/>
            <rFont val="Tahoma"/>
            <family val="2"/>
          </rPr>
          <t xml:space="preserve">
Combined price of  grain, wheat and barley.</t>
        </r>
      </text>
    </comment>
    <comment ref="BK78" authorId="0" shapeId="0">
      <text>
        <r>
          <rPr>
            <b/>
            <sz val="9"/>
            <color indexed="81"/>
            <rFont val="Tahoma"/>
            <family val="2"/>
          </rPr>
          <t>Rai Ghulam Mustafa:</t>
        </r>
        <r>
          <rPr>
            <sz val="9"/>
            <color indexed="81"/>
            <rFont val="Tahoma"/>
            <family val="2"/>
          </rPr>
          <t xml:space="preserve">
Combined price of  grain, wheat and barley.</t>
        </r>
      </text>
    </comment>
    <comment ref="BN78" authorId="0" shapeId="0">
      <text>
        <r>
          <rPr>
            <b/>
            <sz val="9"/>
            <color indexed="81"/>
            <rFont val="Tahoma"/>
            <family val="2"/>
          </rPr>
          <t>Rai Ghulam Mustafa:</t>
        </r>
        <r>
          <rPr>
            <sz val="9"/>
            <color indexed="81"/>
            <rFont val="Tahoma"/>
            <family val="2"/>
          </rPr>
          <t xml:space="preserve">
Combined price of wheat and barley.</t>
        </r>
      </text>
    </comment>
    <comment ref="CK78" authorId="0" shapeId="0">
      <text>
        <r>
          <rPr>
            <b/>
            <sz val="9"/>
            <color indexed="81"/>
            <rFont val="Tahoma"/>
            <family val="2"/>
          </rPr>
          <t>Rai Ghulam Mustafa:</t>
        </r>
        <r>
          <rPr>
            <sz val="9"/>
            <color indexed="81"/>
            <rFont val="Tahoma"/>
            <family val="2"/>
          </rPr>
          <t xml:space="preserve">
This increase is due to a corner by grain holders.</t>
        </r>
      </text>
    </comment>
    <comment ref="BB79" authorId="0" shapeId="0">
      <text>
        <r>
          <rPr>
            <b/>
            <sz val="9"/>
            <color indexed="81"/>
            <rFont val="Tahoma"/>
            <family val="2"/>
          </rPr>
          <t>Rai Ghulam Mustafa:</t>
        </r>
        <r>
          <rPr>
            <sz val="9"/>
            <color indexed="81"/>
            <rFont val="Tahoma"/>
            <family val="2"/>
          </rPr>
          <t xml:space="preserve">
Combined price of wheat, barley, oats and dari.</t>
        </r>
      </text>
    </comment>
    <comment ref="BJ79" authorId="0" shapeId="0">
      <text>
        <r>
          <rPr>
            <b/>
            <sz val="9"/>
            <color indexed="81"/>
            <rFont val="Tahoma"/>
            <family val="2"/>
          </rPr>
          <t>Rai Ghulam Mustafa:</t>
        </r>
        <r>
          <rPr>
            <sz val="9"/>
            <color indexed="81"/>
            <rFont val="Tahoma"/>
            <family val="2"/>
          </rPr>
          <t xml:space="preserve">
Combined price of  grain, wheat and barley.</t>
        </r>
      </text>
    </comment>
    <comment ref="BK79" authorId="0" shapeId="0">
      <text>
        <r>
          <rPr>
            <b/>
            <sz val="9"/>
            <color indexed="81"/>
            <rFont val="Tahoma"/>
            <family val="2"/>
          </rPr>
          <t>Rai Ghulam Mustafa:</t>
        </r>
        <r>
          <rPr>
            <sz val="9"/>
            <color indexed="81"/>
            <rFont val="Tahoma"/>
            <family val="2"/>
          </rPr>
          <t xml:space="preserve">
Combined price of  grain, wheat and barley.</t>
        </r>
      </text>
    </comment>
    <comment ref="BN79" authorId="0" shapeId="0">
      <text>
        <r>
          <rPr>
            <b/>
            <sz val="9"/>
            <color indexed="81"/>
            <rFont val="Tahoma"/>
            <family val="2"/>
          </rPr>
          <t>Rai Ghulam Mustafa:</t>
        </r>
        <r>
          <rPr>
            <sz val="9"/>
            <color indexed="81"/>
            <rFont val="Tahoma"/>
            <family val="2"/>
          </rPr>
          <t xml:space="preserve">
Combined price of wheat and barley.
Quoted as cereals in this report, however,  quantities and values of wheat and barley for the previous two years are mentioned under cereals as well. </t>
        </r>
      </text>
    </comment>
    <comment ref="BB80" authorId="0" shapeId="0">
      <text>
        <r>
          <rPr>
            <b/>
            <sz val="9"/>
            <color indexed="81"/>
            <rFont val="Tahoma"/>
            <family val="2"/>
          </rPr>
          <t>Rai Ghulam Mustafa:</t>
        </r>
        <r>
          <rPr>
            <sz val="9"/>
            <color indexed="81"/>
            <rFont val="Tahoma"/>
            <family val="2"/>
          </rPr>
          <t xml:space="preserve">
Combined price of wheat, barley, oats and dari.</t>
        </r>
      </text>
    </comment>
  </commentList>
</comments>
</file>

<file path=xl/comments2.xml><?xml version="1.0" encoding="utf-8"?>
<comments xmlns="http://schemas.openxmlformats.org/spreadsheetml/2006/main">
  <authors>
    <author>Rai Ghulam Mustafa</author>
  </authors>
  <commentList>
    <comment ref="D2" authorId="0" shapeId="0">
      <text>
        <r>
          <rPr>
            <b/>
            <sz val="9"/>
            <color indexed="81"/>
            <rFont val="Tahoma"/>
            <family val="2"/>
          </rPr>
          <t>Rai Ghulam Mustafa:</t>
        </r>
        <r>
          <rPr>
            <sz val="9"/>
            <color indexed="81"/>
            <rFont val="Tahoma"/>
            <family val="2"/>
          </rPr>
          <t xml:space="preserve">
Gazette.</t>
        </r>
      </text>
    </comment>
    <comment ref="E2" authorId="0" shapeId="0">
      <text>
        <r>
          <rPr>
            <b/>
            <sz val="9"/>
            <color indexed="81"/>
            <rFont val="Tahoma"/>
            <family val="2"/>
          </rPr>
          <t>Rai Ghulam Mustafa:</t>
        </r>
        <r>
          <rPr>
            <sz val="9"/>
            <color indexed="81"/>
            <rFont val="Tahoma"/>
            <family val="2"/>
          </rPr>
          <t xml:space="preserve">
Harley.</t>
        </r>
      </text>
    </comment>
    <comment ref="G2" authorId="0" shapeId="0">
      <text>
        <r>
          <rPr>
            <b/>
            <sz val="9"/>
            <color indexed="81"/>
            <rFont val="Tahoma"/>
            <family val="2"/>
          </rPr>
          <t>Rai Ghulam Mustafa:</t>
        </r>
        <r>
          <rPr>
            <sz val="9"/>
            <color indexed="81"/>
            <rFont val="Tahoma"/>
            <family val="2"/>
          </rPr>
          <t xml:space="preserve">
Harley.
</t>
        </r>
      </text>
    </comment>
    <comment ref="N2" authorId="0" shapeId="0">
      <text>
        <r>
          <rPr>
            <b/>
            <sz val="9"/>
            <color indexed="81"/>
            <rFont val="Tahoma"/>
            <family val="2"/>
          </rPr>
          <t>Rai Ghulam Mustafa:</t>
        </r>
        <r>
          <rPr>
            <sz val="9"/>
            <color indexed="81"/>
            <rFont val="Tahoma"/>
            <family val="2"/>
          </rPr>
          <t xml:space="preserve">
Issawi.</t>
        </r>
      </text>
    </comment>
    <comment ref="AM40" authorId="0" shapeId="0">
      <text>
        <r>
          <rPr>
            <b/>
            <sz val="9"/>
            <color indexed="81"/>
            <rFont val="Tahoma"/>
            <family val="2"/>
          </rPr>
          <t>Rai Ghulam Mustafa:</t>
        </r>
        <r>
          <rPr>
            <sz val="9"/>
            <color indexed="81"/>
            <rFont val="Tahoma"/>
            <family val="2"/>
          </rPr>
          <t xml:space="preserve">
Combined price of wheat and flour.</t>
        </r>
      </text>
    </comment>
    <comment ref="AM41" authorId="0" shapeId="0">
      <text>
        <r>
          <rPr>
            <b/>
            <sz val="9"/>
            <color indexed="81"/>
            <rFont val="Tahoma"/>
            <family val="2"/>
          </rPr>
          <t>Rai Ghulam Mustafa:</t>
        </r>
        <r>
          <rPr>
            <sz val="9"/>
            <color indexed="81"/>
            <rFont val="Tahoma"/>
            <family val="2"/>
          </rPr>
          <t xml:space="preserve">
Combined price of wheat and flour.</t>
        </r>
      </text>
    </comment>
    <comment ref="AR41"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S41"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M42" authorId="0" shapeId="0">
      <text>
        <r>
          <rPr>
            <b/>
            <sz val="9"/>
            <color indexed="81"/>
            <rFont val="Tahoma"/>
            <family val="2"/>
          </rPr>
          <t>Rai Ghulam Mustafa:</t>
        </r>
        <r>
          <rPr>
            <sz val="9"/>
            <color indexed="81"/>
            <rFont val="Tahoma"/>
            <family val="2"/>
          </rPr>
          <t xml:space="preserve">
Combined price of wheat and flour.</t>
        </r>
      </text>
    </comment>
    <comment ref="AR42"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S42"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R43"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S43"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R44" authorId="0" shapeId="0">
      <text>
        <r>
          <rPr>
            <b/>
            <sz val="9"/>
            <color indexed="81"/>
            <rFont val="Tahoma"/>
            <family val="2"/>
          </rPr>
          <t>Rai Ghulam Mustafa:</t>
        </r>
        <r>
          <rPr>
            <sz val="9"/>
            <color indexed="81"/>
            <rFont val="Tahoma"/>
            <family val="2"/>
          </rPr>
          <t xml:space="preserve">
Quoted as 4.3327 sterling/kandy.</t>
        </r>
      </text>
    </comment>
    <comment ref="AS44"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C45" authorId="0" shapeId="0">
      <text>
        <r>
          <rPr>
            <b/>
            <sz val="9"/>
            <color indexed="81"/>
            <rFont val="Tahoma"/>
            <family val="2"/>
          </rPr>
          <t>Rai Ghulam Mustafa:</t>
        </r>
        <r>
          <rPr>
            <sz val="9"/>
            <color indexed="81"/>
            <rFont val="Tahoma"/>
            <family val="2"/>
          </rPr>
          <t xml:space="preserve">
Combined price of wheat, barley, oats and dari.</t>
        </r>
      </text>
    </comment>
    <comment ref="AR45" authorId="0" shapeId="0">
      <text>
        <r>
          <rPr>
            <b/>
            <sz val="9"/>
            <color indexed="81"/>
            <rFont val="Tahoma"/>
            <family val="2"/>
          </rPr>
          <t>Rai Ghulam Mustafa:</t>
        </r>
        <r>
          <rPr>
            <sz val="9"/>
            <color indexed="81"/>
            <rFont val="Tahoma"/>
            <family val="2"/>
          </rPr>
          <t xml:space="preserve">
Quoted as 3.5613 sterling/kandy.</t>
        </r>
      </text>
    </comment>
    <comment ref="AS45" authorId="0" shapeId="0">
      <text>
        <r>
          <rPr>
            <b/>
            <sz val="9"/>
            <color indexed="81"/>
            <rFont val="Tahoma"/>
            <family val="2"/>
          </rPr>
          <t>Rai Ghulam Mustafa:</t>
        </r>
        <r>
          <rPr>
            <sz val="9"/>
            <color indexed="81"/>
            <rFont val="Tahoma"/>
            <family val="2"/>
          </rPr>
          <t xml:space="preserve">
Converted using d/bushel to sterling/kandy average ratio of 11.7434 (calculated from Imports of the years 1877-79)</t>
        </r>
      </text>
    </comment>
    <comment ref="AC46" authorId="0" shapeId="0">
      <text>
        <r>
          <rPr>
            <b/>
            <sz val="9"/>
            <color indexed="81"/>
            <rFont val="Tahoma"/>
            <family val="2"/>
          </rPr>
          <t>Rai Ghulam Mustafa:</t>
        </r>
        <r>
          <rPr>
            <sz val="9"/>
            <color indexed="81"/>
            <rFont val="Tahoma"/>
            <family val="2"/>
          </rPr>
          <t xml:space="preserve">
Combined price of wheat, barley, oats and dari.</t>
        </r>
      </text>
    </comment>
    <comment ref="AR46" authorId="0" shapeId="0">
      <text>
        <r>
          <rPr>
            <b/>
            <sz val="9"/>
            <color indexed="81"/>
            <rFont val="Tahoma"/>
            <family val="2"/>
          </rPr>
          <t>Rai Ghulam Mustafa:</t>
        </r>
        <r>
          <rPr>
            <sz val="9"/>
            <color indexed="81"/>
            <rFont val="Tahoma"/>
            <family val="2"/>
          </rPr>
          <t xml:space="preserve">
Quoted as 5.2085 sterling/kandy</t>
        </r>
      </text>
    </comment>
    <comment ref="AB47" authorId="0" shapeId="0">
      <text>
        <r>
          <rPr>
            <b/>
            <sz val="9"/>
            <color indexed="81"/>
            <rFont val="Tahoma"/>
            <family val="2"/>
          </rPr>
          <t>Rai Ghulam Mustafa:</t>
        </r>
        <r>
          <rPr>
            <sz val="9"/>
            <color indexed="81"/>
            <rFont val="Tahoma"/>
            <family val="2"/>
          </rPr>
          <t xml:space="preserve">
Combined price of wheat, barley, oats and dari.</t>
        </r>
      </text>
    </comment>
    <comment ref="AC47" authorId="0" shapeId="0">
      <text>
        <r>
          <rPr>
            <b/>
            <sz val="9"/>
            <color indexed="81"/>
            <rFont val="Tahoma"/>
            <family val="2"/>
          </rPr>
          <t>Rai Ghulam Mustafa:</t>
        </r>
        <r>
          <rPr>
            <sz val="9"/>
            <color indexed="81"/>
            <rFont val="Tahoma"/>
            <family val="2"/>
          </rPr>
          <t xml:space="preserve">
Combined price of wheat, barley, oats and dari.</t>
        </r>
      </text>
    </comment>
    <comment ref="AC48" authorId="0" shapeId="0">
      <text>
        <r>
          <rPr>
            <b/>
            <sz val="9"/>
            <color indexed="81"/>
            <rFont val="Tahoma"/>
            <family val="2"/>
          </rPr>
          <t>Rai Ghulam Mustafa:</t>
        </r>
        <r>
          <rPr>
            <sz val="9"/>
            <color indexed="81"/>
            <rFont val="Tahoma"/>
            <family val="2"/>
          </rPr>
          <t xml:space="preserve">
Combined price of wheat, barley, oats and dari.</t>
        </r>
      </text>
    </comment>
    <comment ref="AC49" authorId="0" shapeId="0">
      <text>
        <r>
          <rPr>
            <b/>
            <sz val="9"/>
            <color indexed="81"/>
            <rFont val="Tahoma"/>
            <family val="2"/>
          </rPr>
          <t>Rai Ghulam Mustafa:</t>
        </r>
        <r>
          <rPr>
            <sz val="9"/>
            <color indexed="81"/>
            <rFont val="Tahoma"/>
            <family val="2"/>
          </rPr>
          <t xml:space="preserve">
Combined price of wheat, barley, oats and dari.</t>
        </r>
      </text>
    </comment>
    <comment ref="AC50" authorId="0" shapeId="0">
      <text>
        <r>
          <rPr>
            <b/>
            <sz val="9"/>
            <color indexed="81"/>
            <rFont val="Tahoma"/>
            <family val="2"/>
          </rPr>
          <t>Rai Ghulam Mustafa:</t>
        </r>
        <r>
          <rPr>
            <sz val="9"/>
            <color indexed="81"/>
            <rFont val="Tahoma"/>
            <family val="2"/>
          </rPr>
          <t xml:space="preserve">
Combined price of wheat, barley, oats and dari.</t>
        </r>
      </text>
    </comment>
    <comment ref="AC52" authorId="0" shapeId="0">
      <text>
        <r>
          <rPr>
            <b/>
            <sz val="9"/>
            <color indexed="81"/>
            <rFont val="Tahoma"/>
            <family val="2"/>
          </rPr>
          <t>Rai Ghulam Mustafa:</t>
        </r>
        <r>
          <rPr>
            <sz val="9"/>
            <color indexed="81"/>
            <rFont val="Tahoma"/>
            <family val="2"/>
          </rPr>
          <t xml:space="preserve">
Combined price of wheat, barley, oats and dari.</t>
        </r>
      </text>
    </comment>
    <comment ref="Y53" authorId="0" shapeId="0">
      <text>
        <r>
          <rPr>
            <b/>
            <sz val="9"/>
            <color indexed="81"/>
            <rFont val="Tahoma"/>
            <family val="2"/>
          </rPr>
          <t>Rai Ghulam Mustafa:</t>
        </r>
        <r>
          <rPr>
            <sz val="9"/>
            <color indexed="81"/>
            <rFont val="Tahoma"/>
            <family val="2"/>
          </rPr>
          <t xml:space="preserve">
Sterling/Kilo is 0.0207054739603523.</t>
        </r>
      </text>
    </comment>
    <comment ref="AC53" authorId="0" shapeId="0">
      <text>
        <r>
          <rPr>
            <b/>
            <sz val="9"/>
            <color indexed="81"/>
            <rFont val="Tahoma"/>
            <family val="2"/>
          </rPr>
          <t>Rai Ghulam Mustafa:</t>
        </r>
        <r>
          <rPr>
            <sz val="9"/>
            <color indexed="81"/>
            <rFont val="Tahoma"/>
            <family val="2"/>
          </rPr>
          <t xml:space="preserve">
Combined price of wheat, barley, oats and dari.</t>
        </r>
      </text>
    </comment>
    <comment ref="F54" authorId="0" shapeId="0">
      <text>
        <r>
          <rPr>
            <b/>
            <sz val="9"/>
            <color indexed="81"/>
            <rFont val="Tahoma"/>
            <family val="2"/>
          </rPr>
          <t>Rai Ghulam Mustafa:</t>
        </r>
        <r>
          <rPr>
            <sz val="9"/>
            <color indexed="81"/>
            <rFont val="Tahoma"/>
            <family val="2"/>
          </rPr>
          <t xml:space="preserve">
Quoted as Food grains.</t>
        </r>
      </text>
    </comment>
    <comment ref="Y54" authorId="0" shapeId="0">
      <text>
        <r>
          <rPr>
            <b/>
            <sz val="9"/>
            <color indexed="81"/>
            <rFont val="Tahoma"/>
            <family val="2"/>
          </rPr>
          <t>Rai Ghulam Mustafa:</t>
        </r>
        <r>
          <rPr>
            <sz val="9"/>
            <color indexed="81"/>
            <rFont val="Tahoma"/>
            <family val="2"/>
          </rPr>
          <t xml:space="preserve">
Sterling/Kilo is 0.0194288632118039</t>
        </r>
      </text>
    </comment>
    <comment ref="AC54" authorId="0" shapeId="0">
      <text>
        <r>
          <rPr>
            <b/>
            <sz val="9"/>
            <color indexed="81"/>
            <rFont val="Tahoma"/>
            <family val="2"/>
          </rPr>
          <t>Rai Ghulam Mustafa:</t>
        </r>
        <r>
          <rPr>
            <sz val="9"/>
            <color indexed="81"/>
            <rFont val="Tahoma"/>
            <family val="2"/>
          </rPr>
          <t xml:space="preserve">
Combined price of wheat, barley, oats and dari.</t>
        </r>
      </text>
    </comment>
    <comment ref="F55" authorId="0" shapeId="0">
      <text>
        <r>
          <rPr>
            <b/>
            <sz val="9"/>
            <color indexed="81"/>
            <rFont val="Tahoma"/>
            <family val="2"/>
          </rPr>
          <t>Rai Ghulam Mustafa:</t>
        </r>
        <r>
          <rPr>
            <sz val="9"/>
            <color indexed="81"/>
            <rFont val="Tahoma"/>
            <family val="2"/>
          </rPr>
          <t xml:space="preserve">
Quoted as Food grains.</t>
        </r>
      </text>
    </comment>
    <comment ref="AC55" authorId="0" shapeId="0">
      <text>
        <r>
          <rPr>
            <b/>
            <sz val="9"/>
            <color indexed="81"/>
            <rFont val="Tahoma"/>
            <family val="2"/>
          </rPr>
          <t>Rai Ghulam Mustafa:</t>
        </r>
        <r>
          <rPr>
            <sz val="9"/>
            <color indexed="81"/>
            <rFont val="Tahoma"/>
            <family val="2"/>
          </rPr>
          <t xml:space="preserve">
Combined price of wheat, barley, oats and dari.</t>
        </r>
      </text>
    </comment>
    <comment ref="F56" authorId="0" shapeId="0">
      <text>
        <r>
          <rPr>
            <b/>
            <sz val="9"/>
            <color indexed="81"/>
            <rFont val="Tahoma"/>
            <family val="2"/>
          </rPr>
          <t>Rai Ghulam Mustafa:</t>
        </r>
        <r>
          <rPr>
            <sz val="9"/>
            <color indexed="81"/>
            <rFont val="Tahoma"/>
            <family val="2"/>
          </rPr>
          <t xml:space="preserve">
Quoted as Food grains.</t>
        </r>
      </text>
    </comment>
    <comment ref="AC56" authorId="0" shapeId="0">
      <text>
        <r>
          <rPr>
            <b/>
            <sz val="9"/>
            <color indexed="81"/>
            <rFont val="Tahoma"/>
            <family val="2"/>
          </rPr>
          <t>Rai Ghulam Mustafa:</t>
        </r>
        <r>
          <rPr>
            <sz val="9"/>
            <color indexed="81"/>
            <rFont val="Tahoma"/>
            <family val="2"/>
          </rPr>
          <t xml:space="preserve">
Combined price of wheat, barley, oats and dari.</t>
        </r>
      </text>
    </comment>
    <comment ref="F57" authorId="0" shapeId="0">
      <text>
        <r>
          <rPr>
            <b/>
            <sz val="9"/>
            <color indexed="81"/>
            <rFont val="Tahoma"/>
            <family val="2"/>
          </rPr>
          <t>Rai Ghulam Mustafa:</t>
        </r>
        <r>
          <rPr>
            <sz val="9"/>
            <color indexed="81"/>
            <rFont val="Tahoma"/>
            <family val="2"/>
          </rPr>
          <t xml:space="preserve">
Quoted as Food grains.</t>
        </r>
      </text>
    </comment>
    <comment ref="AC57" authorId="0" shapeId="0">
      <text>
        <r>
          <rPr>
            <b/>
            <sz val="9"/>
            <color indexed="81"/>
            <rFont val="Tahoma"/>
            <family val="2"/>
          </rPr>
          <t>Rai Ghulam Mustafa:</t>
        </r>
        <r>
          <rPr>
            <sz val="9"/>
            <color indexed="81"/>
            <rFont val="Tahoma"/>
            <family val="2"/>
          </rPr>
          <t xml:space="preserve">
Combined price of wheat, barley, oats and dari.</t>
        </r>
      </text>
    </comment>
    <comment ref="F58" authorId="0" shapeId="0">
      <text>
        <r>
          <rPr>
            <b/>
            <sz val="9"/>
            <color indexed="81"/>
            <rFont val="Tahoma"/>
            <family val="2"/>
          </rPr>
          <t>Rai Ghulam Mustafa:</t>
        </r>
        <r>
          <rPr>
            <sz val="9"/>
            <color indexed="81"/>
            <rFont val="Tahoma"/>
            <family val="2"/>
          </rPr>
          <t xml:space="preserve">
Quoted as Food grains.</t>
        </r>
      </text>
    </comment>
    <comment ref="AC58" authorId="0" shapeId="0">
      <text>
        <r>
          <rPr>
            <b/>
            <sz val="9"/>
            <color indexed="81"/>
            <rFont val="Tahoma"/>
            <family val="2"/>
          </rPr>
          <t>Rai Ghulam Mustafa:</t>
        </r>
        <r>
          <rPr>
            <sz val="9"/>
            <color indexed="81"/>
            <rFont val="Tahoma"/>
            <family val="2"/>
          </rPr>
          <t xml:space="preserve">
Combined price of wheat, barley, oats and dari.</t>
        </r>
      </text>
    </comment>
    <comment ref="F59" authorId="0" shapeId="0">
      <text>
        <r>
          <rPr>
            <b/>
            <sz val="9"/>
            <color indexed="81"/>
            <rFont val="Tahoma"/>
            <family val="2"/>
          </rPr>
          <t>Rai Ghulam Mustafa:</t>
        </r>
        <r>
          <rPr>
            <sz val="9"/>
            <color indexed="81"/>
            <rFont val="Tahoma"/>
            <family val="2"/>
          </rPr>
          <t xml:space="preserve">
Quoted as Food grains.</t>
        </r>
      </text>
    </comment>
    <comment ref="AC59" authorId="0" shapeId="0">
      <text>
        <r>
          <rPr>
            <b/>
            <sz val="9"/>
            <color indexed="81"/>
            <rFont val="Tahoma"/>
            <family val="2"/>
          </rPr>
          <t>Rai Ghulam Mustafa:</t>
        </r>
        <r>
          <rPr>
            <sz val="9"/>
            <color indexed="81"/>
            <rFont val="Tahoma"/>
            <family val="2"/>
          </rPr>
          <t xml:space="preserve">
Combined price of wheat, barley, oats and dari.</t>
        </r>
      </text>
    </comment>
    <comment ref="AC60" authorId="0" shapeId="0">
      <text>
        <r>
          <rPr>
            <b/>
            <sz val="9"/>
            <color indexed="81"/>
            <rFont val="Tahoma"/>
            <family val="2"/>
          </rPr>
          <t>Rai Ghulam Mustafa:</t>
        </r>
        <r>
          <rPr>
            <sz val="9"/>
            <color indexed="81"/>
            <rFont val="Tahoma"/>
            <family val="2"/>
          </rPr>
          <t xml:space="preserve">
Combined price of wheat, barley, oats and dari.</t>
        </r>
      </text>
    </comment>
    <comment ref="AK60" authorId="0" shapeId="0">
      <text>
        <r>
          <rPr>
            <b/>
            <sz val="9"/>
            <color indexed="81"/>
            <rFont val="Tahoma"/>
            <family val="2"/>
          </rPr>
          <t>Rai Ghulam Mustafa:</t>
        </r>
        <r>
          <rPr>
            <sz val="9"/>
            <color indexed="81"/>
            <rFont val="Tahoma"/>
            <family val="2"/>
          </rPr>
          <t xml:space="preserve">
Combined price of wheat, barley and oats.
</t>
        </r>
      </text>
    </comment>
    <comment ref="AM60" authorId="0" shapeId="0">
      <text>
        <r>
          <rPr>
            <b/>
            <sz val="9"/>
            <color indexed="81"/>
            <rFont val="Tahoma"/>
            <family val="2"/>
          </rPr>
          <t>Rai Ghulam Mustafa:</t>
        </r>
        <r>
          <rPr>
            <sz val="9"/>
            <color indexed="81"/>
            <rFont val="Tahoma"/>
            <family val="2"/>
          </rPr>
          <t xml:space="preserve">
Combined price of wheat and flour.</t>
        </r>
      </text>
    </comment>
    <comment ref="AC61" authorId="0" shapeId="0">
      <text>
        <r>
          <rPr>
            <b/>
            <sz val="9"/>
            <color indexed="81"/>
            <rFont val="Tahoma"/>
            <family val="2"/>
          </rPr>
          <t>Rai Ghulam Mustafa:</t>
        </r>
        <r>
          <rPr>
            <sz val="9"/>
            <color indexed="81"/>
            <rFont val="Tahoma"/>
            <family val="2"/>
          </rPr>
          <t xml:space="preserve">
Combined price of wheat, barley, oats and dari.</t>
        </r>
      </text>
    </comment>
    <comment ref="AC62" authorId="0" shapeId="0">
      <text>
        <r>
          <rPr>
            <b/>
            <sz val="9"/>
            <color indexed="81"/>
            <rFont val="Tahoma"/>
            <family val="2"/>
          </rPr>
          <t>Rai Ghulam Mustafa:</t>
        </r>
        <r>
          <rPr>
            <sz val="9"/>
            <color indexed="81"/>
            <rFont val="Tahoma"/>
            <family val="2"/>
          </rPr>
          <t xml:space="preserve">
Combined price of wheat, barley, oats and dari.</t>
        </r>
      </text>
    </comment>
    <comment ref="AC63" authorId="0" shapeId="0">
      <text>
        <r>
          <rPr>
            <b/>
            <sz val="9"/>
            <color indexed="81"/>
            <rFont val="Tahoma"/>
            <family val="2"/>
          </rPr>
          <t>Rai Ghulam Mustafa:</t>
        </r>
        <r>
          <rPr>
            <sz val="9"/>
            <color indexed="81"/>
            <rFont val="Tahoma"/>
            <family val="2"/>
          </rPr>
          <t xml:space="preserve">
Combined price of wheat, barley, oats and dari.</t>
        </r>
      </text>
    </comment>
    <comment ref="AC64" authorId="0" shapeId="0">
      <text>
        <r>
          <rPr>
            <b/>
            <sz val="9"/>
            <color indexed="81"/>
            <rFont val="Tahoma"/>
            <family val="2"/>
          </rPr>
          <t>Rai Ghulam Mustafa:</t>
        </r>
        <r>
          <rPr>
            <sz val="9"/>
            <color indexed="81"/>
            <rFont val="Tahoma"/>
            <family val="2"/>
          </rPr>
          <t xml:space="preserve">
Combined price of wheat, barley, oats and dari.</t>
        </r>
      </text>
    </comment>
    <comment ref="AC65" authorId="0" shapeId="0">
      <text>
        <r>
          <rPr>
            <b/>
            <sz val="9"/>
            <color indexed="81"/>
            <rFont val="Tahoma"/>
            <family val="2"/>
          </rPr>
          <t>Rai Ghulam Mustafa:</t>
        </r>
        <r>
          <rPr>
            <sz val="9"/>
            <color indexed="81"/>
            <rFont val="Tahoma"/>
            <family val="2"/>
          </rPr>
          <t xml:space="preserve">
Combined price of wheat, barley, oats and dari.</t>
        </r>
      </text>
    </comment>
    <comment ref="F66" authorId="0" shapeId="0">
      <text>
        <r>
          <rPr>
            <b/>
            <sz val="9"/>
            <color indexed="81"/>
            <rFont val="Tahoma"/>
            <family val="2"/>
          </rPr>
          <t>Rai Ghulam Mustafa:</t>
        </r>
        <r>
          <rPr>
            <sz val="9"/>
            <color indexed="81"/>
            <rFont val="Tahoma"/>
            <family val="2"/>
          </rPr>
          <t xml:space="preserve">
Quoted as Food grains.</t>
        </r>
      </text>
    </comment>
    <comment ref="AC66" authorId="0" shapeId="0">
      <text>
        <r>
          <rPr>
            <b/>
            <sz val="9"/>
            <color indexed="81"/>
            <rFont val="Tahoma"/>
            <family val="2"/>
          </rPr>
          <t>Rai Ghulam Mustafa:</t>
        </r>
        <r>
          <rPr>
            <sz val="9"/>
            <color indexed="81"/>
            <rFont val="Tahoma"/>
            <family val="2"/>
          </rPr>
          <t xml:space="preserve">
Combined price of wheat, barley, oats and dari.</t>
        </r>
      </text>
    </comment>
    <comment ref="F67" authorId="0" shapeId="0">
      <text>
        <r>
          <rPr>
            <b/>
            <sz val="9"/>
            <color indexed="81"/>
            <rFont val="Tahoma"/>
            <family val="2"/>
          </rPr>
          <t>Rai Ghulam Mustafa:</t>
        </r>
        <r>
          <rPr>
            <sz val="9"/>
            <color indexed="81"/>
            <rFont val="Tahoma"/>
            <family val="2"/>
          </rPr>
          <t xml:space="preserve">
Quoted as Food grains.</t>
        </r>
      </text>
    </comment>
    <comment ref="AC67" authorId="0" shapeId="0">
      <text>
        <r>
          <rPr>
            <b/>
            <sz val="9"/>
            <color indexed="81"/>
            <rFont val="Tahoma"/>
            <family val="2"/>
          </rPr>
          <t>Rai Ghulam Mustafa:</t>
        </r>
        <r>
          <rPr>
            <sz val="9"/>
            <color indexed="81"/>
            <rFont val="Tahoma"/>
            <family val="2"/>
          </rPr>
          <t xml:space="preserve">
Combined price of wheat, barley, oats and dari.</t>
        </r>
      </text>
    </comment>
    <comment ref="F68" authorId="0" shapeId="0">
      <text>
        <r>
          <rPr>
            <b/>
            <sz val="9"/>
            <color indexed="81"/>
            <rFont val="Tahoma"/>
            <family val="2"/>
          </rPr>
          <t>Rai Ghulam Mustafa:</t>
        </r>
        <r>
          <rPr>
            <sz val="9"/>
            <color indexed="81"/>
            <rFont val="Tahoma"/>
            <family val="2"/>
          </rPr>
          <t xml:space="preserve">
Quoted as Food grains.</t>
        </r>
      </text>
    </comment>
    <comment ref="AC68" authorId="0" shapeId="0">
      <text>
        <r>
          <rPr>
            <b/>
            <sz val="9"/>
            <color indexed="81"/>
            <rFont val="Tahoma"/>
            <family val="2"/>
          </rPr>
          <t>Rai Ghulam Mustafa:</t>
        </r>
        <r>
          <rPr>
            <sz val="9"/>
            <color indexed="81"/>
            <rFont val="Tahoma"/>
            <family val="2"/>
          </rPr>
          <t xml:space="preserve">
Combined price of wheat, barley, oats and dari.</t>
        </r>
      </text>
    </comment>
    <comment ref="F69" authorId="0" shapeId="0">
      <text>
        <r>
          <rPr>
            <b/>
            <sz val="9"/>
            <color indexed="81"/>
            <rFont val="Tahoma"/>
            <family val="2"/>
          </rPr>
          <t>Rai Ghulam Mustafa:</t>
        </r>
        <r>
          <rPr>
            <sz val="9"/>
            <color indexed="81"/>
            <rFont val="Tahoma"/>
            <family val="2"/>
          </rPr>
          <t xml:space="preserve">
Quoted as Food grains.</t>
        </r>
      </text>
    </comment>
    <comment ref="AC69" authorId="0" shapeId="0">
      <text>
        <r>
          <rPr>
            <b/>
            <sz val="9"/>
            <color indexed="81"/>
            <rFont val="Tahoma"/>
            <family val="2"/>
          </rPr>
          <t>Rai Ghulam Mustafa:</t>
        </r>
        <r>
          <rPr>
            <sz val="9"/>
            <color indexed="81"/>
            <rFont val="Tahoma"/>
            <family val="2"/>
          </rPr>
          <t xml:space="preserve">
Combined price of wheat, barley, oats and dari.</t>
        </r>
      </text>
    </comment>
    <comment ref="AD69" authorId="0" shapeId="0">
      <text>
        <r>
          <rPr>
            <b/>
            <sz val="9"/>
            <color indexed="81"/>
            <rFont val="Tahoma"/>
            <family val="2"/>
          </rPr>
          <t>Rai Ghulam Mustafa:</t>
        </r>
        <r>
          <rPr>
            <sz val="9"/>
            <color indexed="81"/>
            <rFont val="Tahoma"/>
            <family val="2"/>
          </rPr>
          <t xml:space="preserve">
Combined price of grain, wheat and barley.</t>
        </r>
      </text>
    </comment>
    <comment ref="AE69" authorId="0" shapeId="0">
      <text>
        <r>
          <rPr>
            <b/>
            <sz val="9"/>
            <color indexed="81"/>
            <rFont val="Tahoma"/>
            <family val="2"/>
          </rPr>
          <t>Rai Ghulam Mustafa:</t>
        </r>
        <r>
          <rPr>
            <sz val="9"/>
            <color indexed="81"/>
            <rFont val="Tahoma"/>
            <family val="2"/>
          </rPr>
          <t xml:space="preserve">
Combined price of  grain, wheat and barley.</t>
        </r>
      </text>
    </comment>
    <comment ref="AI69" authorId="0" shapeId="0">
      <text>
        <r>
          <rPr>
            <b/>
            <sz val="9"/>
            <color indexed="81"/>
            <rFont val="Tahoma"/>
            <family val="2"/>
          </rPr>
          <t>Rai Ghulam Mustafa:</t>
        </r>
        <r>
          <rPr>
            <sz val="9"/>
            <color indexed="81"/>
            <rFont val="Tahoma"/>
            <family val="2"/>
          </rPr>
          <t xml:space="preserve">
Reconfirmed from report.</t>
        </r>
      </text>
    </comment>
    <comment ref="AC70" authorId="0" shapeId="0">
      <text>
        <r>
          <rPr>
            <b/>
            <sz val="9"/>
            <color indexed="81"/>
            <rFont val="Tahoma"/>
            <family val="2"/>
          </rPr>
          <t>Rai Ghulam Mustafa:</t>
        </r>
        <r>
          <rPr>
            <sz val="9"/>
            <color indexed="81"/>
            <rFont val="Tahoma"/>
            <family val="2"/>
          </rPr>
          <t xml:space="preserve">
Combined price of wheat, barley, oats and dari.</t>
        </r>
      </text>
    </comment>
    <comment ref="AD70" authorId="0" shapeId="0">
      <text>
        <r>
          <rPr>
            <b/>
            <sz val="9"/>
            <color indexed="81"/>
            <rFont val="Tahoma"/>
            <family val="2"/>
          </rPr>
          <t>Rai Ghulam Mustafa:</t>
        </r>
        <r>
          <rPr>
            <sz val="9"/>
            <color indexed="81"/>
            <rFont val="Tahoma"/>
            <family val="2"/>
          </rPr>
          <t xml:space="preserve">
Combined price of  grain, wheat and barley.</t>
        </r>
      </text>
    </comment>
    <comment ref="AE70" authorId="0" shapeId="0">
      <text>
        <r>
          <rPr>
            <b/>
            <sz val="9"/>
            <color indexed="81"/>
            <rFont val="Tahoma"/>
            <family val="2"/>
          </rPr>
          <t>Rai Ghulam Mustafa:</t>
        </r>
        <r>
          <rPr>
            <sz val="9"/>
            <color indexed="81"/>
            <rFont val="Tahoma"/>
            <family val="2"/>
          </rPr>
          <t xml:space="preserve">
Combined price of  grain, wheat and barley.</t>
        </r>
      </text>
    </comment>
    <comment ref="AG70" authorId="0" shapeId="0">
      <text>
        <r>
          <rPr>
            <b/>
            <sz val="9"/>
            <color indexed="81"/>
            <rFont val="Tahoma"/>
            <family val="2"/>
          </rPr>
          <t>Rai Ghulam Mustafa:</t>
        </r>
        <r>
          <rPr>
            <sz val="9"/>
            <color indexed="81"/>
            <rFont val="Tahoma"/>
            <family val="2"/>
          </rPr>
          <t xml:space="preserve">
Combined price of wheat and barley.</t>
        </r>
      </text>
    </comment>
    <comment ref="AC71" authorId="0" shapeId="0">
      <text>
        <r>
          <rPr>
            <b/>
            <sz val="9"/>
            <color indexed="81"/>
            <rFont val="Tahoma"/>
            <family val="2"/>
          </rPr>
          <t>Rai Ghulam Mustafa:</t>
        </r>
        <r>
          <rPr>
            <sz val="9"/>
            <color indexed="81"/>
            <rFont val="Tahoma"/>
            <family val="2"/>
          </rPr>
          <t xml:space="preserve">
Combined price of wheat, barley, oats and dari.</t>
        </r>
      </text>
    </comment>
    <comment ref="AD71" authorId="0" shapeId="0">
      <text>
        <r>
          <rPr>
            <b/>
            <sz val="9"/>
            <color indexed="81"/>
            <rFont val="Tahoma"/>
            <family val="2"/>
          </rPr>
          <t>Rai Ghulam Mustafa:</t>
        </r>
        <r>
          <rPr>
            <sz val="9"/>
            <color indexed="81"/>
            <rFont val="Tahoma"/>
            <family val="2"/>
          </rPr>
          <t xml:space="preserve">
Combined price of grain, wheat and barley.</t>
        </r>
      </text>
    </comment>
    <comment ref="AG71" authorId="0" shapeId="0">
      <text>
        <r>
          <rPr>
            <b/>
            <sz val="9"/>
            <color indexed="81"/>
            <rFont val="Tahoma"/>
            <family val="2"/>
          </rPr>
          <t>Rai Ghulam Mustafa:</t>
        </r>
        <r>
          <rPr>
            <sz val="9"/>
            <color indexed="81"/>
            <rFont val="Tahoma"/>
            <family val="2"/>
          </rPr>
          <t xml:space="preserve">
Combined price of wheat and barley.</t>
        </r>
      </text>
    </comment>
    <comment ref="F72" authorId="0" shapeId="0">
      <text>
        <r>
          <rPr>
            <b/>
            <sz val="9"/>
            <color indexed="81"/>
            <rFont val="Tahoma"/>
            <family val="2"/>
          </rPr>
          <t>Rai Ghulam Mustafa:</t>
        </r>
        <r>
          <rPr>
            <sz val="9"/>
            <color indexed="81"/>
            <rFont val="Tahoma"/>
            <family val="2"/>
          </rPr>
          <t xml:space="preserve">
Quoted as grain and flour.</t>
        </r>
      </text>
    </comment>
    <comment ref="AC72" authorId="0" shapeId="0">
      <text>
        <r>
          <rPr>
            <b/>
            <sz val="9"/>
            <color indexed="81"/>
            <rFont val="Tahoma"/>
            <family val="2"/>
          </rPr>
          <t>Rai Ghulam Mustafa:</t>
        </r>
        <r>
          <rPr>
            <sz val="9"/>
            <color indexed="81"/>
            <rFont val="Tahoma"/>
            <family val="2"/>
          </rPr>
          <t xml:space="preserve">
Combined price of wheat, barley, oats and dari.</t>
        </r>
      </text>
    </comment>
    <comment ref="AD72" authorId="0" shapeId="0">
      <text>
        <r>
          <rPr>
            <b/>
            <sz val="9"/>
            <color indexed="81"/>
            <rFont val="Tahoma"/>
            <family val="2"/>
          </rPr>
          <t>Rai Ghulam Mustafa:</t>
        </r>
        <r>
          <rPr>
            <sz val="9"/>
            <color indexed="81"/>
            <rFont val="Tahoma"/>
            <family val="2"/>
          </rPr>
          <t xml:space="preserve">
Combined price of  grain, wheat and barley.</t>
        </r>
      </text>
    </comment>
    <comment ref="F73" authorId="0" shapeId="0">
      <text>
        <r>
          <rPr>
            <b/>
            <sz val="9"/>
            <color indexed="81"/>
            <rFont val="Tahoma"/>
            <family val="2"/>
          </rPr>
          <t>Rai Ghulam Mustafa:</t>
        </r>
        <r>
          <rPr>
            <sz val="9"/>
            <color indexed="81"/>
            <rFont val="Tahoma"/>
            <family val="2"/>
          </rPr>
          <t xml:space="preserve">
Quoted as grain and flour.</t>
        </r>
      </text>
    </comment>
    <comment ref="AC73" authorId="0" shapeId="0">
      <text>
        <r>
          <rPr>
            <b/>
            <sz val="9"/>
            <color indexed="81"/>
            <rFont val="Tahoma"/>
            <family val="2"/>
          </rPr>
          <t>Rai Ghulam Mustafa:</t>
        </r>
        <r>
          <rPr>
            <sz val="9"/>
            <color indexed="81"/>
            <rFont val="Tahoma"/>
            <family val="2"/>
          </rPr>
          <t xml:space="preserve">
Combined price of wheat, barley, oats and dari.</t>
        </r>
      </text>
    </comment>
    <comment ref="AD73" authorId="0" shapeId="0">
      <text>
        <r>
          <rPr>
            <b/>
            <sz val="9"/>
            <color indexed="81"/>
            <rFont val="Tahoma"/>
            <family val="2"/>
          </rPr>
          <t>Rai Ghulam Mustafa:</t>
        </r>
        <r>
          <rPr>
            <sz val="9"/>
            <color indexed="81"/>
            <rFont val="Tahoma"/>
            <family val="2"/>
          </rPr>
          <t xml:space="preserve">
Combined price of  grain, wheat and barley.</t>
        </r>
      </text>
    </comment>
    <comment ref="AK73" authorId="0" shapeId="0">
      <text>
        <r>
          <rPr>
            <b/>
            <sz val="9"/>
            <color indexed="81"/>
            <rFont val="Tahoma"/>
            <family val="2"/>
          </rPr>
          <t>Rai Ghulam Mustafa:</t>
        </r>
        <r>
          <rPr>
            <sz val="9"/>
            <color indexed="81"/>
            <rFont val="Tahoma"/>
            <family val="2"/>
          </rPr>
          <t xml:space="preserve">
Combined price of wheat, barley and oats.</t>
        </r>
      </text>
    </comment>
    <comment ref="AM73" authorId="0" shapeId="0">
      <text>
        <r>
          <rPr>
            <b/>
            <sz val="9"/>
            <color indexed="81"/>
            <rFont val="Tahoma"/>
            <family val="2"/>
          </rPr>
          <t>Rai Ghulam Mustafa:</t>
        </r>
        <r>
          <rPr>
            <sz val="9"/>
            <color indexed="81"/>
            <rFont val="Tahoma"/>
            <family val="2"/>
          </rPr>
          <t xml:space="preserve">
Combined price of wheat and barley.</t>
        </r>
      </text>
    </comment>
    <comment ref="AC74" authorId="0" shapeId="0">
      <text>
        <r>
          <rPr>
            <b/>
            <sz val="9"/>
            <color indexed="81"/>
            <rFont val="Tahoma"/>
            <family val="2"/>
          </rPr>
          <t>Rai Ghulam Mustafa:</t>
        </r>
        <r>
          <rPr>
            <sz val="9"/>
            <color indexed="81"/>
            <rFont val="Tahoma"/>
            <family val="2"/>
          </rPr>
          <t xml:space="preserve">
Combined price of wheat, barley, oats and dari.</t>
        </r>
      </text>
    </comment>
    <comment ref="AD74" authorId="0" shapeId="0">
      <text>
        <r>
          <rPr>
            <b/>
            <sz val="9"/>
            <color indexed="81"/>
            <rFont val="Tahoma"/>
            <family val="2"/>
          </rPr>
          <t>Rai Ghulam Mustafa:</t>
        </r>
        <r>
          <rPr>
            <sz val="9"/>
            <color indexed="81"/>
            <rFont val="Tahoma"/>
            <family val="2"/>
          </rPr>
          <t xml:space="preserve">
Combined price of grain,  wheat and barley.</t>
        </r>
      </text>
    </comment>
    <comment ref="AK74" authorId="0" shapeId="0">
      <text>
        <r>
          <rPr>
            <b/>
            <sz val="9"/>
            <color indexed="81"/>
            <rFont val="Tahoma"/>
            <family val="2"/>
          </rPr>
          <t>Rai Ghulam Mustafa:</t>
        </r>
        <r>
          <rPr>
            <sz val="9"/>
            <color indexed="81"/>
            <rFont val="Tahoma"/>
            <family val="2"/>
          </rPr>
          <t xml:space="preserve">
Combined price of wheat, barley and oats.</t>
        </r>
      </text>
    </comment>
    <comment ref="AM74" authorId="0" shapeId="0">
      <text>
        <r>
          <rPr>
            <b/>
            <sz val="9"/>
            <color indexed="81"/>
            <rFont val="Tahoma"/>
            <family val="2"/>
          </rPr>
          <t>Rai Ghulam Mustafa:</t>
        </r>
        <r>
          <rPr>
            <sz val="9"/>
            <color indexed="81"/>
            <rFont val="Tahoma"/>
            <family val="2"/>
          </rPr>
          <t xml:space="preserve">
Combined price of wheat and barley.</t>
        </r>
      </text>
    </comment>
    <comment ref="AC75" authorId="0" shapeId="0">
      <text>
        <r>
          <rPr>
            <b/>
            <sz val="9"/>
            <color indexed="81"/>
            <rFont val="Tahoma"/>
            <family val="2"/>
          </rPr>
          <t>Rai Ghulam Mustafa:</t>
        </r>
        <r>
          <rPr>
            <sz val="9"/>
            <color indexed="81"/>
            <rFont val="Tahoma"/>
            <family val="2"/>
          </rPr>
          <t xml:space="preserve">
Combined price of wheat, barley, oats and dari.</t>
        </r>
      </text>
    </comment>
    <comment ref="AD75" authorId="0" shapeId="0">
      <text>
        <r>
          <rPr>
            <b/>
            <sz val="9"/>
            <color indexed="81"/>
            <rFont val="Tahoma"/>
            <family val="2"/>
          </rPr>
          <t>Rai Ghulam Mustafa:</t>
        </r>
        <r>
          <rPr>
            <sz val="9"/>
            <color indexed="81"/>
            <rFont val="Tahoma"/>
            <family val="2"/>
          </rPr>
          <t xml:space="preserve">
Combined price of  grain, wheat and barley.</t>
        </r>
      </text>
    </comment>
    <comment ref="AE75" authorId="0" shapeId="0">
      <text>
        <r>
          <rPr>
            <b/>
            <sz val="9"/>
            <color indexed="81"/>
            <rFont val="Tahoma"/>
            <family val="2"/>
          </rPr>
          <t>Rai Ghulam Mustafa:</t>
        </r>
        <r>
          <rPr>
            <sz val="9"/>
            <color indexed="81"/>
            <rFont val="Tahoma"/>
            <family val="2"/>
          </rPr>
          <t xml:space="preserve">
Combined price of  grain, wheat and barley.</t>
        </r>
      </text>
    </comment>
    <comment ref="AH75" authorId="0" shapeId="0">
      <text>
        <r>
          <rPr>
            <b/>
            <sz val="9"/>
            <color indexed="81"/>
            <rFont val="Tahoma"/>
            <family val="2"/>
          </rPr>
          <t>Rai Ghulam Mustafa:</t>
        </r>
        <r>
          <rPr>
            <sz val="9"/>
            <color indexed="81"/>
            <rFont val="Tahoma"/>
            <family val="2"/>
          </rPr>
          <t xml:space="preserve">
Combined price of wheat and barley.</t>
        </r>
      </text>
    </comment>
    <comment ref="AK75" authorId="0" shapeId="0">
      <text>
        <r>
          <rPr>
            <b/>
            <sz val="9"/>
            <color indexed="81"/>
            <rFont val="Tahoma"/>
            <family val="2"/>
          </rPr>
          <t>Rai Ghulam Mustafa:</t>
        </r>
        <r>
          <rPr>
            <sz val="9"/>
            <color indexed="81"/>
            <rFont val="Tahoma"/>
            <family val="2"/>
          </rPr>
          <t xml:space="preserve">
Combined price of wheat, barley and oats.</t>
        </r>
      </text>
    </comment>
    <comment ref="AM75" authorId="0" shapeId="0">
      <text>
        <r>
          <rPr>
            <b/>
            <sz val="9"/>
            <color indexed="81"/>
            <rFont val="Tahoma"/>
            <family val="2"/>
          </rPr>
          <t>Rai Ghulam Mustafa:</t>
        </r>
        <r>
          <rPr>
            <sz val="9"/>
            <color indexed="81"/>
            <rFont val="Tahoma"/>
            <family val="2"/>
          </rPr>
          <t xml:space="preserve">
Combined price of wheat and barley.</t>
        </r>
      </text>
    </comment>
    <comment ref="AN75" authorId="0" shapeId="0">
      <text>
        <r>
          <rPr>
            <b/>
            <sz val="9"/>
            <color indexed="81"/>
            <rFont val="Tahoma"/>
            <family val="2"/>
          </rPr>
          <t>Rai Ghulam Mustafa:</t>
        </r>
        <r>
          <rPr>
            <sz val="9"/>
            <color indexed="81"/>
            <rFont val="Tahoma"/>
            <family val="2"/>
          </rPr>
          <t xml:space="preserve">
Combined price of wheat and barley.</t>
        </r>
      </text>
    </comment>
    <comment ref="AC76" authorId="0" shapeId="0">
      <text>
        <r>
          <rPr>
            <b/>
            <sz val="9"/>
            <color indexed="81"/>
            <rFont val="Tahoma"/>
            <family val="2"/>
          </rPr>
          <t>Rai Ghulam Mustafa:</t>
        </r>
        <r>
          <rPr>
            <sz val="9"/>
            <color indexed="81"/>
            <rFont val="Tahoma"/>
            <family val="2"/>
          </rPr>
          <t xml:space="preserve">
Combined price of wheat, barley, oats and dari.</t>
        </r>
      </text>
    </comment>
    <comment ref="AD76" authorId="0" shapeId="0">
      <text>
        <r>
          <rPr>
            <b/>
            <sz val="9"/>
            <color indexed="81"/>
            <rFont val="Tahoma"/>
            <family val="2"/>
          </rPr>
          <t>Rai Ghulam Mustafa:</t>
        </r>
        <r>
          <rPr>
            <sz val="9"/>
            <color indexed="81"/>
            <rFont val="Tahoma"/>
            <family val="2"/>
          </rPr>
          <t xml:space="preserve">
Combined price of grain,  wheat and barley.</t>
        </r>
      </text>
    </comment>
    <comment ref="AE76" authorId="0" shapeId="0">
      <text>
        <r>
          <rPr>
            <b/>
            <sz val="9"/>
            <color indexed="81"/>
            <rFont val="Tahoma"/>
            <family val="2"/>
          </rPr>
          <t>Rai Ghulam Mustafa:</t>
        </r>
        <r>
          <rPr>
            <sz val="9"/>
            <color indexed="81"/>
            <rFont val="Tahoma"/>
            <family val="2"/>
          </rPr>
          <t xml:space="preserve">
Combined price of  grain, wheat and barley.</t>
        </r>
      </text>
    </comment>
    <comment ref="AH76" authorId="0" shapeId="0">
      <text>
        <r>
          <rPr>
            <b/>
            <sz val="9"/>
            <color indexed="81"/>
            <rFont val="Tahoma"/>
            <family val="2"/>
          </rPr>
          <t>Rai Ghulam Mustafa:</t>
        </r>
        <r>
          <rPr>
            <sz val="9"/>
            <color indexed="81"/>
            <rFont val="Tahoma"/>
            <family val="2"/>
          </rPr>
          <t xml:space="preserve">
Combined price of wheat and barley.</t>
        </r>
      </text>
    </comment>
    <comment ref="AK76" authorId="0" shapeId="0">
      <text>
        <r>
          <rPr>
            <b/>
            <sz val="9"/>
            <color indexed="81"/>
            <rFont val="Tahoma"/>
            <family val="2"/>
          </rPr>
          <t>Rai Ghulam Mustafa:</t>
        </r>
        <r>
          <rPr>
            <sz val="9"/>
            <color indexed="81"/>
            <rFont val="Tahoma"/>
            <family val="2"/>
          </rPr>
          <t xml:space="preserve">
Combined price of wheat, barley and oats.</t>
        </r>
      </text>
    </comment>
    <comment ref="AM76" authorId="0" shapeId="0">
      <text>
        <r>
          <rPr>
            <b/>
            <sz val="9"/>
            <color indexed="81"/>
            <rFont val="Tahoma"/>
            <family val="2"/>
          </rPr>
          <t>Rai Ghulam Mustafa:</t>
        </r>
        <r>
          <rPr>
            <sz val="9"/>
            <color indexed="81"/>
            <rFont val="Tahoma"/>
            <family val="2"/>
          </rPr>
          <t xml:space="preserve">
Combined price of wheat and barley.</t>
        </r>
      </text>
    </comment>
    <comment ref="AN76" authorId="0" shapeId="0">
      <text>
        <r>
          <rPr>
            <b/>
            <sz val="9"/>
            <color indexed="81"/>
            <rFont val="Tahoma"/>
            <family val="2"/>
          </rPr>
          <t>Rai Ghulam Mustafa:</t>
        </r>
        <r>
          <rPr>
            <sz val="9"/>
            <color indexed="81"/>
            <rFont val="Tahoma"/>
            <family val="2"/>
          </rPr>
          <t xml:space="preserve">
Combined price of wheat and barley.</t>
        </r>
      </text>
    </comment>
    <comment ref="AC77" authorId="0" shapeId="0">
      <text>
        <r>
          <rPr>
            <b/>
            <sz val="9"/>
            <color indexed="81"/>
            <rFont val="Tahoma"/>
            <family val="2"/>
          </rPr>
          <t>Rai Ghulam Mustafa:</t>
        </r>
        <r>
          <rPr>
            <sz val="9"/>
            <color indexed="81"/>
            <rFont val="Tahoma"/>
            <family val="2"/>
          </rPr>
          <t xml:space="preserve">
Combined price of wheat, barley, oats and dari.</t>
        </r>
      </text>
    </comment>
    <comment ref="AD77" authorId="0" shapeId="0">
      <text>
        <r>
          <rPr>
            <b/>
            <sz val="9"/>
            <color indexed="81"/>
            <rFont val="Tahoma"/>
            <family val="2"/>
          </rPr>
          <t>Rai Ghulam Mustafa:</t>
        </r>
        <r>
          <rPr>
            <sz val="9"/>
            <color indexed="81"/>
            <rFont val="Tahoma"/>
            <family val="2"/>
          </rPr>
          <t xml:space="preserve">
Combined price of  grain, wheat and barley.</t>
        </r>
      </text>
    </comment>
    <comment ref="AE77" authorId="0" shapeId="0">
      <text>
        <r>
          <rPr>
            <b/>
            <sz val="9"/>
            <color indexed="81"/>
            <rFont val="Tahoma"/>
            <family val="2"/>
          </rPr>
          <t>Rai Ghulam Mustafa:</t>
        </r>
        <r>
          <rPr>
            <sz val="9"/>
            <color indexed="81"/>
            <rFont val="Tahoma"/>
            <family val="2"/>
          </rPr>
          <t xml:space="preserve">
Combined price of  grain, wheat and barley.</t>
        </r>
      </text>
    </comment>
    <comment ref="AH77" authorId="0" shapeId="0">
      <text>
        <r>
          <rPr>
            <b/>
            <sz val="9"/>
            <color indexed="81"/>
            <rFont val="Tahoma"/>
            <family val="2"/>
          </rPr>
          <t>Rai Ghulam Mustafa:</t>
        </r>
        <r>
          <rPr>
            <sz val="9"/>
            <color indexed="81"/>
            <rFont val="Tahoma"/>
            <family val="2"/>
          </rPr>
          <t xml:space="preserve">
Combined price of wheat and barley.</t>
        </r>
      </text>
    </comment>
    <comment ref="AK77" authorId="0" shapeId="0">
      <text>
        <r>
          <rPr>
            <b/>
            <sz val="9"/>
            <color indexed="81"/>
            <rFont val="Tahoma"/>
            <family val="2"/>
          </rPr>
          <t>Rai Ghulam Mustafa:</t>
        </r>
        <r>
          <rPr>
            <sz val="9"/>
            <color indexed="81"/>
            <rFont val="Tahoma"/>
            <family val="2"/>
          </rPr>
          <t xml:space="preserve">
Combined price of wheat, barley and oats.</t>
        </r>
      </text>
    </comment>
    <comment ref="AM77" authorId="0" shapeId="0">
      <text>
        <r>
          <rPr>
            <b/>
            <sz val="9"/>
            <color indexed="81"/>
            <rFont val="Tahoma"/>
            <family val="2"/>
          </rPr>
          <t>Rai Ghulam Mustafa:</t>
        </r>
        <r>
          <rPr>
            <sz val="9"/>
            <color indexed="81"/>
            <rFont val="Tahoma"/>
            <family val="2"/>
          </rPr>
          <t xml:space="preserve">
Combined price of wheat and barley.</t>
        </r>
      </text>
    </comment>
    <comment ref="AN77" authorId="0" shapeId="0">
      <text>
        <r>
          <rPr>
            <b/>
            <sz val="9"/>
            <color indexed="81"/>
            <rFont val="Tahoma"/>
            <family val="2"/>
          </rPr>
          <t>Rai Ghulam Mustafa:</t>
        </r>
        <r>
          <rPr>
            <sz val="9"/>
            <color indexed="81"/>
            <rFont val="Tahoma"/>
            <family val="2"/>
          </rPr>
          <t xml:space="preserve">
Combined price of wheat and barley.</t>
        </r>
      </text>
    </comment>
    <comment ref="AC78" authorId="0" shapeId="0">
      <text>
        <r>
          <rPr>
            <b/>
            <sz val="9"/>
            <color indexed="81"/>
            <rFont val="Tahoma"/>
            <family val="2"/>
          </rPr>
          <t>Rai Ghulam Mustafa:</t>
        </r>
        <r>
          <rPr>
            <sz val="9"/>
            <color indexed="81"/>
            <rFont val="Tahoma"/>
            <family val="2"/>
          </rPr>
          <t xml:space="preserve">
Combined price of wheat, barley, oats and dari.</t>
        </r>
      </text>
    </comment>
    <comment ref="AD78" authorId="0" shapeId="0">
      <text>
        <r>
          <rPr>
            <b/>
            <sz val="9"/>
            <color indexed="81"/>
            <rFont val="Tahoma"/>
            <family val="2"/>
          </rPr>
          <t>Rai Ghulam Mustafa:</t>
        </r>
        <r>
          <rPr>
            <sz val="9"/>
            <color indexed="81"/>
            <rFont val="Tahoma"/>
            <family val="2"/>
          </rPr>
          <t xml:space="preserve">
Combined price of  grain, wheat and barley.</t>
        </r>
      </text>
    </comment>
    <comment ref="AE78" authorId="0" shapeId="0">
      <text>
        <r>
          <rPr>
            <b/>
            <sz val="9"/>
            <color indexed="81"/>
            <rFont val="Tahoma"/>
            <family val="2"/>
          </rPr>
          <t>Rai Ghulam Mustafa:</t>
        </r>
        <r>
          <rPr>
            <sz val="9"/>
            <color indexed="81"/>
            <rFont val="Tahoma"/>
            <family val="2"/>
          </rPr>
          <t xml:space="preserve">
Combined price of  grain, wheat and barley.</t>
        </r>
      </text>
    </comment>
    <comment ref="AH78" authorId="0" shapeId="0">
      <text>
        <r>
          <rPr>
            <b/>
            <sz val="9"/>
            <color indexed="81"/>
            <rFont val="Tahoma"/>
            <family val="2"/>
          </rPr>
          <t>Rai Ghulam Mustafa:</t>
        </r>
        <r>
          <rPr>
            <sz val="9"/>
            <color indexed="81"/>
            <rFont val="Tahoma"/>
            <family val="2"/>
          </rPr>
          <t xml:space="preserve">
Combined price of wheat and barley.</t>
        </r>
      </text>
    </comment>
    <comment ref="AO78" authorId="0" shapeId="0">
      <text>
        <r>
          <rPr>
            <b/>
            <sz val="9"/>
            <color indexed="81"/>
            <rFont val="Tahoma"/>
            <family val="2"/>
          </rPr>
          <t>Rai Ghulam Mustafa:</t>
        </r>
        <r>
          <rPr>
            <sz val="9"/>
            <color indexed="81"/>
            <rFont val="Tahoma"/>
            <family val="2"/>
          </rPr>
          <t xml:space="preserve">
This increase is due to a corner by grain holders.</t>
        </r>
      </text>
    </comment>
    <comment ref="AC79" authorId="0" shapeId="0">
      <text>
        <r>
          <rPr>
            <b/>
            <sz val="9"/>
            <color indexed="81"/>
            <rFont val="Tahoma"/>
            <family val="2"/>
          </rPr>
          <t>Rai Ghulam Mustafa:</t>
        </r>
        <r>
          <rPr>
            <sz val="9"/>
            <color indexed="81"/>
            <rFont val="Tahoma"/>
            <family val="2"/>
          </rPr>
          <t xml:space="preserve">
Combined price of wheat, barley, oats and dari.</t>
        </r>
      </text>
    </comment>
    <comment ref="AD79" authorId="0" shapeId="0">
      <text>
        <r>
          <rPr>
            <b/>
            <sz val="9"/>
            <color indexed="81"/>
            <rFont val="Tahoma"/>
            <family val="2"/>
          </rPr>
          <t>Rai Ghulam Mustafa:</t>
        </r>
        <r>
          <rPr>
            <sz val="9"/>
            <color indexed="81"/>
            <rFont val="Tahoma"/>
            <family val="2"/>
          </rPr>
          <t xml:space="preserve">
Combined price of  grain, wheat and barley.</t>
        </r>
      </text>
    </comment>
    <comment ref="AE79" authorId="0" shapeId="0">
      <text>
        <r>
          <rPr>
            <b/>
            <sz val="9"/>
            <color indexed="81"/>
            <rFont val="Tahoma"/>
            <family val="2"/>
          </rPr>
          <t>Rai Ghulam Mustafa:</t>
        </r>
        <r>
          <rPr>
            <sz val="9"/>
            <color indexed="81"/>
            <rFont val="Tahoma"/>
            <family val="2"/>
          </rPr>
          <t xml:space="preserve">
Combined price of  grain, wheat and barley.</t>
        </r>
      </text>
    </comment>
    <comment ref="AH79" authorId="0" shapeId="0">
      <text>
        <r>
          <rPr>
            <b/>
            <sz val="9"/>
            <color indexed="81"/>
            <rFont val="Tahoma"/>
            <family val="2"/>
          </rPr>
          <t>Rai Ghulam Mustafa:</t>
        </r>
        <r>
          <rPr>
            <sz val="9"/>
            <color indexed="81"/>
            <rFont val="Tahoma"/>
            <family val="2"/>
          </rPr>
          <t xml:space="preserve">
Combined price of wheat and barley.
Quoted as cereals in this report, however,  quantities and values of wheat and barley for the previous two years are mentioned under cereals as well. </t>
        </r>
      </text>
    </comment>
    <comment ref="AC80" authorId="0" shapeId="0">
      <text>
        <r>
          <rPr>
            <b/>
            <sz val="9"/>
            <color indexed="81"/>
            <rFont val="Tahoma"/>
            <family val="2"/>
          </rPr>
          <t>Rai Ghulam Mustafa:</t>
        </r>
        <r>
          <rPr>
            <sz val="9"/>
            <color indexed="81"/>
            <rFont val="Tahoma"/>
            <family val="2"/>
          </rPr>
          <t xml:space="preserve">
Combined price of wheat, barley, oats and dari.</t>
        </r>
      </text>
    </comment>
  </commentList>
</comments>
</file>

<file path=xl/sharedStrings.xml><?xml version="1.0" encoding="utf-8"?>
<sst xmlns="http://schemas.openxmlformats.org/spreadsheetml/2006/main" count="652" uniqueCount="61">
  <si>
    <t>Baghdad</t>
  </si>
  <si>
    <t>UK</t>
  </si>
  <si>
    <t>Damascus</t>
  </si>
  <si>
    <t>Izmir</t>
  </si>
  <si>
    <t>Beirut</t>
  </si>
  <si>
    <t>Bahrain</t>
  </si>
  <si>
    <t>Bam</t>
  </si>
  <si>
    <t>Exports</t>
  </si>
  <si>
    <t>Imports</t>
  </si>
  <si>
    <t>Alexandretta</t>
  </si>
  <si>
    <t>Bazaar (Local)</t>
  </si>
  <si>
    <t>Turkey</t>
  </si>
  <si>
    <t>Constantinople</t>
  </si>
  <si>
    <t>Mohammerah</t>
  </si>
  <si>
    <t>Lingah</t>
  </si>
  <si>
    <t>Khorasan</t>
  </si>
  <si>
    <t>Kermanshah</t>
  </si>
  <si>
    <t>Kerman</t>
  </si>
  <si>
    <t>Sultanabad</t>
  </si>
  <si>
    <t>Resht</t>
  </si>
  <si>
    <t>Ispahan</t>
  </si>
  <si>
    <t>Ghilan &amp; Tunekabun</t>
  </si>
  <si>
    <t>Bender Gez &amp; Astarabad</t>
  </si>
  <si>
    <t>Astara</t>
  </si>
  <si>
    <t>Basrah</t>
  </si>
  <si>
    <t>Mosul</t>
  </si>
  <si>
    <t>Palestine</t>
  </si>
  <si>
    <t>Muscat</t>
  </si>
  <si>
    <t>Trebizond (Anatolia)</t>
  </si>
  <si>
    <t>City/Region</t>
  </si>
  <si>
    <t>Category</t>
  </si>
  <si>
    <t>Product</t>
  </si>
  <si>
    <t>Unit (Price)</t>
  </si>
  <si>
    <t>Year</t>
  </si>
  <si>
    <t>Yezd</t>
  </si>
  <si>
    <t>Mazandaran</t>
  </si>
  <si>
    <t>Shiraz</t>
  </si>
  <si>
    <t>Trebizond (Persia)</t>
  </si>
  <si>
    <t>Middle East imports and exports, 1824-1913</t>
  </si>
  <si>
    <t>Values are in pounds sterling.</t>
  </si>
  <si>
    <t>This spreadsheet was put together by Robert Allen in October 2018.</t>
  </si>
  <si>
    <t>Egypt</t>
  </si>
  <si>
    <t>Turkey &amp; Constantinople</t>
  </si>
  <si>
    <t>Istanbul (Nallrihan)</t>
  </si>
  <si>
    <t>Resht &amp; Ghilan &amp; Tunekabun</t>
  </si>
  <si>
    <t>trade and were published in the British House of Commons papers in the diplomatic &amp; consular reports on trade and finance as well as in the administration reports on the Persian Gulf Political Residency.</t>
  </si>
  <si>
    <t>Wheat</t>
  </si>
  <si>
    <t>UK (London)</t>
  </si>
  <si>
    <t>d/bushel</t>
  </si>
  <si>
    <t>Aleppo</t>
  </si>
  <si>
    <t>Odessa</t>
  </si>
  <si>
    <t>Alexandria</t>
  </si>
  <si>
    <t>Istanbul (Rumeli)</t>
  </si>
  <si>
    <t>Istanbul (Anatolia)</t>
  </si>
  <si>
    <t/>
  </si>
  <si>
    <t>Resht &amp; Bender Gez &amp; Astarabad</t>
  </si>
  <si>
    <t>Kerman &amp; Kermanshah</t>
  </si>
  <si>
    <t>There are important issues regarding the accuracy of the returns in view of their provenance and the incentives to underreport values and evade taxation.</t>
  </si>
  <si>
    <r>
      <t xml:space="preserve">The spreadsheet shows the </t>
    </r>
    <r>
      <rPr>
        <b/>
        <i/>
        <sz val="10"/>
        <rFont val="Arial"/>
        <family val="2"/>
      </rPr>
      <t>Prices</t>
    </r>
    <r>
      <rPr>
        <sz val="10"/>
        <rFont val="Arial"/>
        <family val="2"/>
      </rPr>
      <t xml:space="preserve"> of </t>
    </r>
    <r>
      <rPr>
        <b/>
        <i/>
        <sz val="10"/>
        <rFont val="Arial"/>
        <family val="2"/>
      </rPr>
      <t>Imports</t>
    </r>
    <r>
      <rPr>
        <sz val="10"/>
        <rFont val="Arial"/>
        <family val="2"/>
      </rPr>
      <t xml:space="preserve"> and </t>
    </r>
    <r>
      <rPr>
        <b/>
        <i/>
        <sz val="10"/>
        <rFont val="Arial"/>
        <family val="2"/>
      </rPr>
      <t>Exports</t>
    </r>
    <r>
      <rPr>
        <sz val="10"/>
        <rFont val="Arial"/>
        <family val="2"/>
      </rPr>
      <t xml:space="preserve"> of </t>
    </r>
    <r>
      <rPr>
        <b/>
        <i/>
        <sz val="10"/>
        <rFont val="Arial"/>
        <family val="2"/>
      </rPr>
      <t xml:space="preserve">Wheat </t>
    </r>
    <r>
      <rPr>
        <sz val="10"/>
        <rFont val="Arial"/>
        <family val="2"/>
      </rPr>
      <t xml:space="preserve">in leading </t>
    </r>
    <r>
      <rPr>
        <b/>
        <sz val="10"/>
        <rFont val="Arial"/>
        <family val="2"/>
      </rPr>
      <t>cities</t>
    </r>
    <r>
      <rPr>
        <sz val="10"/>
        <rFont val="Arial"/>
        <family val="2"/>
      </rPr>
      <t xml:space="preserve"> in the</t>
    </r>
    <r>
      <rPr>
        <b/>
        <sz val="10"/>
        <rFont val="Arial"/>
        <family val="2"/>
      </rPr>
      <t xml:space="preserve"> </t>
    </r>
    <r>
      <rPr>
        <b/>
        <i/>
        <sz val="10"/>
        <rFont val="Arial"/>
        <family val="2"/>
      </rPr>
      <t xml:space="preserve">Middle East, Odessa, United Kingdom </t>
    </r>
    <r>
      <rPr>
        <sz val="10"/>
        <rFont val="Arial"/>
        <family val="2"/>
      </rPr>
      <t xml:space="preserve">&amp; </t>
    </r>
    <r>
      <rPr>
        <b/>
        <i/>
        <sz val="10"/>
        <rFont val="Arial"/>
        <family val="2"/>
      </rPr>
      <t>India</t>
    </r>
    <r>
      <rPr>
        <sz val="10"/>
        <rFont val="Arial"/>
        <family val="2"/>
      </rPr>
      <t xml:space="preserve">. The data were compiled by British consuls usually from figures collected by Ottoman customs houses that taxed </t>
    </r>
  </si>
  <si>
    <t>Wholesale</t>
  </si>
  <si>
    <t>India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</si>
</sst>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quot;?&quot;;\-#,##0&quot;?&quot;"/>
    <numFmt numFmtId="165" formatCode="0.0000"/>
    <numFmt numFmtId="166" formatCode="_(* #,##0.0000_);_(* \(#,##0.0000\);_(* &quot;-&quot;??_);_(@_)"/>
    <numFmt numFmtId="167" formatCode="0.000000000"/>
  </numFmts>
  <fonts count="36" x14ac:knownFonts="1">
    <font>
      <sz val="10"/>
      <name val="Arial"/>
      <charset val="204"/>
    </font>
    <font>
      <sz val="11"/>
      <color theme="1"/>
      <name val="Calibri"/>
      <family val="2"/>
      <scheme val="minor"/>
    </font>
    <font>
      <sz val="11"/>
      <color theme="1"/>
      <name val="Calibri"/>
      <family val="2"/>
      <scheme val="minor"/>
    </font>
    <font>
      <b/>
      <sz val="18"/>
      <name val="Arial"/>
      <family val="2"/>
    </font>
    <font>
      <b/>
      <sz val="12"/>
      <name val="Arial"/>
      <family val="2"/>
    </font>
    <font>
      <sz val="10"/>
      <name val="Arial"/>
      <family val="2"/>
      <charset val="204"/>
    </font>
    <font>
      <sz val="10"/>
      <name val="Arial"/>
      <family val="2"/>
    </font>
    <font>
      <sz val="9"/>
      <color indexed="81"/>
      <name val="Tahoma"/>
      <family val="2"/>
    </font>
    <font>
      <b/>
      <sz val="9"/>
      <color indexed="81"/>
      <name val="Tahoma"/>
      <family val="2"/>
    </font>
    <font>
      <sz val="10"/>
      <name val="Courier"/>
    </font>
    <font>
      <i/>
      <sz val="10"/>
      <color indexed="9"/>
      <name val="Arial"/>
      <family val="2"/>
    </font>
    <font>
      <sz val="10"/>
      <color indexed="9"/>
      <name val="Arial"/>
      <family val="2"/>
    </font>
    <font>
      <b/>
      <sz val="10"/>
      <name val="Arial"/>
      <family val="2"/>
    </font>
    <font>
      <sz val="8"/>
      <name val="Arial"/>
      <family val="2"/>
    </font>
    <font>
      <sz val="11"/>
      <color rgb="FF000000"/>
      <name val="Calibri"/>
      <family val="2"/>
    </font>
    <font>
      <sz val="12"/>
      <color rgb="FF222222"/>
      <name val="Arial"/>
      <family val="2"/>
    </font>
    <font>
      <sz val="11"/>
      <name val="Calibri"/>
      <family val="2"/>
    </font>
    <font>
      <b/>
      <sz val="11"/>
      <name val="Calibri"/>
      <family val="2"/>
    </font>
    <font>
      <sz val="11"/>
      <color indexed="9"/>
      <name val="Calibri"/>
      <family val="2"/>
    </font>
    <font>
      <sz val="11"/>
      <color indexed="36"/>
      <name val="Calibri"/>
      <family val="2"/>
    </font>
    <font>
      <b/>
      <sz val="11"/>
      <color indexed="34"/>
      <name val="Calibri"/>
      <family val="2"/>
    </font>
    <font>
      <b/>
      <sz val="11"/>
      <color indexed="9"/>
      <name val="Calibri"/>
      <family val="2"/>
    </font>
    <font>
      <i/>
      <sz val="11"/>
      <color indexed="23"/>
      <name val="Calibri"/>
      <family val="2"/>
    </font>
    <font>
      <sz val="11"/>
      <color indexed="17"/>
      <name val="Calibri"/>
      <family val="2"/>
    </font>
    <font>
      <b/>
      <sz val="15"/>
      <color indexed="32"/>
      <name val="Calibri"/>
      <family val="2"/>
    </font>
    <font>
      <b/>
      <sz val="13"/>
      <color indexed="32"/>
      <name val="Calibri"/>
      <family val="2"/>
    </font>
    <font>
      <b/>
      <sz val="11"/>
      <color indexed="32"/>
      <name val="Calibri"/>
      <family val="2"/>
    </font>
    <font>
      <sz val="11"/>
      <color indexed="32"/>
      <name val="Calibri"/>
      <family val="2"/>
    </font>
    <font>
      <sz val="11"/>
      <color indexed="34"/>
      <name val="Calibri"/>
      <family val="2"/>
    </font>
    <font>
      <sz val="11"/>
      <color indexed="37"/>
      <name val="Calibri"/>
      <family val="2"/>
    </font>
    <font>
      <b/>
      <sz val="11"/>
      <color indexed="22"/>
      <name val="Calibri"/>
      <family val="2"/>
    </font>
    <font>
      <b/>
      <sz val="18"/>
      <color indexed="32"/>
      <name val="Cambria"/>
      <family val="1"/>
    </font>
    <font>
      <sz val="11"/>
      <color indexed="10"/>
      <name val="Calibri"/>
      <family val="2"/>
    </font>
    <font>
      <sz val="8"/>
      <color indexed="9"/>
      <name val="Arial"/>
      <family val="2"/>
    </font>
    <font>
      <b/>
      <i/>
      <sz val="10"/>
      <name val="Arial"/>
      <family val="2"/>
    </font>
    <font>
      <sz val="10"/>
      <name val="Arial"/>
      <family val="2"/>
    </font>
  </fonts>
  <fills count="13">
    <fill>
      <patternFill patternType="none"/>
    </fill>
    <fill>
      <patternFill patternType="gray125"/>
    </fill>
    <fill>
      <patternFill patternType="solid">
        <fgColor indexed="58"/>
      </patternFill>
    </fill>
    <fill>
      <patternFill patternType="solid">
        <fgColor indexed="17"/>
      </patternFill>
    </fill>
    <fill>
      <patternFill patternType="solid">
        <fgColor indexed="8"/>
        <bgColor indexed="8"/>
      </patternFill>
    </fill>
    <fill>
      <patternFill patternType="solid">
        <fgColor indexed="11"/>
        <bgColor indexed="11"/>
      </patternFill>
    </fill>
    <fill>
      <patternFill patternType="solid">
        <fgColor indexed="52"/>
      </patternFill>
    </fill>
    <fill>
      <patternFill patternType="solid">
        <fgColor indexed="17"/>
        <bgColor indexed="17"/>
      </patternFill>
    </fill>
    <fill>
      <patternFill patternType="solid">
        <fgColor indexed="8"/>
      </patternFill>
    </fill>
    <fill>
      <patternFill patternType="solid">
        <fgColor indexed="19"/>
      </patternFill>
    </fill>
    <fill>
      <patternFill patternType="solid">
        <fgColor indexed="32"/>
      </patternFill>
    </fill>
    <fill>
      <patternFill patternType="solid">
        <fgColor indexed="38"/>
      </patternFill>
    </fill>
    <fill>
      <patternFill patternType="solid">
        <fgColor rgb="FFFFFF00"/>
        <bgColor indexed="64"/>
      </patternFill>
    </fill>
  </fills>
  <borders count="9">
    <border>
      <left/>
      <right/>
      <top/>
      <bottom/>
      <diagonal/>
    </border>
    <border>
      <left/>
      <right/>
      <top style="double">
        <color indexed="0"/>
      </top>
      <bottom/>
      <diagonal/>
    </border>
    <border>
      <left style="thin">
        <color indexed="17"/>
      </left>
      <right style="thin">
        <color indexed="17"/>
      </right>
      <top style="thin">
        <color indexed="17"/>
      </top>
      <bottom style="thin">
        <color indexed="17"/>
      </bottom>
      <diagonal/>
    </border>
    <border>
      <left style="double">
        <color indexed="0"/>
      </left>
      <right style="double">
        <color indexed="0"/>
      </right>
      <top style="double">
        <color indexed="0"/>
      </top>
      <bottom style="double">
        <color indexed="0"/>
      </bottom>
      <diagonal/>
    </border>
    <border>
      <left/>
      <right/>
      <top/>
      <bottom style="thick">
        <color indexed="0"/>
      </bottom>
      <diagonal/>
    </border>
    <border>
      <left/>
      <right/>
      <top/>
      <bottom style="thick">
        <color indexed="17"/>
      </bottom>
      <diagonal/>
    </border>
    <border>
      <left/>
      <right/>
      <top/>
      <bottom style="double">
        <color indexed="11"/>
      </bottom>
      <diagonal/>
    </border>
    <border>
      <left style="thin">
        <color indexed="0"/>
      </left>
      <right style="thin">
        <color indexed="0"/>
      </right>
      <top style="thin">
        <color indexed="0"/>
      </top>
      <bottom style="thin">
        <color indexed="0"/>
      </bottom>
      <diagonal/>
    </border>
    <border>
      <left/>
      <right/>
      <top style="thin">
        <color indexed="0"/>
      </top>
      <bottom style="double">
        <color indexed="0"/>
      </bottom>
      <diagonal/>
    </border>
  </borders>
  <cellStyleXfs count="61">
    <xf numFmtId="0" fontId="0" fillId="0" borderId="0">
      <alignment vertical="top"/>
    </xf>
    <xf numFmtId="3"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2" fontId="5" fillId="0" borderId="0" applyFont="0" applyFill="0" applyBorder="0" applyAlignment="0" applyProtection="0"/>
    <xf numFmtId="0" fontId="3" fillId="0" borderId="0" applyNumberFormat="0" applyFont="0" applyFill="0" applyAlignment="0" applyProtection="0"/>
    <xf numFmtId="0" fontId="4" fillId="0" borderId="0" applyNumberFormat="0" applyFont="0" applyFill="0" applyAlignment="0" applyProtection="0"/>
    <xf numFmtId="0" fontId="9" fillId="0" borderId="0">
      <alignment vertical="top"/>
    </xf>
    <xf numFmtId="0" fontId="9" fillId="0" borderId="0">
      <alignment vertical="top"/>
    </xf>
    <xf numFmtId="0" fontId="5" fillId="0" borderId="1" applyNumberFormat="0" applyFont="0" applyBorder="0" applyAlignment="0" applyProtection="0"/>
    <xf numFmtId="0" fontId="6" fillId="0" borderId="0">
      <alignment vertical="top"/>
    </xf>
    <xf numFmtId="0" fontId="2" fillId="0" borderId="0"/>
    <xf numFmtId="0" fontId="1" fillId="0" borderId="0"/>
    <xf numFmtId="43" fontId="1" fillId="0" borderId="0" applyFont="0" applyFill="0" applyBorder="0" applyAlignment="0" applyProtection="0"/>
    <xf numFmtId="0" fontId="14" fillId="0" borderId="0"/>
    <xf numFmtId="0" fontId="6" fillId="0" borderId="0">
      <alignment vertical="top"/>
    </xf>
    <xf numFmtId="0" fontId="16" fillId="0" borderId="0">
      <alignment vertical="top"/>
    </xf>
    <xf numFmtId="0" fontId="16" fillId="2" borderId="0" applyNumberFormat="0" applyFont="0" applyFill="0" applyProtection="0"/>
    <xf numFmtId="0" fontId="16" fillId="2" borderId="0" applyNumberFormat="0" applyFont="0" applyFill="0" applyProtection="0"/>
    <xf numFmtId="0" fontId="16" fillId="2" borderId="0" applyNumberFormat="0" applyFont="0" applyFill="0" applyProtection="0"/>
    <xf numFmtId="0" fontId="16" fillId="2" borderId="0" applyNumberFormat="0" applyFont="0" applyFill="0" applyProtection="0"/>
    <xf numFmtId="0" fontId="16" fillId="3" borderId="0" applyNumberFormat="0" applyFont="0" applyFill="0" applyProtection="0"/>
    <xf numFmtId="0" fontId="16" fillId="4" borderId="0" applyNumberFormat="0" applyFont="0" applyFill="0" applyProtection="0"/>
    <xf numFmtId="0" fontId="16" fillId="2" borderId="0" applyNumberFormat="0" applyFont="0" applyFill="0" applyProtection="0"/>
    <xf numFmtId="0" fontId="16" fillId="2" borderId="0" applyNumberFormat="0" applyFont="0" applyFill="0" applyProtection="0"/>
    <xf numFmtId="0" fontId="16" fillId="5" borderId="0" applyNumberFormat="0" applyFont="0" applyFill="0" applyProtection="0"/>
    <xf numFmtId="0" fontId="16" fillId="2" borderId="0" applyNumberFormat="0" applyFont="0" applyFill="0" applyProtection="0"/>
    <xf numFmtId="0" fontId="16" fillId="2" borderId="0" applyNumberFormat="0" applyFont="0" applyFill="0" applyProtection="0"/>
    <xf numFmtId="0" fontId="16" fillId="6" borderId="0" applyNumberFormat="0" applyFont="0" applyFill="0" applyProtection="0"/>
    <xf numFmtId="0" fontId="18" fillId="2" borderId="0" applyNumberFormat="0" applyFont="0" applyFill="0" applyProtection="0"/>
    <xf numFmtId="0" fontId="18" fillId="2" borderId="0" applyNumberFormat="0" applyFont="0" applyFill="0" applyProtection="0"/>
    <xf numFmtId="0" fontId="18" fillId="5" borderId="0" applyNumberFormat="0" applyFont="0" applyFill="0" applyProtection="0"/>
    <xf numFmtId="0" fontId="18" fillId="7" borderId="0" applyNumberFormat="0" applyFont="0" applyFill="0" applyProtection="0"/>
    <xf numFmtId="0" fontId="18" fillId="8" borderId="0" applyNumberFormat="0" applyFont="0" applyFill="0" applyProtection="0"/>
    <xf numFmtId="0" fontId="18" fillId="9" borderId="0" applyNumberFormat="0" applyFont="0" applyFill="0" applyProtection="0"/>
    <xf numFmtId="0" fontId="18" fillId="4" borderId="0" applyNumberFormat="0" applyFont="0" applyFill="0" applyProtection="0"/>
    <xf numFmtId="0" fontId="18" fillId="4" borderId="0" applyNumberFormat="0" applyFont="0" applyFill="0" applyProtection="0"/>
    <xf numFmtId="0" fontId="18" fillId="10" borderId="0" applyNumberFormat="0" applyFont="0" applyFill="0" applyProtection="0"/>
    <xf numFmtId="0" fontId="18" fillId="7" borderId="0" applyNumberFormat="0" applyFont="0" applyFill="0" applyProtection="0"/>
    <xf numFmtId="0" fontId="18" fillId="8" borderId="0" applyNumberFormat="0" applyFont="0" applyFill="0" applyProtection="0"/>
    <xf numFmtId="0" fontId="18" fillId="11" borderId="0" applyNumberFormat="0" applyFont="0" applyFill="0" applyProtection="0"/>
    <xf numFmtId="0" fontId="19" fillId="2" borderId="0" applyNumberFormat="0" applyFont="0" applyFill="0" applyProtection="0"/>
    <xf numFmtId="0" fontId="20" fillId="8" borderId="2" applyNumberFormat="0" applyFont="0" applyProtection="0"/>
    <xf numFmtId="0" fontId="21" fillId="11" borderId="3" applyNumberFormat="0" applyFont="0" applyProtection="0"/>
    <xf numFmtId="3" fontId="16" fillId="0" borderId="0" applyFont="0" applyFill="0" applyBorder="0" applyAlignment="0" applyProtection="0"/>
    <xf numFmtId="0" fontId="16" fillId="0" borderId="0" applyFont="0" applyFill="0" applyBorder="0" applyAlignment="0" applyProtection="0"/>
    <xf numFmtId="0" fontId="22" fillId="0" borderId="0" applyNumberFormat="0" applyFont="0" applyFill="0" applyAlignment="0" applyProtection="0"/>
    <xf numFmtId="0" fontId="23" fillId="2" borderId="0" applyNumberFormat="0" applyFont="0" applyFill="0" applyProtection="0"/>
    <xf numFmtId="0" fontId="24" fillId="0" borderId="4" applyNumberFormat="0" applyFont="0" applyAlignment="0" applyProtection="0"/>
    <xf numFmtId="0" fontId="25" fillId="0" borderId="4" applyNumberFormat="0" applyFont="0" applyAlignment="0" applyProtection="0"/>
    <xf numFmtId="0" fontId="26" fillId="0" borderId="5" applyNumberFormat="0" applyFont="0" applyAlignment="0" applyProtection="0"/>
    <xf numFmtId="0" fontId="26" fillId="0" borderId="0" applyNumberFormat="0" applyFont="0" applyFill="0" applyAlignment="0" applyProtection="0"/>
    <xf numFmtId="0" fontId="27" fillId="4" borderId="2" applyNumberFormat="0" applyFont="0" applyProtection="0"/>
    <xf numFmtId="0" fontId="28" fillId="0" borderId="6" applyNumberFormat="0" applyFont="0" applyAlignment="0" applyProtection="0"/>
    <xf numFmtId="0" fontId="29" fillId="2" borderId="0" applyNumberFormat="0" applyFont="0" applyFill="0" applyProtection="0"/>
    <xf numFmtId="0" fontId="16" fillId="4" borderId="7" applyNumberFormat="0" applyFont="0" applyBorder="0" applyProtection="0"/>
    <xf numFmtId="0" fontId="30" fillId="8" borderId="7" applyNumberFormat="0" applyFont="0" applyProtection="0"/>
    <xf numFmtId="0" fontId="31" fillId="0" borderId="0" applyNumberFormat="0" applyFont="0" applyFill="0" applyAlignment="0" applyProtection="0"/>
    <xf numFmtId="0" fontId="17" fillId="0" borderId="8" applyNumberFormat="0" applyFont="0" applyAlignment="0" applyProtection="0"/>
    <xf numFmtId="0" fontId="32" fillId="0" borderId="0" applyNumberFormat="0" applyFont="0" applyFill="0" applyAlignment="0" applyProtection="0"/>
    <xf numFmtId="43" fontId="35" fillId="0" borderId="0" applyFont="0" applyFill="0" applyBorder="0" applyAlignment="0" applyProtection="0"/>
  </cellStyleXfs>
  <cellXfs count="22">
    <xf numFmtId="0" fontId="0" fillId="0" borderId="0" xfId="0" applyAlignment="1"/>
    <xf numFmtId="165" fontId="0" fillId="0" borderId="0" xfId="0" applyNumberFormat="1" applyAlignment="1"/>
    <xf numFmtId="0" fontId="0" fillId="0" borderId="0" xfId="0" applyAlignment="1">
      <alignment wrapText="1"/>
    </xf>
    <xf numFmtId="165" fontId="0" fillId="0" borderId="0" xfId="0" applyNumberFormat="1" applyFill="1" applyAlignment="1"/>
    <xf numFmtId="0" fontId="10" fillId="2" borderId="0" xfId="7" applyFont="1" applyFill="1" applyBorder="1" applyAlignment="1">
      <alignment horizontal="left"/>
    </xf>
    <xf numFmtId="0" fontId="10" fillId="2" borderId="0" xfId="7" applyFont="1" applyFill="1" applyBorder="1" applyAlignment="1">
      <alignment horizontal="left" wrapText="1"/>
    </xf>
    <xf numFmtId="0" fontId="11" fillId="2" borderId="0" xfId="7" applyFont="1" applyFill="1" applyBorder="1" applyAlignment="1">
      <alignment horizontal="left"/>
    </xf>
    <xf numFmtId="0" fontId="11" fillId="2" borderId="0" xfId="7" applyFont="1" applyFill="1" applyBorder="1" applyAlignment="1">
      <alignment horizontal="left" wrapText="1"/>
    </xf>
    <xf numFmtId="0" fontId="11" fillId="2" borderId="0" xfId="7" applyFont="1" applyFill="1" applyBorder="1" applyAlignment="1" applyProtection="1">
      <alignment horizontal="right"/>
    </xf>
    <xf numFmtId="0" fontId="0" fillId="0" borderId="0" xfId="0" applyAlignment="1">
      <alignment horizontal="left"/>
    </xf>
    <xf numFmtId="165" fontId="6" fillId="0" borderId="0" xfId="0" applyNumberFormat="1" applyFont="1" applyAlignment="1"/>
    <xf numFmtId="0" fontId="6" fillId="0" borderId="0" xfId="10" applyAlignment="1"/>
    <xf numFmtId="165" fontId="13" fillId="0" borderId="0" xfId="7" applyNumberFormat="1" applyFont="1" applyBorder="1" applyAlignment="1" applyProtection="1">
      <alignment horizontal="center"/>
    </xf>
    <xf numFmtId="0" fontId="12" fillId="0" borderId="0" xfId="0" applyFont="1" applyAlignment="1"/>
    <xf numFmtId="0" fontId="0" fillId="0" borderId="0" xfId="0" applyFill="1" applyAlignment="1"/>
    <xf numFmtId="0" fontId="15" fillId="0" borderId="0" xfId="0" applyFont="1" applyAlignment="1"/>
    <xf numFmtId="0" fontId="33" fillId="0" borderId="0" xfId="8" applyFont="1" applyFill="1" applyBorder="1" applyAlignment="1" applyProtection="1">
      <alignment horizontal="right"/>
    </xf>
    <xf numFmtId="166" fontId="0" fillId="0" borderId="0" xfId="60" applyNumberFormat="1" applyFont="1" applyAlignment="1"/>
    <xf numFmtId="166" fontId="0" fillId="0" borderId="0" xfId="60" applyNumberFormat="1" applyFont="1" applyFill="1" applyAlignment="1"/>
    <xf numFmtId="166" fontId="6" fillId="0" borderId="0" xfId="60" applyNumberFormat="1" applyFont="1" applyAlignment="1"/>
    <xf numFmtId="165" fontId="0" fillId="12" borderId="0" xfId="0" applyNumberFormat="1" applyFill="1" applyAlignment="1"/>
    <xf numFmtId="167" fontId="0" fillId="0" borderId="0" xfId="0" applyNumberFormat="1" applyAlignment="1"/>
  </cellXfs>
  <cellStyles count="61">
    <cellStyle name="20% - Accent1 2" xfId="17"/>
    <cellStyle name="20% - Accent2 2" xfId="18"/>
    <cellStyle name="20% - Accent3 2" xfId="19"/>
    <cellStyle name="20% - Accent4 2" xfId="20"/>
    <cellStyle name="20% - Accent5 2" xfId="21"/>
    <cellStyle name="20% - Accent6 2" xfId="22"/>
    <cellStyle name="40% - Accent1 2" xfId="23"/>
    <cellStyle name="40% - Accent2 2" xfId="24"/>
    <cellStyle name="40% - Accent3 2" xfId="25"/>
    <cellStyle name="40% - Accent4 2" xfId="26"/>
    <cellStyle name="40% - Accent5 2" xfId="27"/>
    <cellStyle name="40% - Accent6 2" xfId="28"/>
    <cellStyle name="60% - Accent1 2" xfId="29"/>
    <cellStyle name="60% - Accent2 2" xfId="30"/>
    <cellStyle name="60% - Accent3 2" xfId="31"/>
    <cellStyle name="60% - Accent4 2" xfId="32"/>
    <cellStyle name="60% - Accent5 2" xfId="33"/>
    <cellStyle name="60% - Accent6 2" xfId="34"/>
    <cellStyle name="Accent1 2" xfId="35"/>
    <cellStyle name="Accent2 2" xfId="36"/>
    <cellStyle name="Accent3 2" xfId="37"/>
    <cellStyle name="Accent4 2" xfId="38"/>
    <cellStyle name="Accent5 2" xfId="39"/>
    <cellStyle name="Accent6 2" xfId="40"/>
    <cellStyle name="Bad 2" xfId="41"/>
    <cellStyle name="Calculation 2" xfId="42"/>
    <cellStyle name="Check Cell 2" xfId="43"/>
    <cellStyle name="Comma" xfId="60" builtinId="3"/>
    <cellStyle name="Comma 2" xfId="13"/>
    <cellStyle name="Comma0" xfId="1"/>
    <cellStyle name="Comma0 2" xfId="44"/>
    <cellStyle name="Currency0" xfId="2"/>
    <cellStyle name="Currency0 2" xfId="45"/>
    <cellStyle name="Date" xfId="3"/>
    <cellStyle name="Explanatory Text 2" xfId="46"/>
    <cellStyle name="Fixed" xfId="4"/>
    <cellStyle name="Good 2" xfId="47"/>
    <cellStyle name="Heading 1" xfId="5" builtinId="16" customBuiltin="1"/>
    <cellStyle name="Heading 1 2" xfId="48"/>
    <cellStyle name="Heading 2" xfId="6" builtinId="17" customBuiltin="1"/>
    <cellStyle name="Heading 2 2" xfId="49"/>
    <cellStyle name="Heading 3 2" xfId="50"/>
    <cellStyle name="Heading 4 2" xfId="51"/>
    <cellStyle name="Input 2" xfId="52"/>
    <cellStyle name="Linked Cell 2" xfId="53"/>
    <cellStyle name="Neutral 2" xfId="54"/>
    <cellStyle name="Normal" xfId="0" builtinId="0"/>
    <cellStyle name="Normal 2" xfId="10"/>
    <cellStyle name="Normal 2 2" xfId="14"/>
    <cellStyle name="Normal 3" xfId="7"/>
    <cellStyle name="Normal 3 2" xfId="8"/>
    <cellStyle name="Normal 4" xfId="11"/>
    <cellStyle name="Normal 4 2" xfId="15"/>
    <cellStyle name="Normal 5" xfId="12"/>
    <cellStyle name="Normal 6" xfId="16"/>
    <cellStyle name="Note 2" xfId="55"/>
    <cellStyle name="Output 2" xfId="56"/>
    <cellStyle name="Title 2" xfId="57"/>
    <cellStyle name="Total" xfId="9" builtinId="25" customBuiltin="1"/>
    <cellStyle name="Total 2" xfId="58"/>
    <cellStyle name="Warning Text 2" xfId="5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UK (London),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1"/>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(All)'!$D$7:$D$107</c:f>
              <c:numCache>
                <c:formatCode>_(* #,##0.0000_);_(* \(#,##0.0000\);_(* "-"??_);_(@_)</c:formatCode>
                <c:ptCount val="101"/>
                <c:pt idx="0">
                  <c:v>99.5</c:v>
                </c:pt>
                <c:pt idx="1">
                  <c:v>96.5</c:v>
                </c:pt>
                <c:pt idx="2">
                  <c:v>85.875</c:v>
                </c:pt>
                <c:pt idx="3">
                  <c:v>75.125</c:v>
                </c:pt>
                <c:pt idx="4">
                  <c:v>76.875</c:v>
                </c:pt>
                <c:pt idx="5">
                  <c:v>76.25</c:v>
                </c:pt>
                <c:pt idx="6">
                  <c:v>82</c:v>
                </c:pt>
                <c:pt idx="7">
                  <c:v>104.625</c:v>
                </c:pt>
                <c:pt idx="8">
                  <c:v>75.75</c:v>
                </c:pt>
                <c:pt idx="9">
                  <c:v>66.375</c:v>
                </c:pt>
                <c:pt idx="10">
                  <c:v>60.375</c:v>
                </c:pt>
                <c:pt idx="11">
                  <c:v>57.75</c:v>
                </c:pt>
                <c:pt idx="12">
                  <c:v>61.125</c:v>
                </c:pt>
                <c:pt idx="13">
                  <c:v>79.875</c:v>
                </c:pt>
                <c:pt idx="14">
                  <c:v>108.625</c:v>
                </c:pt>
                <c:pt idx="15">
                  <c:v>112</c:v>
                </c:pt>
                <c:pt idx="16">
                  <c:v>103.75</c:v>
                </c:pt>
                <c:pt idx="17">
                  <c:v>84.5</c:v>
                </c:pt>
                <c:pt idx="18">
                  <c:v>66.25</c:v>
                </c:pt>
                <c:pt idx="19">
                  <c:v>65.625</c:v>
                </c:pt>
                <c:pt idx="20">
                  <c:v>79.875</c:v>
                </c:pt>
                <c:pt idx="21">
                  <c:v>83</c:v>
                </c:pt>
                <c:pt idx="22">
                  <c:v>83.125</c:v>
                </c:pt>
                <c:pt idx="23">
                  <c:v>67.125</c:v>
                </c:pt>
                <c:pt idx="24">
                  <c:v>60.25</c:v>
                </c:pt>
                <c:pt idx="25">
                  <c:v>62.75</c:v>
                </c:pt>
                <c:pt idx="26">
                  <c:v>74.875</c:v>
                </c:pt>
                <c:pt idx="27">
                  <c:v>96.625</c:v>
                </c:pt>
                <c:pt idx="28">
                  <c:v>95.625</c:v>
                </c:pt>
                <c:pt idx="29">
                  <c:v>72.25</c:v>
                </c:pt>
                <c:pt idx="30">
                  <c:v>70.375</c:v>
                </c:pt>
                <c:pt idx="31">
                  <c:v>85</c:v>
                </c:pt>
                <c:pt idx="32">
                  <c:v>85.5</c:v>
                </c:pt>
                <c:pt idx="33">
                  <c:v>88</c:v>
                </c:pt>
                <c:pt idx="34">
                  <c:v>83.625</c:v>
                </c:pt>
                <c:pt idx="35">
                  <c:v>67.75</c:v>
                </c:pt>
                <c:pt idx="36">
                  <c:v>69.25</c:v>
                </c:pt>
                <c:pt idx="37">
                  <c:v>85.125</c:v>
                </c:pt>
                <c:pt idx="38">
                  <c:v>69.625</c:v>
                </c:pt>
                <c:pt idx="39">
                  <c:v>65.75</c:v>
                </c:pt>
                <c:pt idx="40">
                  <c:v>66.5</c:v>
                </c:pt>
                <c:pt idx="41">
                  <c:v>68</c:v>
                </c:pt>
                <c:pt idx="42">
                  <c:v>67.625</c:v>
                </c:pt>
                <c:pt idx="43">
                  <c:v>62.375</c:v>
                </c:pt>
                <c:pt idx="44">
                  <c:v>53.5</c:v>
                </c:pt>
                <c:pt idx="45">
                  <c:v>49.25</c:v>
                </c:pt>
                <c:pt idx="46">
                  <c:v>46.5</c:v>
                </c:pt>
                <c:pt idx="47">
                  <c:v>48.75</c:v>
                </c:pt>
                <c:pt idx="48">
                  <c:v>47.75</c:v>
                </c:pt>
                <c:pt idx="49">
                  <c:v>44.625</c:v>
                </c:pt>
                <c:pt idx="50">
                  <c:v>47.875</c:v>
                </c:pt>
                <c:pt idx="51">
                  <c:v>55.5</c:v>
                </c:pt>
                <c:pt idx="52">
                  <c:v>45.375</c:v>
                </c:pt>
                <c:pt idx="53">
                  <c:v>39.5</c:v>
                </c:pt>
                <c:pt idx="54">
                  <c:v>34.25</c:v>
                </c:pt>
                <c:pt idx="55">
                  <c:v>34.625</c:v>
                </c:pt>
                <c:pt idx="56">
                  <c:v>39.25</c:v>
                </c:pt>
                <c:pt idx="57">
                  <c:v>45.25</c:v>
                </c:pt>
                <c:pt idx="58">
                  <c:v>51</c:v>
                </c:pt>
                <c:pt idx="59">
                  <c:v>38.5</c:v>
                </c:pt>
                <c:pt idx="60">
                  <c:v>40.375</c:v>
                </c:pt>
                <c:pt idx="61">
                  <c:v>40.125</c:v>
                </c:pt>
                <c:pt idx="62">
                  <c:v>42.125</c:v>
                </c:pt>
                <c:pt idx="63">
                  <c:v>40.125</c:v>
                </c:pt>
                <c:pt idx="64">
                  <c:v>42.5</c:v>
                </c:pt>
                <c:pt idx="65">
                  <c:v>44.5</c:v>
                </c:pt>
                <c:pt idx="66">
                  <c:v>42.375</c:v>
                </c:pt>
                <c:pt idx="67">
                  <c:v>45.875</c:v>
                </c:pt>
                <c:pt idx="68">
                  <c:v>48</c:v>
                </c:pt>
                <c:pt idx="69">
                  <c:v>55.375</c:v>
                </c:pt>
                <c:pt idx="70">
                  <c:v>47.5</c:v>
                </c:pt>
                <c:pt idx="71">
                  <c:v>47.5</c:v>
                </c:pt>
                <c:pt idx="72">
                  <c:v>52.125</c:v>
                </c:pt>
                <c:pt idx="73">
                  <c:v>47.5</c:v>
                </c:pt>
                <c:pt idx="74">
                  <c:v>52.375</c:v>
                </c:pt>
                <c:pt idx="75">
                  <c:v>79.25</c:v>
                </c:pt>
                <c:pt idx="76">
                  <c:v>87.625</c:v>
                </c:pt>
                <c:pt idx="77">
                  <c:v>113.625</c:v>
                </c:pt>
                <c:pt idx="78">
                  <c:v>109.25</c:v>
                </c:pt>
                <c:pt idx="79">
                  <c:v>109.375</c:v>
                </c:pt>
                <c:pt idx="80">
                  <c:v>121.25</c:v>
                </c:pt>
                <c:pt idx="81">
                  <c:v>107.25</c:v>
                </c:pt>
                <c:pt idx="82">
                  <c:v>71.75</c:v>
                </c:pt>
                <c:pt idx="83">
                  <c:v>63.214285714285715</c:v>
                </c:pt>
                <c:pt idx="84">
                  <c:v>73.928571428571431</c:v>
                </c:pt>
                <c:pt idx="85">
                  <c:v>78.214285714285708</c:v>
                </c:pt>
                <c:pt idx="86">
                  <c:v>79.821428571428569</c:v>
                </c:pt>
                <c:pt idx="87">
                  <c:v>73.928571428571431</c:v>
                </c:pt>
                <c:pt idx="88">
                  <c:v>64.285714285714292</c:v>
                </c:pt>
                <c:pt idx="89">
                  <c:v>63.214285714285715</c:v>
                </c:pt>
                <c:pt idx="90">
                  <c:v>51.428571428571431</c:v>
                </c:pt>
                <c:pt idx="91">
                  <c:v>36.964285714285715</c:v>
                </c:pt>
                <c:pt idx="92">
                  <c:v>38.035714285714285</c:v>
                </c:pt>
                <c:pt idx="93">
                  <c:v>34.285714285714285</c:v>
                </c:pt>
                <c:pt idx="94">
                  <c:v>31.071428571428573</c:v>
                </c:pt>
                <c:pt idx="95">
                  <c:v>33.214285714285715</c:v>
                </c:pt>
                <c:pt idx="96">
                  <c:v>46.071428571428569</c:v>
                </c:pt>
                <c:pt idx="97">
                  <c:v>60</c:v>
                </c:pt>
                <c:pt idx="98">
                  <c:v>43.392857142857146</c:v>
                </c:pt>
                <c:pt idx="99">
                  <c:v>32.142857142857146</c:v>
                </c:pt>
                <c:pt idx="100">
                  <c:v>64.285714285714292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(All)'!$D$7:$D$107</c:f>
              <c:numCache>
                <c:formatCode>_(* #,##0.0000_);_(* \(#,##0.0000\);_(* "-"??_);_(@_)</c:formatCode>
                <c:ptCount val="101"/>
                <c:pt idx="0">
                  <c:v>99.5</c:v>
                </c:pt>
                <c:pt idx="1">
                  <c:v>96.5</c:v>
                </c:pt>
                <c:pt idx="2">
                  <c:v>85.875</c:v>
                </c:pt>
                <c:pt idx="3">
                  <c:v>75.125</c:v>
                </c:pt>
                <c:pt idx="4">
                  <c:v>76.875</c:v>
                </c:pt>
                <c:pt idx="5">
                  <c:v>76.25</c:v>
                </c:pt>
                <c:pt idx="6">
                  <c:v>82</c:v>
                </c:pt>
                <c:pt idx="7">
                  <c:v>104.625</c:v>
                </c:pt>
                <c:pt idx="8">
                  <c:v>75.75</c:v>
                </c:pt>
                <c:pt idx="9">
                  <c:v>66.375</c:v>
                </c:pt>
                <c:pt idx="10">
                  <c:v>60.375</c:v>
                </c:pt>
                <c:pt idx="11">
                  <c:v>57.75</c:v>
                </c:pt>
                <c:pt idx="12">
                  <c:v>61.125</c:v>
                </c:pt>
                <c:pt idx="13">
                  <c:v>79.875</c:v>
                </c:pt>
                <c:pt idx="14">
                  <c:v>108.625</c:v>
                </c:pt>
                <c:pt idx="15">
                  <c:v>112</c:v>
                </c:pt>
                <c:pt idx="16">
                  <c:v>103.75</c:v>
                </c:pt>
                <c:pt idx="17">
                  <c:v>84.5</c:v>
                </c:pt>
                <c:pt idx="18">
                  <c:v>66.25</c:v>
                </c:pt>
                <c:pt idx="19">
                  <c:v>65.625</c:v>
                </c:pt>
                <c:pt idx="20">
                  <c:v>79.875</c:v>
                </c:pt>
                <c:pt idx="21">
                  <c:v>83</c:v>
                </c:pt>
                <c:pt idx="22">
                  <c:v>83.125</c:v>
                </c:pt>
                <c:pt idx="23">
                  <c:v>67.125</c:v>
                </c:pt>
                <c:pt idx="24">
                  <c:v>60.25</c:v>
                </c:pt>
                <c:pt idx="25">
                  <c:v>62.75</c:v>
                </c:pt>
                <c:pt idx="26">
                  <c:v>74.875</c:v>
                </c:pt>
                <c:pt idx="27">
                  <c:v>96.625</c:v>
                </c:pt>
                <c:pt idx="28">
                  <c:v>95.625</c:v>
                </c:pt>
                <c:pt idx="29">
                  <c:v>72.25</c:v>
                </c:pt>
                <c:pt idx="30">
                  <c:v>70.375</c:v>
                </c:pt>
                <c:pt idx="31">
                  <c:v>85</c:v>
                </c:pt>
                <c:pt idx="32">
                  <c:v>85.5</c:v>
                </c:pt>
                <c:pt idx="33">
                  <c:v>88</c:v>
                </c:pt>
                <c:pt idx="34">
                  <c:v>83.625</c:v>
                </c:pt>
                <c:pt idx="35">
                  <c:v>67.75</c:v>
                </c:pt>
                <c:pt idx="36">
                  <c:v>69.25</c:v>
                </c:pt>
                <c:pt idx="37">
                  <c:v>85.125</c:v>
                </c:pt>
                <c:pt idx="38">
                  <c:v>69.625</c:v>
                </c:pt>
                <c:pt idx="39">
                  <c:v>65.75</c:v>
                </c:pt>
                <c:pt idx="40">
                  <c:v>66.5</c:v>
                </c:pt>
                <c:pt idx="41">
                  <c:v>68</c:v>
                </c:pt>
                <c:pt idx="42">
                  <c:v>67.625</c:v>
                </c:pt>
                <c:pt idx="43">
                  <c:v>62.375</c:v>
                </c:pt>
                <c:pt idx="44">
                  <c:v>53.5</c:v>
                </c:pt>
                <c:pt idx="45">
                  <c:v>49.25</c:v>
                </c:pt>
                <c:pt idx="46">
                  <c:v>46.5</c:v>
                </c:pt>
                <c:pt idx="47">
                  <c:v>48.75</c:v>
                </c:pt>
                <c:pt idx="48">
                  <c:v>47.75</c:v>
                </c:pt>
                <c:pt idx="49">
                  <c:v>44.625</c:v>
                </c:pt>
                <c:pt idx="50">
                  <c:v>47.875</c:v>
                </c:pt>
                <c:pt idx="51">
                  <c:v>55.5</c:v>
                </c:pt>
                <c:pt idx="52">
                  <c:v>45.375</c:v>
                </c:pt>
                <c:pt idx="53">
                  <c:v>39.5</c:v>
                </c:pt>
                <c:pt idx="54">
                  <c:v>34.25</c:v>
                </c:pt>
                <c:pt idx="55">
                  <c:v>34.625</c:v>
                </c:pt>
                <c:pt idx="56">
                  <c:v>39.25</c:v>
                </c:pt>
                <c:pt idx="57">
                  <c:v>45.25</c:v>
                </c:pt>
                <c:pt idx="58">
                  <c:v>51</c:v>
                </c:pt>
                <c:pt idx="59">
                  <c:v>38.5</c:v>
                </c:pt>
                <c:pt idx="60">
                  <c:v>40.375</c:v>
                </c:pt>
                <c:pt idx="61">
                  <c:v>40.125</c:v>
                </c:pt>
                <c:pt idx="62">
                  <c:v>42.125</c:v>
                </c:pt>
                <c:pt idx="63">
                  <c:v>40.125</c:v>
                </c:pt>
                <c:pt idx="64">
                  <c:v>42.5</c:v>
                </c:pt>
                <c:pt idx="65">
                  <c:v>44.5</c:v>
                </c:pt>
                <c:pt idx="66">
                  <c:v>42.375</c:v>
                </c:pt>
                <c:pt idx="67">
                  <c:v>45.875</c:v>
                </c:pt>
                <c:pt idx="68">
                  <c:v>48</c:v>
                </c:pt>
                <c:pt idx="69">
                  <c:v>55.375</c:v>
                </c:pt>
                <c:pt idx="70">
                  <c:v>47.5</c:v>
                </c:pt>
                <c:pt idx="71">
                  <c:v>47.5</c:v>
                </c:pt>
                <c:pt idx="72">
                  <c:v>52.125</c:v>
                </c:pt>
                <c:pt idx="73">
                  <c:v>47.5</c:v>
                </c:pt>
                <c:pt idx="74">
                  <c:v>52.375</c:v>
                </c:pt>
                <c:pt idx="75">
                  <c:v>79.25</c:v>
                </c:pt>
                <c:pt idx="76">
                  <c:v>87.625</c:v>
                </c:pt>
                <c:pt idx="77">
                  <c:v>113.625</c:v>
                </c:pt>
                <c:pt idx="78">
                  <c:v>109.25</c:v>
                </c:pt>
                <c:pt idx="79">
                  <c:v>109.375</c:v>
                </c:pt>
                <c:pt idx="80">
                  <c:v>121.25</c:v>
                </c:pt>
                <c:pt idx="81">
                  <c:v>107.25</c:v>
                </c:pt>
                <c:pt idx="82">
                  <c:v>71.75</c:v>
                </c:pt>
                <c:pt idx="83">
                  <c:v>63.214285714285715</c:v>
                </c:pt>
                <c:pt idx="84">
                  <c:v>73.928571428571431</c:v>
                </c:pt>
                <c:pt idx="85">
                  <c:v>78.214285714285708</c:v>
                </c:pt>
                <c:pt idx="86">
                  <c:v>79.821428571428569</c:v>
                </c:pt>
                <c:pt idx="87">
                  <c:v>73.928571428571431</c:v>
                </c:pt>
                <c:pt idx="88">
                  <c:v>64.285714285714292</c:v>
                </c:pt>
                <c:pt idx="89">
                  <c:v>63.214285714285715</c:v>
                </c:pt>
                <c:pt idx="90">
                  <c:v>51.428571428571431</c:v>
                </c:pt>
                <c:pt idx="91">
                  <c:v>36.964285714285715</c:v>
                </c:pt>
                <c:pt idx="92">
                  <c:v>38.035714285714285</c:v>
                </c:pt>
                <c:pt idx="93">
                  <c:v>34.285714285714285</c:v>
                </c:pt>
                <c:pt idx="94">
                  <c:v>31.071428571428573</c:v>
                </c:pt>
                <c:pt idx="95">
                  <c:v>33.214285714285715</c:v>
                </c:pt>
                <c:pt idx="96">
                  <c:v>46.071428571428569</c:v>
                </c:pt>
                <c:pt idx="97">
                  <c:v>60</c:v>
                </c:pt>
                <c:pt idx="98">
                  <c:v>43.392857142857146</c:v>
                </c:pt>
                <c:pt idx="99">
                  <c:v>32.142857142857146</c:v>
                </c:pt>
                <c:pt idx="100">
                  <c:v>64.285714285714292</c:v>
                </c:pt>
              </c:numCache>
            </c:numRef>
          </c:yVal>
          <c:smooth val="0"/>
        </c:ser>
        <c:dLbls>
          <c:showLegendKey val="0"/>
          <c:showVal val="0"/>
          <c:showCatName val="0"/>
          <c:showSerName val="0"/>
          <c:showPercent val="0"/>
          <c:showBubbleSize val="0"/>
        </c:dLbls>
        <c:axId val="299046608"/>
        <c:axId val="299025328"/>
      </c:scatterChart>
      <c:valAx>
        <c:axId val="29904660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25328"/>
        <c:crosses val="autoZero"/>
        <c:crossBetween val="midCat"/>
        <c:majorUnit val="5"/>
      </c:valAx>
      <c:valAx>
        <c:axId val="2990253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4660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n-US" sz="1800" b="1" i="0" u="none" strike="noStrike" kern="1200" spc="0" baseline="0">
                <a:solidFill>
                  <a:srgbClr val="000000"/>
                </a:solidFill>
                <a:latin typeface="Calibri"/>
                <a:ea typeface="Calibri"/>
                <a:cs typeface="Calibri"/>
              </a:defRPr>
            </a:pPr>
            <a:r>
              <a:rPr lang="en-US" sz="1800" b="1" i="0" baseline="0">
                <a:effectLst/>
              </a:rPr>
              <a:t>Basrah, Imports, in d/bushel</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(All)'!$I$7:$I$107</c:f>
              <c:numCache>
                <c:formatCode>0.0000</c:formatCode>
                <c:ptCount val="101"/>
                <c:pt idx="33">
                  <c:v>42.830357142857181</c:v>
                </c:pt>
                <c:pt idx="47">
                  <c:v>39.331290909825363</c:v>
                </c:pt>
                <c:pt idx="48">
                  <c:v>36.734693877551088</c:v>
                </c:pt>
                <c:pt idx="49">
                  <c:v>40.511157734121696</c:v>
                </c:pt>
                <c:pt idx="50">
                  <c:v>36.217303822937666</c:v>
                </c:pt>
                <c:pt idx="58">
                  <c:v>18.370877084256673</c:v>
                </c:pt>
                <c:pt idx="59">
                  <c:v>36.491953609637712</c:v>
                </c:pt>
                <c:pt idx="60">
                  <c:v>36.734693877551088</c:v>
                </c:pt>
                <c:pt idx="61">
                  <c:v>36.730672564592304</c:v>
                </c:pt>
                <c:pt idx="62">
                  <c:v>36.734693877551088</c:v>
                </c:pt>
                <c:pt idx="63">
                  <c:v>36.725024308222942</c:v>
                </c:pt>
                <c:pt idx="64">
                  <c:v>36.720816018133682</c:v>
                </c:pt>
                <c:pt idx="65">
                  <c:v>36.760292967361103</c:v>
                </c:pt>
                <c:pt idx="66">
                  <c:v>33.058969444131264</c:v>
                </c:pt>
                <c:pt idx="69">
                  <c:v>60.608328619294227</c:v>
                </c:pt>
                <c:pt idx="70">
                  <c:v>58.775510204081563</c:v>
                </c:pt>
                <c:pt idx="71">
                  <c:v>36.734693877551088</c:v>
                </c:pt>
                <c:pt idx="72">
                  <c:v>44.08886033508341</c:v>
                </c:pt>
                <c:pt idx="73">
                  <c:v>55.100543518948321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(All)'!$I$7:$I$107</c:f>
              <c:numCache>
                <c:formatCode>0.0000</c:formatCode>
                <c:ptCount val="101"/>
                <c:pt idx="33">
                  <c:v>42.830357142857181</c:v>
                </c:pt>
                <c:pt idx="47">
                  <c:v>39.331290909825363</c:v>
                </c:pt>
                <c:pt idx="48">
                  <c:v>36.734693877551088</c:v>
                </c:pt>
                <c:pt idx="49">
                  <c:v>40.511157734121696</c:v>
                </c:pt>
                <c:pt idx="50">
                  <c:v>36.217303822937666</c:v>
                </c:pt>
                <c:pt idx="58">
                  <c:v>18.370877084256673</c:v>
                </c:pt>
                <c:pt idx="59">
                  <c:v>36.491953609637712</c:v>
                </c:pt>
                <c:pt idx="60">
                  <c:v>36.734693877551088</c:v>
                </c:pt>
                <c:pt idx="61">
                  <c:v>36.730672564592304</c:v>
                </c:pt>
                <c:pt idx="62">
                  <c:v>36.734693877551088</c:v>
                </c:pt>
                <c:pt idx="63">
                  <c:v>36.725024308222942</c:v>
                </c:pt>
                <c:pt idx="64">
                  <c:v>36.720816018133682</c:v>
                </c:pt>
                <c:pt idx="65">
                  <c:v>36.760292967361103</c:v>
                </c:pt>
                <c:pt idx="66">
                  <c:v>33.058969444131264</c:v>
                </c:pt>
                <c:pt idx="69">
                  <c:v>60.608328619294227</c:v>
                </c:pt>
                <c:pt idx="70">
                  <c:v>58.775510204081563</c:v>
                </c:pt>
                <c:pt idx="71">
                  <c:v>36.734693877551088</c:v>
                </c:pt>
                <c:pt idx="72">
                  <c:v>44.08886033508341</c:v>
                </c:pt>
                <c:pt idx="73">
                  <c:v>55.100543518948321</c:v>
                </c:pt>
              </c:numCache>
            </c:numRef>
          </c:yVal>
          <c:smooth val="0"/>
        </c:ser>
        <c:dLbls>
          <c:showLegendKey val="0"/>
          <c:showVal val="0"/>
          <c:showCatName val="0"/>
          <c:showSerName val="0"/>
          <c:showPercent val="0"/>
          <c:showBubbleSize val="0"/>
        </c:dLbls>
        <c:axId val="299077968"/>
        <c:axId val="698833504"/>
      </c:scatterChart>
      <c:valAx>
        <c:axId val="29907796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33504"/>
        <c:crosses val="autoZero"/>
        <c:crossBetween val="midCat"/>
        <c:majorUnit val="5"/>
      </c:valAx>
      <c:valAx>
        <c:axId val="6988335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7796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India, Wholesale,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(All)'!$DE$7:$DE$107</c:f>
              <c:numCache>
                <c:formatCode>General</c:formatCode>
                <c:ptCount val="101"/>
                <c:pt idx="33">
                  <c:v>68.853399566814176</c:v>
                </c:pt>
                <c:pt idx="44">
                  <c:v>35.647135494696471</c:v>
                </c:pt>
                <c:pt idx="45">
                  <c:v>33.903824833702885</c:v>
                </c:pt>
                <c:pt idx="46">
                  <c:v>33.513925510876732</c:v>
                </c:pt>
                <c:pt idx="47">
                  <c:v>35.684121621621621</c:v>
                </c:pt>
                <c:pt idx="48">
                  <c:v>35.328773895847071</c:v>
                </c:pt>
                <c:pt idx="49">
                  <c:v>40.623982491360543</c:v>
                </c:pt>
                <c:pt idx="50">
                  <c:v>41.835305570061671</c:v>
                </c:pt>
                <c:pt idx="51">
                  <c:v>48.30557880100563</c:v>
                </c:pt>
                <c:pt idx="52">
                  <c:v>42.699549684281607</c:v>
                </c:pt>
                <c:pt idx="53">
                  <c:v>35.367498800305739</c:v>
                </c:pt>
                <c:pt idx="54">
                  <c:v>27.141396317766276</c:v>
                </c:pt>
                <c:pt idx="55">
                  <c:v>29.967862366378284</c:v>
                </c:pt>
                <c:pt idx="56">
                  <c:v>39.881374187748214</c:v>
                </c:pt>
                <c:pt idx="57">
                  <c:v>46.187876219657369</c:v>
                </c:pt>
                <c:pt idx="58">
                  <c:v>40.779561540568011</c:v>
                </c:pt>
                <c:pt idx="59">
                  <c:v>36.786798513658482</c:v>
                </c:pt>
                <c:pt idx="60">
                  <c:v>41.971060128401739</c:v>
                </c:pt>
                <c:pt idx="61">
                  <c:v>41.599692358238535</c:v>
                </c:pt>
                <c:pt idx="62">
                  <c:v>37.988589634931095</c:v>
                </c:pt>
                <c:pt idx="63">
                  <c:v>36.420642398569129</c:v>
                </c:pt>
                <c:pt idx="64">
                  <c:v>37.646847005495502</c:v>
                </c:pt>
                <c:pt idx="65">
                  <c:v>41.465630591422574</c:v>
                </c:pt>
                <c:pt idx="66">
                  <c:v>43.385538036422311</c:v>
                </c:pt>
                <c:pt idx="67">
                  <c:v>48.862916706293049</c:v>
                </c:pt>
                <c:pt idx="68">
                  <c:v>56.12719604170605</c:v>
                </c:pt>
                <c:pt idx="69">
                  <c:v>54.876959930313582</c:v>
                </c:pt>
                <c:pt idx="70">
                  <c:v>45.945084083503183</c:v>
                </c:pt>
                <c:pt idx="71">
                  <c:v>42.045506173228318</c:v>
                </c:pt>
                <c:pt idx="72">
                  <c:v>45.657338628047206</c:v>
                </c:pt>
                <c:pt idx="73">
                  <c:v>46.385323929528063</c:v>
                </c:pt>
                <c:pt idx="74">
                  <c:v>47.940724902003488</c:v>
                </c:pt>
                <c:pt idx="75">
                  <c:v>61.53109395415941</c:v>
                </c:pt>
                <c:pt idx="76">
                  <c:v>59.067468287238682</c:v>
                </c:pt>
                <c:pt idx="77">
                  <c:v>68.934191392639377</c:v>
                </c:pt>
                <c:pt idx="78">
                  <c:v>77.59510895307055</c:v>
                </c:pt>
                <c:pt idx="79">
                  <c:v>95.968160394407732</c:v>
                </c:pt>
                <c:pt idx="80">
                  <c:v>96.438539834258222</c:v>
                </c:pt>
                <c:pt idx="81">
                  <c:v>105.31250008928572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(All)'!$DE$7:$DE$107</c:f>
              <c:numCache>
                <c:formatCode>General</c:formatCode>
                <c:ptCount val="101"/>
                <c:pt idx="33">
                  <c:v>68.853399566814176</c:v>
                </c:pt>
                <c:pt idx="44">
                  <c:v>35.647135494696471</c:v>
                </c:pt>
                <c:pt idx="45">
                  <c:v>33.903824833702885</c:v>
                </c:pt>
                <c:pt idx="46">
                  <c:v>33.513925510876732</c:v>
                </c:pt>
                <c:pt idx="47">
                  <c:v>35.684121621621621</c:v>
                </c:pt>
                <c:pt idx="48">
                  <c:v>35.328773895847071</c:v>
                </c:pt>
                <c:pt idx="49">
                  <c:v>40.623982491360543</c:v>
                </c:pt>
                <c:pt idx="50">
                  <c:v>41.835305570061671</c:v>
                </c:pt>
                <c:pt idx="51">
                  <c:v>48.30557880100563</c:v>
                </c:pt>
                <c:pt idx="52">
                  <c:v>42.699549684281607</c:v>
                </c:pt>
                <c:pt idx="53">
                  <c:v>35.367498800305739</c:v>
                </c:pt>
                <c:pt idx="54">
                  <c:v>27.141396317766276</c:v>
                </c:pt>
                <c:pt idx="55">
                  <c:v>29.967862366378284</c:v>
                </c:pt>
                <c:pt idx="56">
                  <c:v>39.881374187748214</c:v>
                </c:pt>
                <c:pt idx="57">
                  <c:v>46.187876219657369</c:v>
                </c:pt>
                <c:pt idx="58">
                  <c:v>40.779561540568011</c:v>
                </c:pt>
                <c:pt idx="59">
                  <c:v>36.786798513658482</c:v>
                </c:pt>
                <c:pt idx="60">
                  <c:v>41.971060128401739</c:v>
                </c:pt>
                <c:pt idx="61">
                  <c:v>41.599692358238535</c:v>
                </c:pt>
                <c:pt idx="62">
                  <c:v>37.988589634931095</c:v>
                </c:pt>
                <c:pt idx="63">
                  <c:v>36.420642398569129</c:v>
                </c:pt>
                <c:pt idx="64">
                  <c:v>37.646847005495502</c:v>
                </c:pt>
                <c:pt idx="65">
                  <c:v>41.465630591422574</c:v>
                </c:pt>
                <c:pt idx="66">
                  <c:v>43.385538036422311</c:v>
                </c:pt>
                <c:pt idx="67">
                  <c:v>48.862916706293049</c:v>
                </c:pt>
                <c:pt idx="68">
                  <c:v>56.12719604170605</c:v>
                </c:pt>
                <c:pt idx="69">
                  <c:v>54.876959930313582</c:v>
                </c:pt>
                <c:pt idx="70">
                  <c:v>45.945084083503183</c:v>
                </c:pt>
                <c:pt idx="71">
                  <c:v>42.045506173228318</c:v>
                </c:pt>
                <c:pt idx="72">
                  <c:v>45.657338628047206</c:v>
                </c:pt>
                <c:pt idx="73">
                  <c:v>46.385323929528063</c:v>
                </c:pt>
                <c:pt idx="74">
                  <c:v>47.940724902003488</c:v>
                </c:pt>
                <c:pt idx="75">
                  <c:v>61.53109395415941</c:v>
                </c:pt>
                <c:pt idx="76">
                  <c:v>59.067468287238682</c:v>
                </c:pt>
                <c:pt idx="77">
                  <c:v>68.934191392639377</c:v>
                </c:pt>
                <c:pt idx="78">
                  <c:v>77.59510895307055</c:v>
                </c:pt>
                <c:pt idx="79">
                  <c:v>95.968160394407732</c:v>
                </c:pt>
                <c:pt idx="80">
                  <c:v>96.438539834258222</c:v>
                </c:pt>
                <c:pt idx="81">
                  <c:v>105.31250008928572</c:v>
                </c:pt>
              </c:numCache>
            </c:numRef>
          </c:yVal>
          <c:smooth val="0"/>
        </c:ser>
        <c:dLbls>
          <c:showLegendKey val="0"/>
          <c:showVal val="0"/>
          <c:showCatName val="0"/>
          <c:showSerName val="0"/>
          <c:showPercent val="0"/>
          <c:showBubbleSize val="0"/>
        </c:dLbls>
        <c:axId val="622131456"/>
        <c:axId val="622130896"/>
      </c:scatterChart>
      <c:valAx>
        <c:axId val="62213145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30896"/>
        <c:crosses val="autoZero"/>
        <c:crossBetween val="midCat"/>
        <c:majorUnit val="5"/>
      </c:valAx>
      <c:valAx>
        <c:axId val="6221308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3145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Istanbul (Nallrihan),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(All)'!$AI$7:$AI$107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(All)'!$AI$7:$AI$107</c:f>
              <c:numCache>
                <c:formatCode>0.0000</c:formatCode>
                <c:ptCount val="101"/>
              </c:numCache>
            </c:numRef>
          </c:yVal>
          <c:smooth val="0"/>
        </c:ser>
        <c:dLbls>
          <c:showLegendKey val="0"/>
          <c:showVal val="0"/>
          <c:showCatName val="0"/>
          <c:showSerName val="0"/>
          <c:showPercent val="0"/>
          <c:showBubbleSize val="0"/>
        </c:dLbls>
        <c:axId val="622139296"/>
        <c:axId val="622138736"/>
      </c:scatterChart>
      <c:valAx>
        <c:axId val="62213929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38736"/>
        <c:crosses val="autoZero"/>
        <c:crossBetween val="midCat"/>
        <c:majorUnit val="5"/>
      </c:valAx>
      <c:valAx>
        <c:axId val="6221387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3929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Istanbul (Nallrihan),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(All)'!$AJ$7:$AJ$107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(All)'!$AJ$7:$AJ$107</c:f>
              <c:numCache>
                <c:formatCode>0.0000</c:formatCode>
                <c:ptCount val="101"/>
              </c:numCache>
            </c:numRef>
          </c:yVal>
          <c:smooth val="0"/>
        </c:ser>
        <c:dLbls>
          <c:showLegendKey val="0"/>
          <c:showVal val="0"/>
          <c:showCatName val="0"/>
          <c:showSerName val="0"/>
          <c:showPercent val="0"/>
          <c:showBubbleSize val="0"/>
        </c:dLbls>
        <c:axId val="622144336"/>
        <c:axId val="622143776"/>
      </c:scatterChart>
      <c:valAx>
        <c:axId val="62214433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43776"/>
        <c:crosses val="autoZero"/>
        <c:crossBetween val="midCat"/>
        <c:majorUnit val="5"/>
      </c:valAx>
      <c:valAx>
        <c:axId val="6221437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4433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Istanbul (Nallrihan),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(All)'!$AK$7:$AK$107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(All)'!$AK$7:$AK$107</c:f>
              <c:numCache>
                <c:formatCode>0.0000</c:formatCode>
                <c:ptCount val="101"/>
              </c:numCache>
            </c:numRef>
          </c:yVal>
          <c:smooth val="0"/>
        </c:ser>
        <c:dLbls>
          <c:showLegendKey val="0"/>
          <c:showVal val="0"/>
          <c:showCatName val="0"/>
          <c:showSerName val="0"/>
          <c:showPercent val="0"/>
          <c:showBubbleSize val="0"/>
        </c:dLbls>
        <c:axId val="622147696"/>
        <c:axId val="622147136"/>
      </c:scatterChart>
      <c:valAx>
        <c:axId val="62214769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47136"/>
        <c:crosses val="autoZero"/>
        <c:crossBetween val="midCat"/>
        <c:majorUnit val="5"/>
      </c:valAx>
      <c:valAx>
        <c:axId val="6221471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4769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UK,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5"/>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(All)'!$C$7:$C$107</c:f>
              <c:numCache>
                <c:formatCode>_(* #,##0.0000_);_(* \(#,##0.0000\);_(* "-"??_);_(@_)</c:formatCode>
                <c:ptCount val="101"/>
                <c:pt idx="14">
                  <c:v>101.11748352598057</c:v>
                </c:pt>
                <c:pt idx="15">
                  <c:v>107.65680361962106</c:v>
                </c:pt>
                <c:pt idx="16">
                  <c:v>92.637794634095499</c:v>
                </c:pt>
                <c:pt idx="17">
                  <c:v>82.531658671533947</c:v>
                </c:pt>
                <c:pt idx="18">
                  <c:v>63.306962208059012</c:v>
                </c:pt>
                <c:pt idx="19">
                  <c:v>64.61844596378468</c:v>
                </c:pt>
                <c:pt idx="20">
                  <c:v>83.517873520683509</c:v>
                </c:pt>
                <c:pt idx="21">
                  <c:v>81.770336873240723</c:v>
                </c:pt>
                <c:pt idx="22">
                  <c:v>72.705118894814177</c:v>
                </c:pt>
                <c:pt idx="23">
                  <c:v>63.404024118624264</c:v>
                </c:pt>
                <c:pt idx="24">
                  <c:v>59.165945413031949</c:v>
                </c:pt>
                <c:pt idx="25">
                  <c:v>59.978571428571428</c:v>
                </c:pt>
                <c:pt idx="26">
                  <c:v>72.064285714285731</c:v>
                </c:pt>
                <c:pt idx="27">
                  <c:v>92.7</c:v>
                </c:pt>
                <c:pt idx="28">
                  <c:v>86.914285714285711</c:v>
                </c:pt>
                <c:pt idx="29">
                  <c:v>66.535714285714278</c:v>
                </c:pt>
                <c:pt idx="30">
                  <c:v>67.692857142857136</c:v>
                </c:pt>
                <c:pt idx="31">
                  <c:v>76.114285714285728</c:v>
                </c:pt>
                <c:pt idx="32">
                  <c:v>79.842857142857142</c:v>
                </c:pt>
                <c:pt idx="33">
                  <c:v>83.635714285714272</c:v>
                </c:pt>
                <c:pt idx="34">
                  <c:v>78.107142857142861</c:v>
                </c:pt>
                <c:pt idx="35">
                  <c:v>68.207142857142856</c:v>
                </c:pt>
                <c:pt idx="36">
                  <c:v>67.050000000000011</c:v>
                </c:pt>
                <c:pt idx="37">
                  <c:v>80.292857142857144</c:v>
                </c:pt>
                <c:pt idx="38">
                  <c:v>70.650000000000006</c:v>
                </c:pt>
                <c:pt idx="39">
                  <c:v>67.885714285714286</c:v>
                </c:pt>
                <c:pt idx="40">
                  <c:v>71.228571428571428</c:v>
                </c:pt>
                <c:pt idx="41">
                  <c:v>70.971428571428561</c:v>
                </c:pt>
                <c:pt idx="42">
                  <c:v>68.592857142857142</c:v>
                </c:pt>
                <c:pt idx="43">
                  <c:v>63.064285714285717</c:v>
                </c:pt>
                <c:pt idx="44">
                  <c:v>54.064285714285717</c:v>
                </c:pt>
                <c:pt idx="45">
                  <c:v>50.335714285714289</c:v>
                </c:pt>
                <c:pt idx="46">
                  <c:v>48.535714285714278</c:v>
                </c:pt>
                <c:pt idx="47">
                  <c:v>49.178571428571438</c:v>
                </c:pt>
                <c:pt idx="48">
                  <c:v>49.371428571428581</c:v>
                </c:pt>
                <c:pt idx="49">
                  <c:v>49.435714285714283</c:v>
                </c:pt>
                <c:pt idx="50">
                  <c:v>50.142857142857146</c:v>
                </c:pt>
                <c:pt idx="51">
                  <c:v>57.085714285714296</c:v>
                </c:pt>
                <c:pt idx="52">
                  <c:v>49.242857142857147</c:v>
                </c:pt>
                <c:pt idx="53">
                  <c:v>41.400000000000006</c:v>
                </c:pt>
                <c:pt idx="54">
                  <c:v>34.392857142857139</c:v>
                </c:pt>
                <c:pt idx="55">
                  <c:v>35.421428571428571</c:v>
                </c:pt>
                <c:pt idx="56">
                  <c:v>39.792857142857144</c:v>
                </c:pt>
                <c:pt idx="57">
                  <c:v>47.892857142857139</c:v>
                </c:pt>
                <c:pt idx="58">
                  <c:v>51.557142857142864</c:v>
                </c:pt>
                <c:pt idx="59">
                  <c:v>43.007142857142853</c:v>
                </c:pt>
                <c:pt idx="60">
                  <c:v>43.714285714285715</c:v>
                </c:pt>
                <c:pt idx="61">
                  <c:v>42.557142857142864</c:v>
                </c:pt>
                <c:pt idx="62">
                  <c:v>43.007142857142853</c:v>
                </c:pt>
                <c:pt idx="63">
                  <c:v>43.65</c:v>
                </c:pt>
                <c:pt idx="64">
                  <c:v>45.06428571428571</c:v>
                </c:pt>
                <c:pt idx="65">
                  <c:v>46.478571428571428</c:v>
                </c:pt>
                <c:pt idx="66">
                  <c:v>45.192857142857136</c:v>
                </c:pt>
                <c:pt idx="67">
                  <c:v>49.435714285714283</c:v>
                </c:pt>
                <c:pt idx="68">
                  <c:v>54</c:v>
                </c:pt>
                <c:pt idx="69">
                  <c:v>59.464285714285708</c:v>
                </c:pt>
                <c:pt idx="70">
                  <c:v>53.935714285714283</c:v>
                </c:pt>
                <c:pt idx="71">
                  <c:v>51.042857142857144</c:v>
                </c:pt>
                <c:pt idx="72">
                  <c:v>54.51428571428572</c:v>
                </c:pt>
                <c:pt idx="73">
                  <c:v>53.228571428571428</c:v>
                </c:pt>
                <c:pt idx="74">
                  <c:v>55.349999999999994</c:v>
                </c:pt>
                <c:pt idx="75">
                  <c:v>83.121428571428581</c:v>
                </c:pt>
                <c:pt idx="76">
                  <c:v>92.507142857142853</c:v>
                </c:pt>
                <c:pt idx="77">
                  <c:v>118.80000000000001</c:v>
                </c:pt>
                <c:pt idx="78">
                  <c:v>117.83571428571427</c:v>
                </c:pt>
                <c:pt idx="79">
                  <c:v>123.10714285714283</c:v>
                </c:pt>
                <c:pt idx="80">
                  <c:v>172.60714285714286</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(All)'!#REF!</c:f>
              <c:numCache>
                <c:formatCode>General</c:formatCode>
                <c:ptCount val="1"/>
                <c:pt idx="0">
                  <c:v>1</c:v>
                </c:pt>
              </c:numCache>
            </c:numRef>
          </c:yVal>
          <c:smooth val="0"/>
        </c:ser>
        <c:dLbls>
          <c:showLegendKey val="0"/>
          <c:showVal val="0"/>
          <c:showCatName val="0"/>
          <c:showSerName val="0"/>
          <c:showPercent val="0"/>
          <c:showBubbleSize val="0"/>
        </c:dLbls>
        <c:axId val="622152176"/>
        <c:axId val="622115776"/>
      </c:scatterChart>
      <c:valAx>
        <c:axId val="62215217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15776"/>
        <c:crosses val="autoZero"/>
        <c:crossBetween val="midCat"/>
        <c:majorUnit val="5"/>
      </c:valAx>
      <c:valAx>
        <c:axId val="6221157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5217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Odessa,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1"/>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(All)'!$E$7:$E$107</c:f>
              <c:numCache>
                <c:formatCode>0.0000</c:formatCode>
                <c:ptCount val="101"/>
                <c:pt idx="3" formatCode="_(* #,##0.0000_);_(* \(#,##0.0000\);_(* &quot;-&quot;??_);_(@_)">
                  <c:v>31.125</c:v>
                </c:pt>
                <c:pt idx="4" formatCode="_(* #,##0.0000_);_(* \(#,##0.0000\);_(* &quot;-&quot;??_);_(@_)">
                  <c:v>29</c:v>
                </c:pt>
                <c:pt idx="5" formatCode="_(* #,##0.0000_);_(* \(#,##0.0000\);_(* &quot;-&quot;??_);_(@_)">
                  <c:v>32.125</c:v>
                </c:pt>
                <c:pt idx="6" formatCode="_(* #,##0.0000_);_(* \(#,##0.0000\);_(* &quot;-&quot;??_);_(@_)">
                  <c:v>38.75</c:v>
                </c:pt>
                <c:pt idx="7" formatCode="_(* #,##0.0000_);_(* \(#,##0.0000\);_(* &quot;-&quot;??_);_(@_)">
                  <c:v>46</c:v>
                </c:pt>
                <c:pt idx="8" formatCode="_(* #,##0.0000_);_(* \(#,##0.0000\);_(* &quot;-&quot;??_);_(@_)">
                  <c:v>35.375</c:v>
                </c:pt>
                <c:pt idx="9" formatCode="_(* #,##0.0000_);_(* \(#,##0.0000\);_(* &quot;-&quot;??_);_(@_)">
                  <c:v>37.25</c:v>
                </c:pt>
                <c:pt idx="10" formatCode="_(* #,##0.0000_);_(* \(#,##0.0000\);_(* &quot;-&quot;??_);_(@_)">
                  <c:v>36.625</c:v>
                </c:pt>
                <c:pt idx="11" formatCode="_(* #,##0.0000_);_(* \(#,##0.0000\);_(* &quot;-&quot;??_);_(@_)">
                  <c:v>31.375</c:v>
                </c:pt>
                <c:pt idx="12" formatCode="_(* #,##0.0000_);_(* \(#,##0.0000\);_(* &quot;-&quot;??_);_(@_)">
                  <c:v>34.125</c:v>
                </c:pt>
                <c:pt idx="13" formatCode="_(* #,##0.0000_);_(* \(#,##0.0000\);_(* &quot;-&quot;??_);_(@_)">
                  <c:v>38</c:v>
                </c:pt>
                <c:pt idx="14" formatCode="_(* #,##0.0000_);_(* \(#,##0.0000\);_(* &quot;-&quot;??_);_(@_)">
                  <c:v>46.125</c:v>
                </c:pt>
                <c:pt idx="16" formatCode="_(* #,##0.0000_);_(* \(#,##0.0000\);_(* &quot;-&quot;??_);_(@_)">
                  <c:v>67.5</c:v>
                </c:pt>
                <c:pt idx="17" formatCode="_(* #,##0.0000_);_(* \(#,##0.0000\);_(* &quot;-&quot;??_);_(@_)">
                  <c:v>56.25</c:v>
                </c:pt>
                <c:pt idx="18" formatCode="_(* #,##0.0000_);_(* \(#,##0.0000\);_(* &quot;-&quot;??_);_(@_)">
                  <c:v>46.875</c:v>
                </c:pt>
                <c:pt idx="19" formatCode="_(* #,##0.0000_);_(* \(#,##0.0000\);_(* &quot;-&quot;??_);_(@_)">
                  <c:v>44.625</c:v>
                </c:pt>
                <c:pt idx="20" formatCode="_(* #,##0.0000_);_(* \(#,##0.0000\);_(* &quot;-&quot;??_);_(@_)">
                  <c:v>54.5</c:v>
                </c:pt>
                <c:pt idx="21" formatCode="_(* #,##0.0000_);_(* \(#,##0.0000\);_(* &quot;-&quot;??_);_(@_)">
                  <c:v>51.75</c:v>
                </c:pt>
                <c:pt idx="22" formatCode="_(* #,##0.0000_);_(* \(#,##0.0000\);_(* &quot;-&quot;??_);_(@_)">
                  <c:v>45.125</c:v>
                </c:pt>
                <c:pt idx="23" formatCode="_(* #,##0.0000_);_(* \(#,##0.0000\);_(* &quot;-&quot;??_);_(@_)">
                  <c:v>45.875</c:v>
                </c:pt>
                <c:pt idx="24" formatCode="_(* #,##0.0000_);_(* \(#,##0.0000\);_(* &quot;-&quot;??_);_(@_)">
                  <c:v>39</c:v>
                </c:pt>
                <c:pt idx="25" formatCode="_(* #,##0.0000_);_(* \(#,##0.0000\);_(* &quot;-&quot;??_);_(@_)">
                  <c:v>42.375</c:v>
                </c:pt>
                <c:pt idx="26" formatCode="_(* #,##0.0000_);_(* \(#,##0.0000\);_(* &quot;-&quot;??_);_(@_)">
                  <c:v>53.875</c:v>
                </c:pt>
                <c:pt idx="27" formatCode="_(* #,##0.0000_);_(* \(#,##0.0000\);_(* &quot;-&quot;??_);_(@_)">
                  <c:v>64.25</c:v>
                </c:pt>
                <c:pt idx="28" formatCode="_(* #,##0.0000_);_(* \(#,##0.0000\);_(* &quot;-&quot;??_);_(@_)">
                  <c:v>66.875</c:v>
                </c:pt>
                <c:pt idx="29" formatCode="_(* #,##0.0000_);_(* \(#,##0.0000\);_(* &quot;-&quot;??_);_(@_)">
                  <c:v>50.125</c:v>
                </c:pt>
                <c:pt idx="30" formatCode="_(* #,##0.0000_);_(* \(#,##0.0000\);_(* &quot;-&quot;??_);_(@_)">
                  <c:v>48.375</c:v>
                </c:pt>
                <c:pt idx="31" formatCode="_(* #,##0.0000_);_(* \(#,##0.0000\);_(* &quot;-&quot;??_);_(@_)">
                  <c:v>58.375</c:v>
                </c:pt>
                <c:pt idx="32" formatCode="_(* #,##0.0000_);_(* \(#,##0.0000\);_(* &quot;-&quot;??_);_(@_)">
                  <c:v>59.25</c:v>
                </c:pt>
                <c:pt idx="33" formatCode="_(* #,##0.0000_);_(* \(#,##0.0000\);_(* &quot;-&quot;??_);_(@_)">
                  <c:v>69.25</c:v>
                </c:pt>
                <c:pt idx="34" formatCode="_(* #,##0.0000_);_(* \(#,##0.0000\);_(* &quot;-&quot;??_);_(@_)">
                  <c:v>61</c:v>
                </c:pt>
                <c:pt idx="35" formatCode="_(* #,##0.0000_);_(* \(#,##0.0000\);_(* &quot;-&quot;??_);_(@_)">
                  <c:v>57.875</c:v>
                </c:pt>
                <c:pt idx="36" formatCode="_(* #,##0.0000_);_(* \(#,##0.0000\);_(* &quot;-&quot;??_);_(@_)">
                  <c:v>58.75</c:v>
                </c:pt>
                <c:pt idx="37" formatCode="_(* #,##0.0000_);_(* \(#,##0.0000\);_(* &quot;-&quot;??_);_(@_)">
                  <c:v>45.625</c:v>
                </c:pt>
                <c:pt idx="38" formatCode="_(* #,##0.0000_);_(* \(#,##0.0000\);_(* &quot;-&quot;??_);_(@_)">
                  <c:v>48.5</c:v>
                </c:pt>
                <c:pt idx="39" formatCode="_(* #,##0.0000_);_(* \(#,##0.0000\);_(* &quot;-&quot;??_);_(@_)">
                  <c:v>61.375</c:v>
                </c:pt>
                <c:pt idx="40" formatCode="_(* #,##0.0000_);_(* \(#,##0.0000\);_(* &quot;-&quot;??_);_(@_)">
                  <c:v>62.5</c:v>
                </c:pt>
                <c:pt idx="41" formatCode="_(* #,##0.0000_);_(* \(#,##0.0000\);_(* &quot;-&quot;??_);_(@_)">
                  <c:v>62.75</c:v>
                </c:pt>
                <c:pt idx="42" formatCode="_(* #,##0.0000_);_(* \(#,##0.0000\);_(* &quot;-&quot;??_);_(@_)">
                  <c:v>55.625</c:v>
                </c:pt>
                <c:pt idx="43" formatCode="_(* #,##0.0000_);_(* \(#,##0.0000\);_(* &quot;-&quot;??_);_(@_)">
                  <c:v>52.625</c:v>
                </c:pt>
                <c:pt idx="44" formatCode="_(* #,##0.0000_);_(* \(#,##0.0000\);_(* &quot;-&quot;??_);_(@_)">
                  <c:v>43</c:v>
                </c:pt>
                <c:pt idx="45" formatCode="_(* #,##0.0000_);_(* \(#,##0.0000\);_(* &quot;-&quot;??_);_(@_)">
                  <c:v>36.75</c:v>
                </c:pt>
                <c:pt idx="46" formatCode="_(* #,##0.0000_);_(* \(#,##0.0000\);_(* &quot;-&quot;??_);_(@_)">
                  <c:v>44.625</c:v>
                </c:pt>
                <c:pt idx="47" formatCode="_(* #,##0.0000_);_(* \(#,##0.0000\);_(* &quot;-&quot;??_);_(@_)">
                  <c:v>40.125</c:v>
                </c:pt>
                <c:pt idx="48" formatCode="_(* #,##0.0000_);_(* \(#,##0.0000\);_(* &quot;-&quot;??_);_(@_)">
                  <c:v>40</c:v>
                </c:pt>
                <c:pt idx="49" formatCode="_(* #,##0.0000_);_(* \(#,##0.0000\);_(* &quot;-&quot;??_);_(@_)">
                  <c:v>38.375</c:v>
                </c:pt>
                <c:pt idx="50" formatCode="_(* #,##0.0000_);_(* \(#,##0.0000\);_(* &quot;-&quot;??_);_(@_)">
                  <c:v>42.875</c:v>
                </c:pt>
                <c:pt idx="51" formatCode="_(* #,##0.0000_);_(* \(#,##0.0000\);_(* &quot;-&quot;??_);_(@_)">
                  <c:v>48.75</c:v>
                </c:pt>
                <c:pt idx="52" formatCode="_(* #,##0.0000_);_(* \(#,##0.0000\);_(* &quot;-&quot;??_);_(@_)">
                  <c:v>37.375</c:v>
                </c:pt>
                <c:pt idx="53" formatCode="_(* #,##0.0000_);_(* \(#,##0.0000\);_(* &quot;-&quot;??_);_(@_)">
                  <c:v>30.875</c:v>
                </c:pt>
                <c:pt idx="54" formatCode="_(* #,##0.0000_);_(* \(#,##0.0000\);_(* &quot;-&quot;??_);_(@_)">
                  <c:v>26.25</c:v>
                </c:pt>
                <c:pt idx="55" formatCode="_(* #,##0.0000_);_(* \(#,##0.0000\);_(* &quot;-&quot;??_);_(@_)">
                  <c:v>29.5</c:v>
                </c:pt>
                <c:pt idx="56" formatCode="_(* #,##0.0000_);_(* \(#,##0.0000\);_(* &quot;-&quot;??_);_(@_)">
                  <c:v>30.103499999999997</c:v>
                </c:pt>
                <c:pt idx="57" formatCode="_(* #,##0.0000_);_(* \(#,##0.0000\);_(* &quot;-&quot;??_);_(@_)">
                  <c:v>36.025500000000001</c:v>
                </c:pt>
                <c:pt idx="58" formatCode="_(* #,##0.0000_);_(* \(#,##0.0000\);_(* &quot;-&quot;??_);_(@_)">
                  <c:v>45.895499999999998</c:v>
                </c:pt>
                <c:pt idx="59" formatCode="_(* #,##0.0000_);_(* \(#,##0.0000\);_(* &quot;-&quot;??_);_(@_)">
                  <c:v>38.986499999999999</c:v>
                </c:pt>
                <c:pt idx="60" formatCode="_(* #,##0.0000_);_(* \(#,##0.0000\);_(* &quot;-&quot;??_);_(@_)">
                  <c:v>37.999499999999998</c:v>
                </c:pt>
                <c:pt idx="61" formatCode="_(* #,##0.0000_);_(* \(#,##0.0000\);_(* &quot;-&quot;??_);_(@_)">
                  <c:v>37.012499999999996</c:v>
                </c:pt>
                <c:pt idx="62" formatCode="_(* #,##0.0000_);_(* \(#,##0.0000\);_(* &quot;-&quot;??_);_(@_)">
                  <c:v>36.518999999999998</c:v>
                </c:pt>
                <c:pt idx="63" formatCode="_(* #,##0.0000_);_(* \(#,##0.0000\);_(* &quot;-&quot;??_);_(@_)">
                  <c:v>36.518999999999998</c:v>
                </c:pt>
                <c:pt idx="64" formatCode="_(* #,##0.0000_);_(* \(#,##0.0000\);_(* &quot;-&quot;??_);_(@_)">
                  <c:v>38.492999999999995</c:v>
                </c:pt>
                <c:pt idx="65" formatCode="_(* #,##0.0000_);_(* \(#,##0.0000\);_(* &quot;-&quot;??_);_(@_)">
                  <c:v>41.454000000000001</c:v>
                </c:pt>
                <c:pt idx="66" formatCode="_(* #,##0.0000_);_(* \(#,##0.0000\);_(* &quot;-&quot;??_);_(@_)">
                  <c:v>41.454000000000001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(All)'!$E$7:$E$107</c:f>
              <c:numCache>
                <c:formatCode>0.0000</c:formatCode>
                <c:ptCount val="101"/>
                <c:pt idx="3" formatCode="_(* #,##0.0000_);_(* \(#,##0.0000\);_(* &quot;-&quot;??_);_(@_)">
                  <c:v>31.125</c:v>
                </c:pt>
                <c:pt idx="4" formatCode="_(* #,##0.0000_);_(* \(#,##0.0000\);_(* &quot;-&quot;??_);_(@_)">
                  <c:v>29</c:v>
                </c:pt>
                <c:pt idx="5" formatCode="_(* #,##0.0000_);_(* \(#,##0.0000\);_(* &quot;-&quot;??_);_(@_)">
                  <c:v>32.125</c:v>
                </c:pt>
                <c:pt idx="6" formatCode="_(* #,##0.0000_);_(* \(#,##0.0000\);_(* &quot;-&quot;??_);_(@_)">
                  <c:v>38.75</c:v>
                </c:pt>
                <c:pt idx="7" formatCode="_(* #,##0.0000_);_(* \(#,##0.0000\);_(* &quot;-&quot;??_);_(@_)">
                  <c:v>46</c:v>
                </c:pt>
                <c:pt idx="8" formatCode="_(* #,##0.0000_);_(* \(#,##0.0000\);_(* &quot;-&quot;??_);_(@_)">
                  <c:v>35.375</c:v>
                </c:pt>
                <c:pt idx="9" formatCode="_(* #,##0.0000_);_(* \(#,##0.0000\);_(* &quot;-&quot;??_);_(@_)">
                  <c:v>37.25</c:v>
                </c:pt>
                <c:pt idx="10" formatCode="_(* #,##0.0000_);_(* \(#,##0.0000\);_(* &quot;-&quot;??_);_(@_)">
                  <c:v>36.625</c:v>
                </c:pt>
                <c:pt idx="11" formatCode="_(* #,##0.0000_);_(* \(#,##0.0000\);_(* &quot;-&quot;??_);_(@_)">
                  <c:v>31.375</c:v>
                </c:pt>
                <c:pt idx="12" formatCode="_(* #,##0.0000_);_(* \(#,##0.0000\);_(* &quot;-&quot;??_);_(@_)">
                  <c:v>34.125</c:v>
                </c:pt>
                <c:pt idx="13" formatCode="_(* #,##0.0000_);_(* \(#,##0.0000\);_(* &quot;-&quot;??_);_(@_)">
                  <c:v>38</c:v>
                </c:pt>
                <c:pt idx="14" formatCode="_(* #,##0.0000_);_(* \(#,##0.0000\);_(* &quot;-&quot;??_);_(@_)">
                  <c:v>46.125</c:v>
                </c:pt>
                <c:pt idx="16" formatCode="_(* #,##0.0000_);_(* \(#,##0.0000\);_(* &quot;-&quot;??_);_(@_)">
                  <c:v>67.5</c:v>
                </c:pt>
                <c:pt idx="17" formatCode="_(* #,##0.0000_);_(* \(#,##0.0000\);_(* &quot;-&quot;??_);_(@_)">
                  <c:v>56.25</c:v>
                </c:pt>
                <c:pt idx="18" formatCode="_(* #,##0.0000_);_(* \(#,##0.0000\);_(* &quot;-&quot;??_);_(@_)">
                  <c:v>46.875</c:v>
                </c:pt>
                <c:pt idx="19" formatCode="_(* #,##0.0000_);_(* \(#,##0.0000\);_(* &quot;-&quot;??_);_(@_)">
                  <c:v>44.625</c:v>
                </c:pt>
                <c:pt idx="20" formatCode="_(* #,##0.0000_);_(* \(#,##0.0000\);_(* &quot;-&quot;??_);_(@_)">
                  <c:v>54.5</c:v>
                </c:pt>
                <c:pt idx="21" formatCode="_(* #,##0.0000_);_(* \(#,##0.0000\);_(* &quot;-&quot;??_);_(@_)">
                  <c:v>51.75</c:v>
                </c:pt>
                <c:pt idx="22" formatCode="_(* #,##0.0000_);_(* \(#,##0.0000\);_(* &quot;-&quot;??_);_(@_)">
                  <c:v>45.125</c:v>
                </c:pt>
                <c:pt idx="23" formatCode="_(* #,##0.0000_);_(* \(#,##0.0000\);_(* &quot;-&quot;??_);_(@_)">
                  <c:v>45.875</c:v>
                </c:pt>
                <c:pt idx="24" formatCode="_(* #,##0.0000_);_(* \(#,##0.0000\);_(* &quot;-&quot;??_);_(@_)">
                  <c:v>39</c:v>
                </c:pt>
                <c:pt idx="25" formatCode="_(* #,##0.0000_);_(* \(#,##0.0000\);_(* &quot;-&quot;??_);_(@_)">
                  <c:v>42.375</c:v>
                </c:pt>
                <c:pt idx="26" formatCode="_(* #,##0.0000_);_(* \(#,##0.0000\);_(* &quot;-&quot;??_);_(@_)">
                  <c:v>53.875</c:v>
                </c:pt>
                <c:pt idx="27" formatCode="_(* #,##0.0000_);_(* \(#,##0.0000\);_(* &quot;-&quot;??_);_(@_)">
                  <c:v>64.25</c:v>
                </c:pt>
                <c:pt idx="28" formatCode="_(* #,##0.0000_);_(* \(#,##0.0000\);_(* &quot;-&quot;??_);_(@_)">
                  <c:v>66.875</c:v>
                </c:pt>
                <c:pt idx="29" formatCode="_(* #,##0.0000_);_(* \(#,##0.0000\);_(* &quot;-&quot;??_);_(@_)">
                  <c:v>50.125</c:v>
                </c:pt>
                <c:pt idx="30" formatCode="_(* #,##0.0000_);_(* \(#,##0.0000\);_(* &quot;-&quot;??_);_(@_)">
                  <c:v>48.375</c:v>
                </c:pt>
                <c:pt idx="31" formatCode="_(* #,##0.0000_);_(* \(#,##0.0000\);_(* &quot;-&quot;??_);_(@_)">
                  <c:v>58.375</c:v>
                </c:pt>
                <c:pt idx="32" formatCode="_(* #,##0.0000_);_(* \(#,##0.0000\);_(* &quot;-&quot;??_);_(@_)">
                  <c:v>59.25</c:v>
                </c:pt>
                <c:pt idx="33" formatCode="_(* #,##0.0000_);_(* \(#,##0.0000\);_(* &quot;-&quot;??_);_(@_)">
                  <c:v>69.25</c:v>
                </c:pt>
                <c:pt idx="34" formatCode="_(* #,##0.0000_);_(* \(#,##0.0000\);_(* &quot;-&quot;??_);_(@_)">
                  <c:v>61</c:v>
                </c:pt>
                <c:pt idx="35" formatCode="_(* #,##0.0000_);_(* \(#,##0.0000\);_(* &quot;-&quot;??_);_(@_)">
                  <c:v>57.875</c:v>
                </c:pt>
                <c:pt idx="36" formatCode="_(* #,##0.0000_);_(* \(#,##0.0000\);_(* &quot;-&quot;??_);_(@_)">
                  <c:v>58.75</c:v>
                </c:pt>
                <c:pt idx="37" formatCode="_(* #,##0.0000_);_(* \(#,##0.0000\);_(* &quot;-&quot;??_);_(@_)">
                  <c:v>45.625</c:v>
                </c:pt>
                <c:pt idx="38" formatCode="_(* #,##0.0000_);_(* \(#,##0.0000\);_(* &quot;-&quot;??_);_(@_)">
                  <c:v>48.5</c:v>
                </c:pt>
                <c:pt idx="39" formatCode="_(* #,##0.0000_);_(* \(#,##0.0000\);_(* &quot;-&quot;??_);_(@_)">
                  <c:v>61.375</c:v>
                </c:pt>
                <c:pt idx="40" formatCode="_(* #,##0.0000_);_(* \(#,##0.0000\);_(* &quot;-&quot;??_);_(@_)">
                  <c:v>62.5</c:v>
                </c:pt>
                <c:pt idx="41" formatCode="_(* #,##0.0000_);_(* \(#,##0.0000\);_(* &quot;-&quot;??_);_(@_)">
                  <c:v>62.75</c:v>
                </c:pt>
                <c:pt idx="42" formatCode="_(* #,##0.0000_);_(* \(#,##0.0000\);_(* &quot;-&quot;??_);_(@_)">
                  <c:v>55.625</c:v>
                </c:pt>
                <c:pt idx="43" formatCode="_(* #,##0.0000_);_(* \(#,##0.0000\);_(* &quot;-&quot;??_);_(@_)">
                  <c:v>52.625</c:v>
                </c:pt>
                <c:pt idx="44" formatCode="_(* #,##0.0000_);_(* \(#,##0.0000\);_(* &quot;-&quot;??_);_(@_)">
                  <c:v>43</c:v>
                </c:pt>
                <c:pt idx="45" formatCode="_(* #,##0.0000_);_(* \(#,##0.0000\);_(* &quot;-&quot;??_);_(@_)">
                  <c:v>36.75</c:v>
                </c:pt>
                <c:pt idx="46" formatCode="_(* #,##0.0000_);_(* \(#,##0.0000\);_(* &quot;-&quot;??_);_(@_)">
                  <c:v>44.625</c:v>
                </c:pt>
                <c:pt idx="47" formatCode="_(* #,##0.0000_);_(* \(#,##0.0000\);_(* &quot;-&quot;??_);_(@_)">
                  <c:v>40.125</c:v>
                </c:pt>
                <c:pt idx="48" formatCode="_(* #,##0.0000_);_(* \(#,##0.0000\);_(* &quot;-&quot;??_);_(@_)">
                  <c:v>40</c:v>
                </c:pt>
                <c:pt idx="49" formatCode="_(* #,##0.0000_);_(* \(#,##0.0000\);_(* &quot;-&quot;??_);_(@_)">
                  <c:v>38.375</c:v>
                </c:pt>
                <c:pt idx="50" formatCode="_(* #,##0.0000_);_(* \(#,##0.0000\);_(* &quot;-&quot;??_);_(@_)">
                  <c:v>42.875</c:v>
                </c:pt>
                <c:pt idx="51" formatCode="_(* #,##0.0000_);_(* \(#,##0.0000\);_(* &quot;-&quot;??_);_(@_)">
                  <c:v>48.75</c:v>
                </c:pt>
                <c:pt idx="52" formatCode="_(* #,##0.0000_);_(* \(#,##0.0000\);_(* &quot;-&quot;??_);_(@_)">
                  <c:v>37.375</c:v>
                </c:pt>
                <c:pt idx="53" formatCode="_(* #,##0.0000_);_(* \(#,##0.0000\);_(* &quot;-&quot;??_);_(@_)">
                  <c:v>30.875</c:v>
                </c:pt>
                <c:pt idx="54" formatCode="_(* #,##0.0000_);_(* \(#,##0.0000\);_(* &quot;-&quot;??_);_(@_)">
                  <c:v>26.25</c:v>
                </c:pt>
                <c:pt idx="55" formatCode="_(* #,##0.0000_);_(* \(#,##0.0000\);_(* &quot;-&quot;??_);_(@_)">
                  <c:v>29.5</c:v>
                </c:pt>
                <c:pt idx="56" formatCode="_(* #,##0.0000_);_(* \(#,##0.0000\);_(* &quot;-&quot;??_);_(@_)">
                  <c:v>30.103499999999997</c:v>
                </c:pt>
                <c:pt idx="57" formatCode="_(* #,##0.0000_);_(* \(#,##0.0000\);_(* &quot;-&quot;??_);_(@_)">
                  <c:v>36.025500000000001</c:v>
                </c:pt>
                <c:pt idx="58" formatCode="_(* #,##0.0000_);_(* \(#,##0.0000\);_(* &quot;-&quot;??_);_(@_)">
                  <c:v>45.895499999999998</c:v>
                </c:pt>
                <c:pt idx="59" formatCode="_(* #,##0.0000_);_(* \(#,##0.0000\);_(* &quot;-&quot;??_);_(@_)">
                  <c:v>38.986499999999999</c:v>
                </c:pt>
                <c:pt idx="60" formatCode="_(* #,##0.0000_);_(* \(#,##0.0000\);_(* &quot;-&quot;??_);_(@_)">
                  <c:v>37.999499999999998</c:v>
                </c:pt>
                <c:pt idx="61" formatCode="_(* #,##0.0000_);_(* \(#,##0.0000\);_(* &quot;-&quot;??_);_(@_)">
                  <c:v>37.012499999999996</c:v>
                </c:pt>
                <c:pt idx="62" formatCode="_(* #,##0.0000_);_(* \(#,##0.0000\);_(* &quot;-&quot;??_);_(@_)">
                  <c:v>36.518999999999998</c:v>
                </c:pt>
                <c:pt idx="63" formatCode="_(* #,##0.0000_);_(* \(#,##0.0000\);_(* &quot;-&quot;??_);_(@_)">
                  <c:v>36.518999999999998</c:v>
                </c:pt>
                <c:pt idx="64" formatCode="_(* #,##0.0000_);_(* \(#,##0.0000\);_(* &quot;-&quot;??_);_(@_)">
                  <c:v>38.492999999999995</c:v>
                </c:pt>
                <c:pt idx="65" formatCode="_(* #,##0.0000_);_(* \(#,##0.0000\);_(* &quot;-&quot;??_);_(@_)">
                  <c:v>41.454000000000001</c:v>
                </c:pt>
                <c:pt idx="66" formatCode="_(* #,##0.0000_);_(* \(#,##0.0000\);_(* &quot;-&quot;??_);_(@_)">
                  <c:v>41.454000000000001</c:v>
                </c:pt>
              </c:numCache>
            </c:numRef>
          </c:yVal>
          <c:smooth val="0"/>
        </c:ser>
        <c:dLbls>
          <c:showLegendKey val="0"/>
          <c:showVal val="0"/>
          <c:showCatName val="0"/>
          <c:showSerName val="0"/>
          <c:showPercent val="0"/>
          <c:showBubbleSize val="0"/>
        </c:dLbls>
        <c:axId val="622155536"/>
        <c:axId val="622154976"/>
      </c:scatterChart>
      <c:valAx>
        <c:axId val="62215553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54976"/>
        <c:crosses val="autoZero"/>
        <c:crossBetween val="midCat"/>
        <c:majorUnit val="5"/>
      </c:valAx>
      <c:valAx>
        <c:axId val="6221549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5553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Aleppo,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1"/>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(All)'!$R$7:$R$107</c:f>
              <c:numCache>
                <c:formatCode>0.0000</c:formatCode>
                <c:ptCount val="101"/>
                <c:pt idx="5" formatCode="_(* #,##0.0000_);_(* \(#,##0.0000\);_(* &quot;-&quot;??_);_(@_)">
                  <c:v>24.545454545454543</c:v>
                </c:pt>
                <c:pt idx="6" formatCode="_(* #,##0.0000_);_(* \(#,##0.0000\);_(* &quot;-&quot;??_);_(@_)">
                  <c:v>53.999999999999993</c:v>
                </c:pt>
                <c:pt idx="7" formatCode="_(* #,##0.0000_);_(* \(#,##0.0000\);_(* &quot;-&quot;??_);_(@_)">
                  <c:v>53.999999999999993</c:v>
                </c:pt>
                <c:pt idx="8" formatCode="_(* #,##0.0000_);_(* \(#,##0.0000\);_(* &quot;-&quot;??_);_(@_)">
                  <c:v>24.545454545454543</c:v>
                </c:pt>
                <c:pt idx="10" formatCode="_(* #,##0.0000_);_(* \(#,##0.0000\);_(* &quot;-&quot;??_);_(@_)">
                  <c:v>15.709090909090909</c:v>
                </c:pt>
                <c:pt idx="15" formatCode="_(* #,##0.0000_);_(* \(#,##0.0000\);_(* &quot;-&quot;??_);_(@_)">
                  <c:v>29.45454545454545</c:v>
                </c:pt>
                <c:pt idx="16" formatCode="_(* #,##0.0000_);_(* \(#,##0.0000\);_(* &quot;-&quot;??_);_(@_)">
                  <c:v>23.563636363636359</c:v>
                </c:pt>
                <c:pt idx="17" formatCode="_(* #,##0.0000_);_(* \(#,##0.0000\);_(* &quot;-&quot;??_);_(@_)">
                  <c:v>39.272727272727273</c:v>
                </c:pt>
                <c:pt idx="19" formatCode="_(* #,##0.0000_);_(* \(#,##0.0000\);_(* &quot;-&quot;??_);_(@_)">
                  <c:v>110.45454545454544</c:v>
                </c:pt>
                <c:pt idx="20" formatCode="_(* #,##0.0000_);_(* \(#,##0.0000\);_(* &quot;-&quot;??_);_(@_)">
                  <c:v>166.90909090909088</c:v>
                </c:pt>
                <c:pt idx="21" formatCode="_(* #,##0.0000_);_(* \(#,##0.0000\);_(* &quot;-&quot;??_);_(@_)">
                  <c:v>49.090909090909086</c:v>
                </c:pt>
                <c:pt idx="31" formatCode="_(* #,##0.0000_);_(* \(#,##0.0000\);_(* &quot;-&quot;??_);_(@_)">
                  <c:v>147.27272727272725</c:v>
                </c:pt>
                <c:pt idx="34" formatCode="_(* #,##0.0000_);_(* \(#,##0.0000\);_(* &quot;-&quot;??_);_(@_)">
                  <c:v>53.999999999999993</c:v>
                </c:pt>
                <c:pt idx="39" formatCode="_(* #,##0.0000_);_(* \(#,##0.0000\);_(* &quot;-&quot;??_);_(@_)">
                  <c:v>56.945454545454538</c:v>
                </c:pt>
                <c:pt idx="53" formatCode="_(* #,##0.0000_);_(* \(#,##0.0000\);_(* &quot;-&quot;??_);_(@_)">
                  <c:v>60.872727272727275</c:v>
                </c:pt>
                <c:pt idx="63" formatCode="_(* #,##0.0000_);_(* \(#,##0.0000\);_(* &quot;-&quot;??_);_(@_)">
                  <c:v>78.545454545454547</c:v>
                </c:pt>
                <c:pt idx="68" formatCode="_(* #,##0.0000_);_(* \(#,##0.0000\);_(* &quot;-&quot;??_);_(@_)">
                  <c:v>107.99999999999999</c:v>
                </c:pt>
                <c:pt idx="69" formatCode="_(* #,##0.0000_);_(* \(#,##0.0000\);_(* &quot;-&quot;??_);_(@_)">
                  <c:v>162</c:v>
                </c:pt>
                <c:pt idx="70" formatCode="_(* #,##0.0000_);_(* \(#,##0.0000\);_(* &quot;-&quot;??_);_(@_)">
                  <c:v>127.63636363636363</c:v>
                </c:pt>
                <c:pt idx="71" formatCode="_(* #,##0.0000_);_(* \(#,##0.0000\);_(* &quot;-&quot;??_);_(@_)">
                  <c:v>147.27272727272725</c:v>
                </c:pt>
                <c:pt idx="72" formatCode="_(* #,##0.0000_);_(* \(#,##0.0000\);_(* &quot;-&quot;??_);_(@_)">
                  <c:v>166.90909090909088</c:v>
                </c:pt>
                <c:pt idx="73" formatCode="_(* #,##0.0000_);_(* \(#,##0.0000\);_(* &quot;-&quot;??_);_(@_)">
                  <c:v>90.818181818181813</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(All)'!$R$7:$R$107</c:f>
              <c:numCache>
                <c:formatCode>0.0000</c:formatCode>
                <c:ptCount val="101"/>
                <c:pt idx="5" formatCode="_(* #,##0.0000_);_(* \(#,##0.0000\);_(* &quot;-&quot;??_);_(@_)">
                  <c:v>24.545454545454543</c:v>
                </c:pt>
                <c:pt idx="6" formatCode="_(* #,##0.0000_);_(* \(#,##0.0000\);_(* &quot;-&quot;??_);_(@_)">
                  <c:v>53.999999999999993</c:v>
                </c:pt>
                <c:pt idx="7" formatCode="_(* #,##0.0000_);_(* \(#,##0.0000\);_(* &quot;-&quot;??_);_(@_)">
                  <c:v>53.999999999999993</c:v>
                </c:pt>
                <c:pt idx="8" formatCode="_(* #,##0.0000_);_(* \(#,##0.0000\);_(* &quot;-&quot;??_);_(@_)">
                  <c:v>24.545454545454543</c:v>
                </c:pt>
                <c:pt idx="10" formatCode="_(* #,##0.0000_);_(* \(#,##0.0000\);_(* &quot;-&quot;??_);_(@_)">
                  <c:v>15.709090909090909</c:v>
                </c:pt>
                <c:pt idx="15" formatCode="_(* #,##0.0000_);_(* \(#,##0.0000\);_(* &quot;-&quot;??_);_(@_)">
                  <c:v>29.45454545454545</c:v>
                </c:pt>
                <c:pt idx="16" formatCode="_(* #,##0.0000_);_(* \(#,##0.0000\);_(* &quot;-&quot;??_);_(@_)">
                  <c:v>23.563636363636359</c:v>
                </c:pt>
                <c:pt idx="17" formatCode="_(* #,##0.0000_);_(* \(#,##0.0000\);_(* &quot;-&quot;??_);_(@_)">
                  <c:v>39.272727272727273</c:v>
                </c:pt>
                <c:pt idx="19" formatCode="_(* #,##0.0000_);_(* \(#,##0.0000\);_(* &quot;-&quot;??_);_(@_)">
                  <c:v>110.45454545454544</c:v>
                </c:pt>
                <c:pt idx="20" formatCode="_(* #,##0.0000_);_(* \(#,##0.0000\);_(* &quot;-&quot;??_);_(@_)">
                  <c:v>166.90909090909088</c:v>
                </c:pt>
                <c:pt idx="21" formatCode="_(* #,##0.0000_);_(* \(#,##0.0000\);_(* &quot;-&quot;??_);_(@_)">
                  <c:v>49.090909090909086</c:v>
                </c:pt>
                <c:pt idx="31" formatCode="_(* #,##0.0000_);_(* \(#,##0.0000\);_(* &quot;-&quot;??_);_(@_)">
                  <c:v>147.27272727272725</c:v>
                </c:pt>
                <c:pt idx="34" formatCode="_(* #,##0.0000_);_(* \(#,##0.0000\);_(* &quot;-&quot;??_);_(@_)">
                  <c:v>53.999999999999993</c:v>
                </c:pt>
                <c:pt idx="39" formatCode="_(* #,##0.0000_);_(* \(#,##0.0000\);_(* &quot;-&quot;??_);_(@_)">
                  <c:v>56.945454545454538</c:v>
                </c:pt>
                <c:pt idx="53" formatCode="_(* #,##0.0000_);_(* \(#,##0.0000\);_(* &quot;-&quot;??_);_(@_)">
                  <c:v>60.872727272727275</c:v>
                </c:pt>
                <c:pt idx="63" formatCode="_(* #,##0.0000_);_(* \(#,##0.0000\);_(* &quot;-&quot;??_);_(@_)">
                  <c:v>78.545454545454547</c:v>
                </c:pt>
                <c:pt idx="68" formatCode="_(* #,##0.0000_);_(* \(#,##0.0000\);_(* &quot;-&quot;??_);_(@_)">
                  <c:v>107.99999999999999</c:v>
                </c:pt>
                <c:pt idx="69" formatCode="_(* #,##0.0000_);_(* \(#,##0.0000\);_(* &quot;-&quot;??_);_(@_)">
                  <c:v>162</c:v>
                </c:pt>
                <c:pt idx="70" formatCode="_(* #,##0.0000_);_(* \(#,##0.0000\);_(* &quot;-&quot;??_);_(@_)">
                  <c:v>127.63636363636363</c:v>
                </c:pt>
                <c:pt idx="71" formatCode="_(* #,##0.0000_);_(* \(#,##0.0000\);_(* &quot;-&quot;??_);_(@_)">
                  <c:v>147.27272727272725</c:v>
                </c:pt>
                <c:pt idx="72" formatCode="_(* #,##0.0000_);_(* \(#,##0.0000\);_(* &quot;-&quot;??_);_(@_)">
                  <c:v>166.90909090909088</c:v>
                </c:pt>
                <c:pt idx="73" formatCode="_(* #,##0.0000_);_(* \(#,##0.0000\);_(* &quot;-&quot;??_);_(@_)">
                  <c:v>90.818181818181813</c:v>
                </c:pt>
              </c:numCache>
            </c:numRef>
          </c:yVal>
          <c:smooth val="0"/>
        </c:ser>
        <c:dLbls>
          <c:showLegendKey val="0"/>
          <c:showVal val="0"/>
          <c:showCatName val="0"/>
          <c:showSerName val="0"/>
          <c:showPercent val="0"/>
          <c:showBubbleSize val="0"/>
        </c:dLbls>
        <c:axId val="622158896"/>
        <c:axId val="622158336"/>
      </c:scatterChart>
      <c:valAx>
        <c:axId val="62215889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58336"/>
        <c:crosses val="autoZero"/>
        <c:crossBetween val="midCat"/>
        <c:majorUnit val="5"/>
      </c:valAx>
      <c:valAx>
        <c:axId val="6221583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5889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Alexandria,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1"/>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(All)'!$AB$7:$AB$107</c:f>
              <c:numCache>
                <c:formatCode>0.0000</c:formatCode>
                <c:ptCount val="101"/>
                <c:pt idx="8" formatCode="_(* #,##0.0000_);_(* \(#,##0.0000\);_(* &quot;-&quot;??_);_(@_)">
                  <c:v>23.321149090909095</c:v>
                </c:pt>
                <c:pt idx="9" formatCode="_(* #,##0.0000_);_(* \(#,##0.0000\);_(* &quot;-&quot;??_);_(@_)">
                  <c:v>17.490861818181816</c:v>
                </c:pt>
                <c:pt idx="10" formatCode="_(* #,##0.0000_);_(* \(#,##0.0000\);_(* &quot;-&quot;??_);_(@_)">
                  <c:v>20.822454545454544</c:v>
                </c:pt>
                <c:pt idx="12" formatCode="_(* #,##0.0000_);_(* \(#,##0.0000\);_(* &quot;-&quot;??_);_(@_)">
                  <c:v>27.48564</c:v>
                </c:pt>
                <c:pt idx="19" formatCode="_(* #,##0.0000_);_(* \(#,##0.0000\);_(* &quot;-&quot;??_);_(@_)">
                  <c:v>30.817232727272724</c:v>
                </c:pt>
                <c:pt idx="26" formatCode="_(* #,##0.0000_);_(* \(#,##0.0000\);_(* &quot;-&quot;??_);_(@_)">
                  <c:v>52.889034545454543</c:v>
                </c:pt>
                <c:pt idx="27" formatCode="_(* #,##0.0000_);_(* \(#,##0.0000\);_(* &quot;-&quot;??_);_(@_)">
                  <c:v>50.806789090909092</c:v>
                </c:pt>
                <c:pt idx="28" formatCode="_(* #,##0.0000_);_(* \(#,##0.0000\);_(* &quot;-&quot;??_);_(@_)">
                  <c:v>47.891645454545447</c:v>
                </c:pt>
                <c:pt idx="29" formatCode="_(* #,##0.0000_);_(* \(#,##0.0000\);_(* &quot;-&quot;??_);_(@_)">
                  <c:v>36.647519999999993</c:v>
                </c:pt>
                <c:pt idx="30" formatCode="_(* #,##0.0000_);_(* \(#,##0.0000\);_(* &quot;-&quot;??_);_(@_)">
                  <c:v>42.477807272727276</c:v>
                </c:pt>
                <c:pt idx="31" formatCode="_(* #,##0.0000_);_(* \(#,##0.0000\);_(* &quot;-&quot;??_);_(@_)">
                  <c:v>51.223238181818182</c:v>
                </c:pt>
                <c:pt idx="32" formatCode="_(* #,##0.0000_);_(* \(#,##0.0000\);_(* &quot;-&quot;??_);_(@_)">
                  <c:v>43.310705454545456</c:v>
                </c:pt>
                <c:pt idx="33" formatCode="_(* #,##0.0000_);_(* \(#,##0.0000\);_(* &quot;-&quot;??_);_(@_)">
                  <c:v>49.557441818181815</c:v>
                </c:pt>
                <c:pt idx="39" formatCode="_(* #,##0.0000_);_(* \(#,##0.0000\);_(* &quot;-&quot;??_);_(@_)">
                  <c:v>48.724543636363627</c:v>
                </c:pt>
                <c:pt idx="40" formatCode="_(* #,##0.0000_);_(* \(#,##0.0000\);_(* &quot;-&quot;??_);_(@_)">
                  <c:v>45.892689818181815</c:v>
                </c:pt>
                <c:pt idx="41" formatCode="_(* #,##0.0000_);_(* \(#,##0.0000\);_(* &quot;-&quot;??_);_(@_)">
                  <c:v>45.892689818181815</c:v>
                </c:pt>
                <c:pt idx="42" formatCode="_(* #,##0.0000_);_(* \(#,##0.0000\);_(* &quot;-&quot;??_);_(@_)">
                  <c:v>45.892689818181815</c:v>
                </c:pt>
                <c:pt idx="43" formatCode="_(* #,##0.0000_);_(* \(#,##0.0000\);_(* &quot;-&quot;??_);_(@_)">
                  <c:v>45.892689818181815</c:v>
                </c:pt>
                <c:pt idx="44" formatCode="_(* #,##0.0000_);_(* \(#,##0.0000\);_(* &quot;-&quot;??_);_(@_)">
                  <c:v>45.892689818181815</c:v>
                </c:pt>
                <c:pt idx="45" formatCode="_(* #,##0.0000_);_(* \(#,##0.0000\);_(* &quot;-&quot;??_);_(@_)">
                  <c:v>41.603264181818176</c:v>
                </c:pt>
                <c:pt idx="46" formatCode="_(* #,##0.0000_);_(* \(#,##0.0000\);_(* &quot;-&quot;??_);_(@_)">
                  <c:v>41.603264181818176</c:v>
                </c:pt>
                <c:pt idx="47" formatCode="_(* #,##0.0000_);_(* \(#,##0.0000\);_(* &quot;-&quot;??_);_(@_)">
                  <c:v>41.603264181818176</c:v>
                </c:pt>
                <c:pt idx="48" formatCode="_(* #,##0.0000_);_(* \(#,##0.0000\);_(* &quot;-&quot;??_);_(@_)">
                  <c:v>41.603264181818176</c:v>
                </c:pt>
                <c:pt idx="49" formatCode="_(* #,##0.0000_);_(* \(#,##0.0000\);_(* &quot;-&quot;??_);_(@_)">
                  <c:v>33.202946102699642</c:v>
                </c:pt>
                <c:pt idx="50" formatCode="_(* #,##0.0000_);_(* \(#,##0.0000\);_(* &quot;-&quot;??_);_(@_)">
                  <c:v>34.81952245791976</c:v>
                </c:pt>
                <c:pt idx="51" formatCode="_(* #,##0.0000_);_(* \(#,##0.0000\);_(* &quot;-&quot;??_);_(@_)">
                  <c:v>35.057253867846221</c:v>
                </c:pt>
                <c:pt idx="52" formatCode="_(* #,##0.0000_);_(* \(#,##0.0000\);_(* &quot;-&quot;??_);_(@_)">
                  <c:v>35.877747990918046</c:v>
                </c:pt>
                <c:pt idx="53" formatCode="_(* #,##0.0000_);_(* \(#,##0.0000\);_(* &quot;-&quot;??_);_(@_)">
                  <c:v>33.398418221047145</c:v>
                </c:pt>
                <c:pt idx="54" formatCode="_(* #,##0.0000_);_(* \(#,##0.0000\);_(* &quot;-&quot;??_);_(@_)">
                  <c:v>25.708735164284665</c:v>
                </c:pt>
                <c:pt idx="55" formatCode="_(* #,##0.0000_);_(* \(#,##0.0000\);_(* &quot;-&quot;??_);_(@_)">
                  <c:v>24.796916768236322</c:v>
                </c:pt>
                <c:pt idx="56" formatCode="_(* #,##0.0000_);_(* \(#,##0.0000\);_(* &quot;-&quot;??_);_(@_)">
                  <c:v>30.084854890071522</c:v>
                </c:pt>
                <c:pt idx="57" formatCode="_(* #,##0.0000_);_(* \(#,##0.0000\);_(* &quot;-&quot;??_);_(@_)">
                  <c:v>36.074435601630746</c:v>
                </c:pt>
                <c:pt idx="58" formatCode="_(* #,##0.0000_);_(* \(#,##0.0000\);_(* &quot;-&quot;??_);_(@_)">
                  <c:v>37.25513941916801</c:v>
                </c:pt>
                <c:pt idx="59" formatCode="_(* #,##0.0000_);_(* \(#,##0.0000\);_(* &quot;-&quot;??_);_(@_)">
                  <c:v>34.164308071157301</c:v>
                </c:pt>
                <c:pt idx="60" formatCode="_(* #,##0.0000_);_(* \(#,##0.0000\);_(* &quot;-&quot;??_);_(@_)">
                  <c:v>38.084223599999994</c:v>
                </c:pt>
                <c:pt idx="61" formatCode="_(* #,##0.0000_);_(* \(#,##0.0000\);_(* &quot;-&quot;??_);_(@_)">
                  <c:v>38.981104729411761</c:v>
                </c:pt>
                <c:pt idx="62" formatCode="_(* #,##0.0000_);_(* \(#,##0.0000\);_(* &quot;-&quot;??_);_(@_)">
                  <c:v>38.263024498353225</c:v>
                </c:pt>
                <c:pt idx="63" formatCode="_(* #,##0.0000_);_(* \(#,##0.0000\);_(* &quot;-&quot;??_);_(@_)">
                  <c:v>35.200877040158495</c:v>
                </c:pt>
                <c:pt idx="64" formatCode="_(* #,##0.0000_);_(* \(#,##0.0000\);_(* &quot;-&quot;??_);_(@_)">
                  <c:v>34.791789569410952</c:v>
                </c:pt>
                <c:pt idx="65" formatCode="_(* #,##0.0000_);_(* \(#,##0.0000\);_(* &quot;-&quot;??_);_(@_)">
                  <c:v>39.827412709786003</c:v>
                </c:pt>
                <c:pt idx="66" formatCode="_(* #,##0.0000_);_(* \(#,##0.0000\);_(* &quot;-&quot;??_);_(@_)">
                  <c:v>41.311385941994509</c:v>
                </c:pt>
                <c:pt idx="67" formatCode="_(* #,##0.0000_);_(* \(#,##0.0000\);_(* &quot;-&quot;??_);_(@_)">
                  <c:v>39.419525394354466</c:v>
                </c:pt>
                <c:pt idx="68" formatCode="_(* #,##0.0000_);_(* \(#,##0.0000\);_(* &quot;-&quot;??_);_(@_)">
                  <c:v>49.907019001544001</c:v>
                </c:pt>
                <c:pt idx="69" formatCode="_(* #,##0.0000_);_(* \(#,##0.0000\);_(* &quot;-&quot;??_);_(@_)">
                  <c:v>48.018477444191348</c:v>
                </c:pt>
                <c:pt idx="70" formatCode="_(* #,##0.0000_);_(* \(#,##0.0000\);_(* &quot;-&quot;??_);_(@_)">
                  <c:v>41.103727623995347</c:v>
                </c:pt>
                <c:pt idx="71" formatCode="_(* #,##0.0000_);_(* \(#,##0.0000\);_(* &quot;-&quot;??_);_(@_)">
                  <c:v>44.032328963579133</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(All)'!$AB$7:$AB$107</c:f>
              <c:numCache>
                <c:formatCode>0.0000</c:formatCode>
                <c:ptCount val="101"/>
                <c:pt idx="8" formatCode="_(* #,##0.0000_);_(* \(#,##0.0000\);_(* &quot;-&quot;??_);_(@_)">
                  <c:v>23.321149090909095</c:v>
                </c:pt>
                <c:pt idx="9" formatCode="_(* #,##0.0000_);_(* \(#,##0.0000\);_(* &quot;-&quot;??_);_(@_)">
                  <c:v>17.490861818181816</c:v>
                </c:pt>
                <c:pt idx="10" formatCode="_(* #,##0.0000_);_(* \(#,##0.0000\);_(* &quot;-&quot;??_);_(@_)">
                  <c:v>20.822454545454544</c:v>
                </c:pt>
                <c:pt idx="12" formatCode="_(* #,##0.0000_);_(* \(#,##0.0000\);_(* &quot;-&quot;??_);_(@_)">
                  <c:v>27.48564</c:v>
                </c:pt>
                <c:pt idx="19" formatCode="_(* #,##0.0000_);_(* \(#,##0.0000\);_(* &quot;-&quot;??_);_(@_)">
                  <c:v>30.817232727272724</c:v>
                </c:pt>
                <c:pt idx="26" formatCode="_(* #,##0.0000_);_(* \(#,##0.0000\);_(* &quot;-&quot;??_);_(@_)">
                  <c:v>52.889034545454543</c:v>
                </c:pt>
                <c:pt idx="27" formatCode="_(* #,##0.0000_);_(* \(#,##0.0000\);_(* &quot;-&quot;??_);_(@_)">
                  <c:v>50.806789090909092</c:v>
                </c:pt>
                <c:pt idx="28" formatCode="_(* #,##0.0000_);_(* \(#,##0.0000\);_(* &quot;-&quot;??_);_(@_)">
                  <c:v>47.891645454545447</c:v>
                </c:pt>
                <c:pt idx="29" formatCode="_(* #,##0.0000_);_(* \(#,##0.0000\);_(* &quot;-&quot;??_);_(@_)">
                  <c:v>36.647519999999993</c:v>
                </c:pt>
                <c:pt idx="30" formatCode="_(* #,##0.0000_);_(* \(#,##0.0000\);_(* &quot;-&quot;??_);_(@_)">
                  <c:v>42.477807272727276</c:v>
                </c:pt>
                <c:pt idx="31" formatCode="_(* #,##0.0000_);_(* \(#,##0.0000\);_(* &quot;-&quot;??_);_(@_)">
                  <c:v>51.223238181818182</c:v>
                </c:pt>
                <c:pt idx="32" formatCode="_(* #,##0.0000_);_(* \(#,##0.0000\);_(* &quot;-&quot;??_);_(@_)">
                  <c:v>43.310705454545456</c:v>
                </c:pt>
                <c:pt idx="33" formatCode="_(* #,##0.0000_);_(* \(#,##0.0000\);_(* &quot;-&quot;??_);_(@_)">
                  <c:v>49.557441818181815</c:v>
                </c:pt>
                <c:pt idx="39" formatCode="_(* #,##0.0000_);_(* \(#,##0.0000\);_(* &quot;-&quot;??_);_(@_)">
                  <c:v>48.724543636363627</c:v>
                </c:pt>
                <c:pt idx="40" formatCode="_(* #,##0.0000_);_(* \(#,##0.0000\);_(* &quot;-&quot;??_);_(@_)">
                  <c:v>45.892689818181815</c:v>
                </c:pt>
                <c:pt idx="41" formatCode="_(* #,##0.0000_);_(* \(#,##0.0000\);_(* &quot;-&quot;??_);_(@_)">
                  <c:v>45.892689818181815</c:v>
                </c:pt>
                <c:pt idx="42" formatCode="_(* #,##0.0000_);_(* \(#,##0.0000\);_(* &quot;-&quot;??_);_(@_)">
                  <c:v>45.892689818181815</c:v>
                </c:pt>
                <c:pt idx="43" formatCode="_(* #,##0.0000_);_(* \(#,##0.0000\);_(* &quot;-&quot;??_);_(@_)">
                  <c:v>45.892689818181815</c:v>
                </c:pt>
                <c:pt idx="44" formatCode="_(* #,##0.0000_);_(* \(#,##0.0000\);_(* &quot;-&quot;??_);_(@_)">
                  <c:v>45.892689818181815</c:v>
                </c:pt>
                <c:pt idx="45" formatCode="_(* #,##0.0000_);_(* \(#,##0.0000\);_(* &quot;-&quot;??_);_(@_)">
                  <c:v>41.603264181818176</c:v>
                </c:pt>
                <c:pt idx="46" formatCode="_(* #,##0.0000_);_(* \(#,##0.0000\);_(* &quot;-&quot;??_);_(@_)">
                  <c:v>41.603264181818176</c:v>
                </c:pt>
                <c:pt idx="47" formatCode="_(* #,##0.0000_);_(* \(#,##0.0000\);_(* &quot;-&quot;??_);_(@_)">
                  <c:v>41.603264181818176</c:v>
                </c:pt>
                <c:pt idx="48" formatCode="_(* #,##0.0000_);_(* \(#,##0.0000\);_(* &quot;-&quot;??_);_(@_)">
                  <c:v>41.603264181818176</c:v>
                </c:pt>
                <c:pt idx="49" formatCode="_(* #,##0.0000_);_(* \(#,##0.0000\);_(* &quot;-&quot;??_);_(@_)">
                  <c:v>33.202946102699642</c:v>
                </c:pt>
                <c:pt idx="50" formatCode="_(* #,##0.0000_);_(* \(#,##0.0000\);_(* &quot;-&quot;??_);_(@_)">
                  <c:v>34.81952245791976</c:v>
                </c:pt>
                <c:pt idx="51" formatCode="_(* #,##0.0000_);_(* \(#,##0.0000\);_(* &quot;-&quot;??_);_(@_)">
                  <c:v>35.057253867846221</c:v>
                </c:pt>
                <c:pt idx="52" formatCode="_(* #,##0.0000_);_(* \(#,##0.0000\);_(* &quot;-&quot;??_);_(@_)">
                  <c:v>35.877747990918046</c:v>
                </c:pt>
                <c:pt idx="53" formatCode="_(* #,##0.0000_);_(* \(#,##0.0000\);_(* &quot;-&quot;??_);_(@_)">
                  <c:v>33.398418221047145</c:v>
                </c:pt>
                <c:pt idx="54" formatCode="_(* #,##0.0000_);_(* \(#,##0.0000\);_(* &quot;-&quot;??_);_(@_)">
                  <c:v>25.708735164284665</c:v>
                </c:pt>
                <c:pt idx="55" formatCode="_(* #,##0.0000_);_(* \(#,##0.0000\);_(* &quot;-&quot;??_);_(@_)">
                  <c:v>24.796916768236322</c:v>
                </c:pt>
                <c:pt idx="56" formatCode="_(* #,##0.0000_);_(* \(#,##0.0000\);_(* &quot;-&quot;??_);_(@_)">
                  <c:v>30.084854890071522</c:v>
                </c:pt>
                <c:pt idx="57" formatCode="_(* #,##0.0000_);_(* \(#,##0.0000\);_(* &quot;-&quot;??_);_(@_)">
                  <c:v>36.074435601630746</c:v>
                </c:pt>
                <c:pt idx="58" formatCode="_(* #,##0.0000_);_(* \(#,##0.0000\);_(* &quot;-&quot;??_);_(@_)">
                  <c:v>37.25513941916801</c:v>
                </c:pt>
                <c:pt idx="59" formatCode="_(* #,##0.0000_);_(* \(#,##0.0000\);_(* &quot;-&quot;??_);_(@_)">
                  <c:v>34.164308071157301</c:v>
                </c:pt>
                <c:pt idx="60" formatCode="_(* #,##0.0000_);_(* \(#,##0.0000\);_(* &quot;-&quot;??_);_(@_)">
                  <c:v>38.084223599999994</c:v>
                </c:pt>
                <c:pt idx="61" formatCode="_(* #,##0.0000_);_(* \(#,##0.0000\);_(* &quot;-&quot;??_);_(@_)">
                  <c:v>38.981104729411761</c:v>
                </c:pt>
                <c:pt idx="62" formatCode="_(* #,##0.0000_);_(* \(#,##0.0000\);_(* &quot;-&quot;??_);_(@_)">
                  <c:v>38.263024498353225</c:v>
                </c:pt>
                <c:pt idx="63" formatCode="_(* #,##0.0000_);_(* \(#,##0.0000\);_(* &quot;-&quot;??_);_(@_)">
                  <c:v>35.200877040158495</c:v>
                </c:pt>
                <c:pt idx="64" formatCode="_(* #,##0.0000_);_(* \(#,##0.0000\);_(* &quot;-&quot;??_);_(@_)">
                  <c:v>34.791789569410952</c:v>
                </c:pt>
                <c:pt idx="65" formatCode="_(* #,##0.0000_);_(* \(#,##0.0000\);_(* &quot;-&quot;??_);_(@_)">
                  <c:v>39.827412709786003</c:v>
                </c:pt>
                <c:pt idx="66" formatCode="_(* #,##0.0000_);_(* \(#,##0.0000\);_(* &quot;-&quot;??_);_(@_)">
                  <c:v>41.311385941994509</c:v>
                </c:pt>
                <c:pt idx="67" formatCode="_(* #,##0.0000_);_(* \(#,##0.0000\);_(* &quot;-&quot;??_);_(@_)">
                  <c:v>39.419525394354466</c:v>
                </c:pt>
                <c:pt idx="68" formatCode="_(* #,##0.0000_);_(* \(#,##0.0000\);_(* &quot;-&quot;??_);_(@_)">
                  <c:v>49.907019001544001</c:v>
                </c:pt>
                <c:pt idx="69" formatCode="_(* #,##0.0000_);_(* \(#,##0.0000\);_(* &quot;-&quot;??_);_(@_)">
                  <c:v>48.018477444191348</c:v>
                </c:pt>
                <c:pt idx="70" formatCode="_(* #,##0.0000_);_(* \(#,##0.0000\);_(* &quot;-&quot;??_);_(@_)">
                  <c:v>41.103727623995347</c:v>
                </c:pt>
                <c:pt idx="71" formatCode="_(* #,##0.0000_);_(* \(#,##0.0000\);_(* &quot;-&quot;??_);_(@_)">
                  <c:v>44.032328963579133</c:v>
                </c:pt>
              </c:numCache>
            </c:numRef>
          </c:yVal>
          <c:smooth val="0"/>
        </c:ser>
        <c:dLbls>
          <c:showLegendKey val="0"/>
          <c:showVal val="0"/>
          <c:showCatName val="0"/>
          <c:showSerName val="0"/>
          <c:showPercent val="0"/>
          <c:showBubbleSize val="0"/>
        </c:dLbls>
        <c:axId val="622109616"/>
        <c:axId val="622149936"/>
      </c:scatterChart>
      <c:valAx>
        <c:axId val="62210961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49936"/>
        <c:crosses val="autoZero"/>
        <c:crossBetween val="midCat"/>
        <c:majorUnit val="5"/>
      </c:valAx>
      <c:valAx>
        <c:axId val="6221499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0961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solidFill>
                  <a:schemeClr val="tx1"/>
                </a:solidFill>
              </a:rPr>
              <a:t>Wheat, in</a:t>
            </a:r>
            <a:r>
              <a:rPr lang="en-US" sz="2000" b="1" baseline="0">
                <a:solidFill>
                  <a:schemeClr val="tx1"/>
                </a:solidFill>
              </a:rPr>
              <a:t> d/bushel</a:t>
            </a:r>
            <a:endParaRPr lang="en-US" sz="2000" b="1">
              <a:solidFill>
                <a:schemeClr val="tx1"/>
              </a:solidFill>
            </a:endParaRPr>
          </a:p>
        </c:rich>
      </c:tx>
      <c:layout>
        <c:manualLayout>
          <c:xMode val="edge"/>
          <c:yMode val="edge"/>
          <c:x val="0.29568237258822105"/>
          <c:y val="3.453617106445374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1294848573010613E-2"/>
          <c:y val="3.7703768565431867E-2"/>
          <c:w val="0.51979701879312823"/>
          <c:h val="0.90432163943954558"/>
        </c:manualLayout>
      </c:layout>
      <c:lineChart>
        <c:grouping val="standard"/>
        <c:varyColors val="0"/>
        <c:ser>
          <c:idx val="1"/>
          <c:order val="0"/>
          <c:tx>
            <c:strRef>
              <c:f>'Wheat (All)'!$C$6</c:f>
              <c:strCache>
                <c:ptCount val="1"/>
                <c:pt idx="0">
                  <c:v>UK, Imports, in d/bushel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(All)'!$C$7:$C$107</c:f>
              <c:numCache>
                <c:formatCode>_(* #,##0.0000_);_(* \(#,##0.0000\);_(* "-"??_);_(@_)</c:formatCode>
                <c:ptCount val="101"/>
                <c:pt idx="14">
                  <c:v>101.11748352598057</c:v>
                </c:pt>
                <c:pt idx="15">
                  <c:v>107.65680361962106</c:v>
                </c:pt>
                <c:pt idx="16">
                  <c:v>92.637794634095499</c:v>
                </c:pt>
                <c:pt idx="17">
                  <c:v>82.531658671533947</c:v>
                </c:pt>
                <c:pt idx="18">
                  <c:v>63.306962208059012</c:v>
                </c:pt>
                <c:pt idx="19">
                  <c:v>64.61844596378468</c:v>
                </c:pt>
                <c:pt idx="20">
                  <c:v>83.517873520683509</c:v>
                </c:pt>
                <c:pt idx="21">
                  <c:v>81.770336873240723</c:v>
                </c:pt>
                <c:pt idx="22">
                  <c:v>72.705118894814177</c:v>
                </c:pt>
                <c:pt idx="23">
                  <c:v>63.404024118624264</c:v>
                </c:pt>
                <c:pt idx="24">
                  <c:v>59.165945413031949</c:v>
                </c:pt>
                <c:pt idx="25">
                  <c:v>59.978571428571428</c:v>
                </c:pt>
                <c:pt idx="26">
                  <c:v>72.064285714285731</c:v>
                </c:pt>
                <c:pt idx="27">
                  <c:v>92.7</c:v>
                </c:pt>
                <c:pt idx="28">
                  <c:v>86.914285714285711</c:v>
                </c:pt>
                <c:pt idx="29">
                  <c:v>66.535714285714278</c:v>
                </c:pt>
                <c:pt idx="30">
                  <c:v>67.692857142857136</c:v>
                </c:pt>
                <c:pt idx="31">
                  <c:v>76.114285714285728</c:v>
                </c:pt>
                <c:pt idx="32">
                  <c:v>79.842857142857142</c:v>
                </c:pt>
                <c:pt idx="33">
                  <c:v>83.635714285714272</c:v>
                </c:pt>
                <c:pt idx="34">
                  <c:v>78.107142857142861</c:v>
                </c:pt>
                <c:pt idx="35">
                  <c:v>68.207142857142856</c:v>
                </c:pt>
                <c:pt idx="36">
                  <c:v>67.050000000000011</c:v>
                </c:pt>
                <c:pt idx="37">
                  <c:v>80.292857142857144</c:v>
                </c:pt>
                <c:pt idx="38">
                  <c:v>70.650000000000006</c:v>
                </c:pt>
                <c:pt idx="39">
                  <c:v>67.885714285714286</c:v>
                </c:pt>
                <c:pt idx="40">
                  <c:v>71.228571428571428</c:v>
                </c:pt>
                <c:pt idx="41">
                  <c:v>70.971428571428561</c:v>
                </c:pt>
                <c:pt idx="42">
                  <c:v>68.592857142857142</c:v>
                </c:pt>
                <c:pt idx="43">
                  <c:v>63.064285714285717</c:v>
                </c:pt>
                <c:pt idx="44">
                  <c:v>54.064285714285717</c:v>
                </c:pt>
                <c:pt idx="45">
                  <c:v>50.335714285714289</c:v>
                </c:pt>
                <c:pt idx="46">
                  <c:v>48.535714285714278</c:v>
                </c:pt>
                <c:pt idx="47">
                  <c:v>49.178571428571438</c:v>
                </c:pt>
                <c:pt idx="48">
                  <c:v>49.371428571428581</c:v>
                </c:pt>
                <c:pt idx="49">
                  <c:v>49.435714285714283</c:v>
                </c:pt>
                <c:pt idx="50">
                  <c:v>50.142857142857146</c:v>
                </c:pt>
                <c:pt idx="51">
                  <c:v>57.085714285714296</c:v>
                </c:pt>
                <c:pt idx="52">
                  <c:v>49.242857142857147</c:v>
                </c:pt>
                <c:pt idx="53">
                  <c:v>41.400000000000006</c:v>
                </c:pt>
                <c:pt idx="54">
                  <c:v>34.392857142857139</c:v>
                </c:pt>
                <c:pt idx="55">
                  <c:v>35.421428571428571</c:v>
                </c:pt>
                <c:pt idx="56">
                  <c:v>39.792857142857144</c:v>
                </c:pt>
                <c:pt idx="57">
                  <c:v>47.892857142857139</c:v>
                </c:pt>
                <c:pt idx="58">
                  <c:v>51.557142857142864</c:v>
                </c:pt>
                <c:pt idx="59">
                  <c:v>43.007142857142853</c:v>
                </c:pt>
                <c:pt idx="60">
                  <c:v>43.714285714285715</c:v>
                </c:pt>
                <c:pt idx="61">
                  <c:v>42.557142857142864</c:v>
                </c:pt>
                <c:pt idx="62">
                  <c:v>43.007142857142853</c:v>
                </c:pt>
                <c:pt idx="63">
                  <c:v>43.65</c:v>
                </c:pt>
                <c:pt idx="64">
                  <c:v>45.06428571428571</c:v>
                </c:pt>
                <c:pt idx="65">
                  <c:v>46.478571428571428</c:v>
                </c:pt>
                <c:pt idx="66">
                  <c:v>45.192857142857136</c:v>
                </c:pt>
                <c:pt idx="67">
                  <c:v>49.435714285714283</c:v>
                </c:pt>
                <c:pt idx="68">
                  <c:v>54</c:v>
                </c:pt>
                <c:pt idx="69">
                  <c:v>59.464285714285708</c:v>
                </c:pt>
                <c:pt idx="70">
                  <c:v>53.935714285714283</c:v>
                </c:pt>
                <c:pt idx="71">
                  <c:v>51.042857142857144</c:v>
                </c:pt>
                <c:pt idx="72">
                  <c:v>54.51428571428572</c:v>
                </c:pt>
                <c:pt idx="73">
                  <c:v>53.228571428571428</c:v>
                </c:pt>
                <c:pt idx="74">
                  <c:v>55.349999999999994</c:v>
                </c:pt>
                <c:pt idx="75">
                  <c:v>83.121428571428581</c:v>
                </c:pt>
                <c:pt idx="76">
                  <c:v>92.507142857142853</c:v>
                </c:pt>
                <c:pt idx="77">
                  <c:v>118.80000000000001</c:v>
                </c:pt>
                <c:pt idx="78">
                  <c:v>117.83571428571427</c:v>
                </c:pt>
                <c:pt idx="79">
                  <c:v>123.10714285714283</c:v>
                </c:pt>
                <c:pt idx="80">
                  <c:v>172.60714285714286</c:v>
                </c:pt>
              </c:numCache>
            </c:numRef>
          </c:val>
          <c:smooth val="0"/>
        </c:ser>
        <c:ser>
          <c:idx val="2"/>
          <c:order val="1"/>
          <c:tx>
            <c:strRef>
              <c:f>'Wheat (All)'!$D$6</c:f>
              <c:strCache>
                <c:ptCount val="1"/>
                <c:pt idx="0">
                  <c:v>UK (London), , in d/bushel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(All)'!$D$7:$D$107</c:f>
              <c:numCache>
                <c:formatCode>_(* #,##0.0000_);_(* \(#,##0.0000\);_(* "-"??_);_(@_)</c:formatCode>
                <c:ptCount val="101"/>
                <c:pt idx="0">
                  <c:v>99.5</c:v>
                </c:pt>
                <c:pt idx="1">
                  <c:v>96.5</c:v>
                </c:pt>
                <c:pt idx="2">
                  <c:v>85.875</c:v>
                </c:pt>
                <c:pt idx="3">
                  <c:v>75.125</c:v>
                </c:pt>
                <c:pt idx="4">
                  <c:v>76.875</c:v>
                </c:pt>
                <c:pt idx="5">
                  <c:v>76.25</c:v>
                </c:pt>
                <c:pt idx="6">
                  <c:v>82</c:v>
                </c:pt>
                <c:pt idx="7">
                  <c:v>104.625</c:v>
                </c:pt>
                <c:pt idx="8">
                  <c:v>75.75</c:v>
                </c:pt>
                <c:pt idx="9">
                  <c:v>66.375</c:v>
                </c:pt>
                <c:pt idx="10">
                  <c:v>60.375</c:v>
                </c:pt>
                <c:pt idx="11">
                  <c:v>57.75</c:v>
                </c:pt>
                <c:pt idx="12">
                  <c:v>61.125</c:v>
                </c:pt>
                <c:pt idx="13">
                  <c:v>79.875</c:v>
                </c:pt>
                <c:pt idx="14">
                  <c:v>108.625</c:v>
                </c:pt>
                <c:pt idx="15">
                  <c:v>112</c:v>
                </c:pt>
                <c:pt idx="16">
                  <c:v>103.75</c:v>
                </c:pt>
                <c:pt idx="17">
                  <c:v>84.5</c:v>
                </c:pt>
                <c:pt idx="18">
                  <c:v>66.25</c:v>
                </c:pt>
                <c:pt idx="19">
                  <c:v>65.625</c:v>
                </c:pt>
                <c:pt idx="20">
                  <c:v>79.875</c:v>
                </c:pt>
                <c:pt idx="21">
                  <c:v>83</c:v>
                </c:pt>
                <c:pt idx="22">
                  <c:v>83.125</c:v>
                </c:pt>
                <c:pt idx="23">
                  <c:v>67.125</c:v>
                </c:pt>
                <c:pt idx="24">
                  <c:v>60.25</c:v>
                </c:pt>
                <c:pt idx="25">
                  <c:v>62.75</c:v>
                </c:pt>
                <c:pt idx="26">
                  <c:v>74.875</c:v>
                </c:pt>
                <c:pt idx="27">
                  <c:v>96.625</c:v>
                </c:pt>
                <c:pt idx="28">
                  <c:v>95.625</c:v>
                </c:pt>
                <c:pt idx="29">
                  <c:v>72.25</c:v>
                </c:pt>
                <c:pt idx="30">
                  <c:v>70.375</c:v>
                </c:pt>
                <c:pt idx="31">
                  <c:v>85</c:v>
                </c:pt>
                <c:pt idx="32">
                  <c:v>85.5</c:v>
                </c:pt>
                <c:pt idx="33">
                  <c:v>88</c:v>
                </c:pt>
                <c:pt idx="34">
                  <c:v>83.625</c:v>
                </c:pt>
                <c:pt idx="35">
                  <c:v>67.75</c:v>
                </c:pt>
                <c:pt idx="36">
                  <c:v>69.25</c:v>
                </c:pt>
                <c:pt idx="37">
                  <c:v>85.125</c:v>
                </c:pt>
                <c:pt idx="38">
                  <c:v>69.625</c:v>
                </c:pt>
                <c:pt idx="39">
                  <c:v>65.75</c:v>
                </c:pt>
                <c:pt idx="40">
                  <c:v>66.5</c:v>
                </c:pt>
                <c:pt idx="41">
                  <c:v>68</c:v>
                </c:pt>
                <c:pt idx="42">
                  <c:v>67.625</c:v>
                </c:pt>
                <c:pt idx="43">
                  <c:v>62.375</c:v>
                </c:pt>
                <c:pt idx="44">
                  <c:v>53.5</c:v>
                </c:pt>
                <c:pt idx="45">
                  <c:v>49.25</c:v>
                </c:pt>
                <c:pt idx="46">
                  <c:v>46.5</c:v>
                </c:pt>
                <c:pt idx="47">
                  <c:v>48.75</c:v>
                </c:pt>
                <c:pt idx="48">
                  <c:v>47.75</c:v>
                </c:pt>
                <c:pt idx="49">
                  <c:v>44.625</c:v>
                </c:pt>
                <c:pt idx="50">
                  <c:v>47.875</c:v>
                </c:pt>
                <c:pt idx="51">
                  <c:v>55.5</c:v>
                </c:pt>
                <c:pt idx="52">
                  <c:v>45.375</c:v>
                </c:pt>
                <c:pt idx="53">
                  <c:v>39.5</c:v>
                </c:pt>
                <c:pt idx="54">
                  <c:v>34.25</c:v>
                </c:pt>
                <c:pt idx="55">
                  <c:v>34.625</c:v>
                </c:pt>
                <c:pt idx="56">
                  <c:v>39.25</c:v>
                </c:pt>
                <c:pt idx="57">
                  <c:v>45.25</c:v>
                </c:pt>
                <c:pt idx="58">
                  <c:v>51</c:v>
                </c:pt>
                <c:pt idx="59">
                  <c:v>38.5</c:v>
                </c:pt>
                <c:pt idx="60">
                  <c:v>40.375</c:v>
                </c:pt>
                <c:pt idx="61">
                  <c:v>40.125</c:v>
                </c:pt>
                <c:pt idx="62">
                  <c:v>42.125</c:v>
                </c:pt>
                <c:pt idx="63">
                  <c:v>40.125</c:v>
                </c:pt>
                <c:pt idx="64">
                  <c:v>42.5</c:v>
                </c:pt>
                <c:pt idx="65">
                  <c:v>44.5</c:v>
                </c:pt>
                <c:pt idx="66">
                  <c:v>42.375</c:v>
                </c:pt>
                <c:pt idx="67">
                  <c:v>45.875</c:v>
                </c:pt>
                <c:pt idx="68">
                  <c:v>48</c:v>
                </c:pt>
                <c:pt idx="69">
                  <c:v>55.375</c:v>
                </c:pt>
                <c:pt idx="70">
                  <c:v>47.5</c:v>
                </c:pt>
                <c:pt idx="71">
                  <c:v>47.5</c:v>
                </c:pt>
                <c:pt idx="72">
                  <c:v>52.125</c:v>
                </c:pt>
                <c:pt idx="73">
                  <c:v>47.5</c:v>
                </c:pt>
                <c:pt idx="74">
                  <c:v>52.375</c:v>
                </c:pt>
                <c:pt idx="75">
                  <c:v>79.25</c:v>
                </c:pt>
                <c:pt idx="76">
                  <c:v>87.625</c:v>
                </c:pt>
                <c:pt idx="77">
                  <c:v>113.625</c:v>
                </c:pt>
                <c:pt idx="78">
                  <c:v>109.25</c:v>
                </c:pt>
                <c:pt idx="79">
                  <c:v>109.375</c:v>
                </c:pt>
                <c:pt idx="80">
                  <c:v>121.25</c:v>
                </c:pt>
                <c:pt idx="81">
                  <c:v>107.25</c:v>
                </c:pt>
                <c:pt idx="82">
                  <c:v>71.75</c:v>
                </c:pt>
                <c:pt idx="83">
                  <c:v>63.214285714285715</c:v>
                </c:pt>
                <c:pt idx="84">
                  <c:v>73.928571428571431</c:v>
                </c:pt>
                <c:pt idx="85">
                  <c:v>78.214285714285708</c:v>
                </c:pt>
                <c:pt idx="86">
                  <c:v>79.821428571428569</c:v>
                </c:pt>
                <c:pt idx="87">
                  <c:v>73.928571428571431</c:v>
                </c:pt>
                <c:pt idx="88">
                  <c:v>64.285714285714292</c:v>
                </c:pt>
                <c:pt idx="89">
                  <c:v>63.214285714285715</c:v>
                </c:pt>
                <c:pt idx="90">
                  <c:v>51.428571428571431</c:v>
                </c:pt>
                <c:pt idx="91">
                  <c:v>36.964285714285715</c:v>
                </c:pt>
                <c:pt idx="92">
                  <c:v>38.035714285714285</c:v>
                </c:pt>
                <c:pt idx="93">
                  <c:v>34.285714285714285</c:v>
                </c:pt>
                <c:pt idx="94">
                  <c:v>31.071428571428573</c:v>
                </c:pt>
                <c:pt idx="95">
                  <c:v>33.214285714285715</c:v>
                </c:pt>
                <c:pt idx="96">
                  <c:v>46.071428571428569</c:v>
                </c:pt>
                <c:pt idx="97">
                  <c:v>60</c:v>
                </c:pt>
                <c:pt idx="98">
                  <c:v>43.392857142857146</c:v>
                </c:pt>
                <c:pt idx="99">
                  <c:v>32.142857142857146</c:v>
                </c:pt>
                <c:pt idx="100">
                  <c:v>64.285714285714292</c:v>
                </c:pt>
              </c:numCache>
            </c:numRef>
          </c:val>
          <c:smooth val="0"/>
        </c:ser>
        <c:ser>
          <c:idx val="4"/>
          <c:order val="2"/>
          <c:tx>
            <c:strRef>
              <c:f>'Wheat (All)'!$F$6</c:f>
              <c:strCache>
                <c:ptCount val="1"/>
                <c:pt idx="0">
                  <c:v>Baghdad, Imports, in d/bushel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(All)'!$F$7:$F$107</c:f>
              <c:numCache>
                <c:formatCode>0.0000</c:formatCode>
                <c:ptCount val="101"/>
                <c:pt idx="25" formatCode="_(* #,##0.0000_);_(* \(#,##0.0000\);_(* &quot;-&quot;??_);_(@_)">
                  <c:v>70.709313913400891</c:v>
                </c:pt>
                <c:pt idx="26" formatCode="_(* #,##0.0000_);_(* \(#,##0.0000\);_(* &quot;-&quot;??_);_(@_)">
                  <c:v>97.414383628555356</c:v>
                </c:pt>
                <c:pt idx="27" formatCode="_(* #,##0.0000_);_(* \(#,##0.0000\);_(* &quot;-&quot;??_);_(@_)">
                  <c:v>63.720419647238785</c:v>
                </c:pt>
                <c:pt idx="28" formatCode="_(* #,##0.0000_);_(* \(#,##0.0000\);_(* &quot;-&quot;??_);_(@_)">
                  <c:v>53.403130859594832</c:v>
                </c:pt>
                <c:pt idx="29" formatCode="_(* #,##0.0000_);_(* \(#,##0.0000\);_(* &quot;-&quot;??_);_(@_)">
                  <c:v>43.604076987975454</c:v>
                </c:pt>
                <c:pt idx="30" formatCode="_(* #,##0.0000_);_(* \(#,##0.0000\);_(* &quot;-&quot;??_);_(@_)">
                  <c:v>61.922483052737036</c:v>
                </c:pt>
                <c:pt idx="37" formatCode="_(* #,##0.0000_);_(* \(#,##0.0000\);_(* &quot;-&quot;??_);_(@_)">
                  <c:v>21.246101834259601</c:v>
                </c:pt>
                <c:pt idx="47">
                  <c:v>53.877551020408227</c:v>
                </c:pt>
                <c:pt idx="48">
                  <c:v>51.407401599498243</c:v>
                </c:pt>
                <c:pt idx="49">
                  <c:v>45.112781954887204</c:v>
                </c:pt>
                <c:pt idx="50">
                  <c:v>48.214285714285772</c:v>
                </c:pt>
                <c:pt idx="51">
                  <c:v>51.291793313069903</c:v>
                </c:pt>
                <c:pt idx="52">
                  <c:v>45.283018867924461</c:v>
                </c:pt>
                <c:pt idx="59">
                  <c:v>98.901098901098919</c:v>
                </c:pt>
                <c:pt idx="60">
                  <c:v>98.901098901098919</c:v>
                </c:pt>
                <c:pt idx="61">
                  <c:v>79.120879120879053</c:v>
                </c:pt>
                <c:pt idx="62">
                  <c:v>67.843070070241524</c:v>
                </c:pt>
                <c:pt idx="65">
                  <c:v>118.34319526627219</c:v>
                </c:pt>
                <c:pt idx="66">
                  <c:v>118.68131868131866</c:v>
                </c:pt>
              </c:numCache>
            </c:numRef>
          </c:val>
          <c:smooth val="0"/>
        </c:ser>
        <c:ser>
          <c:idx val="5"/>
          <c:order val="3"/>
          <c:tx>
            <c:strRef>
              <c:f>'Wheat (All)'!$G$6</c:f>
              <c:strCache>
                <c:ptCount val="1"/>
                <c:pt idx="0">
                  <c:v>Baghdad, Exports, in d/bushel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val>
          <c:smooth val="0"/>
        </c:ser>
        <c:ser>
          <c:idx val="7"/>
          <c:order val="4"/>
          <c:tx>
            <c:strRef>
              <c:f>'Wheat (All)'!$H$6</c:f>
              <c:strCache>
                <c:ptCount val="1"/>
                <c:pt idx="0">
                  <c:v>Baghdad, Bazaar (Local), in d/bushel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(All)'!$H$7:$H$107</c:f>
              <c:numCache>
                <c:formatCode>0.0000</c:formatCode>
                <c:ptCount val="101"/>
                <c:pt idx="21" formatCode="_(* #,##0.0000_);_(* \(#,##0.0000\);_(* &quot;-&quot;??_);_(@_)">
                  <c:v>31.632259911804287</c:v>
                </c:pt>
                <c:pt idx="22" formatCode="_(* #,##0.0000_);_(* \(#,##0.0000\);_(* &quot;-&quot;??_);_(@_)">
                  <c:v>31.632259911804287</c:v>
                </c:pt>
                <c:pt idx="23" formatCode="_(* #,##0.0000_);_(* \(#,##0.0000\);_(* &quot;-&quot;??_);_(@_)">
                  <c:v>31.632259911804287</c:v>
                </c:pt>
                <c:pt idx="24" formatCode="_(* #,##0.0000_);_(* \(#,##0.0000\);_(* &quot;-&quot;??_);_(@_)">
                  <c:v>31.632259911804287</c:v>
                </c:pt>
                <c:pt idx="25" formatCode="_(* #,##0.0000_);_(* \(#,##0.0000\);_(* &quot;-&quot;??_);_(@_)">
                  <c:v>31.632259911804287</c:v>
                </c:pt>
                <c:pt idx="26" formatCode="_(* #,##0.0000_);_(* \(#,##0.0000\);_(* &quot;-&quot;??_);_(@_)">
                  <c:v>49.881640630152958</c:v>
                </c:pt>
                <c:pt idx="27" formatCode="_(* #,##0.0000_);_(* \(#,##0.0000\);_(* &quot;-&quot;??_);_(@_)">
                  <c:v>71.172584801559651</c:v>
                </c:pt>
                <c:pt idx="28" formatCode="_(* #,##0.0000_);_(* \(#,##0.0000\);_(* &quot;-&quot;??_);_(@_)">
                  <c:v>42.932681994399552</c:v>
                </c:pt>
                <c:pt idx="29" formatCode="_(* #,##0.0000_);_(* \(#,##0.0000\);_(* &quot;-&quot;??_);_(@_)">
                  <c:v>35.2415818760999</c:v>
                </c:pt>
                <c:pt idx="30" formatCode="_(* #,##0.0000_);_(* \(#,##0.0000\);_(* &quot;-&quot;??_);_(@_)">
                  <c:v>75.633544532711511</c:v>
                </c:pt>
                <c:pt idx="31" formatCode="_(* #,##0.0000_);_(* \(#,##0.0000\);_(* &quot;-&quot;??_);_(@_)">
                  <c:v>121.66253812232425</c:v>
                </c:pt>
                <c:pt idx="34" formatCode="_(* #,##0.0000_);_(* \(#,##0.0000\);_(* &quot;-&quot;??_);_(@_)">
                  <c:v>27.716417910447696</c:v>
                </c:pt>
                <c:pt idx="35" formatCode="_(* #,##0.0000_);_(* \(#,##0.0000\);_(* &quot;-&quot;??_);_(@_)">
                  <c:v>24.253731343283615</c:v>
                </c:pt>
                <c:pt idx="36" formatCode="_(* #,##0.0000_);_(* \(#,##0.0000\);_(* &quot;-&quot;??_);_(@_)">
                  <c:v>24.40298507462683</c:v>
                </c:pt>
                <c:pt idx="37" formatCode="_(* #,##0.0000_);_(* \(#,##0.0000\);_(* &quot;-&quot;??_);_(@_)">
                  <c:v>30.109090909090895</c:v>
                </c:pt>
                <c:pt idx="38" formatCode="_(* #,##0.0000_);_(* \(#,##0.0000\);_(* &quot;-&quot;??_);_(@_)">
                  <c:v>36.909090909090864</c:v>
                </c:pt>
                <c:pt idx="39" formatCode="_(* #,##0.0000_);_(* \(#,##0.0000\);_(* &quot;-&quot;??_);_(@_)">
                  <c:v>52.363636363636417</c:v>
                </c:pt>
                <c:pt idx="54" formatCode="_(* #,##0.0000_);_(* \(#,##0.0000\);_(* &quot;-&quot;??_);_(@_)">
                  <c:v>19.832142857142813</c:v>
                </c:pt>
                <c:pt idx="55" formatCode="_(* #,##0.0000_);_(* \(#,##0.0000\);_(* &quot;-&quot;??_);_(@_)">
                  <c:v>18.348267857142815</c:v>
                </c:pt>
                <c:pt idx="56" formatCode="_(* #,##0.0000_);_(* \(#,##0.0000\);_(* &quot;-&quot;??_);_(@_)">
                  <c:v>32.544642857142819</c:v>
                </c:pt>
                <c:pt idx="61" formatCode="_(* #,##0.0000_);_(* \(#,##0.0000\);_(* &quot;-&quot;??_);_(@_)">
                  <c:v>37.50000000000005</c:v>
                </c:pt>
                <c:pt idx="62" formatCode="_(* #,##0.0000_);_(* \(#,##0.0000\);_(* &quot;-&quot;??_);_(@_)">
                  <c:v>38.736263736263808</c:v>
                </c:pt>
                <c:pt idx="63" formatCode="_(* #,##0.0000_);_(* \(#,##0.0000\);_(* &quot;-&quot;??_);_(@_)">
                  <c:v>25.024038461538478</c:v>
                </c:pt>
                <c:pt idx="64" formatCode="_(* #,##0.0000_);_(* \(#,##0.0000\);_(* &quot;-&quot;??_);_(@_)">
                  <c:v>29.965659340659411</c:v>
                </c:pt>
                <c:pt idx="65" formatCode="_(* #,##0.0000_);_(* \(#,##0.0000\);_(* &quot;-&quot;??_);_(@_)">
                  <c:v>24.065934065934048</c:v>
                </c:pt>
                <c:pt idx="66" formatCode="_(* #,##0.0000_);_(* \(#,##0.0000\);_(* &quot;-&quot;??_);_(@_)">
                  <c:v>32.916892992938635</c:v>
                </c:pt>
                <c:pt idx="67" formatCode="_(* #,##0.0000_);_(* \(#,##0.0000\);_(* &quot;-&quot;??_);_(@_)">
                  <c:v>36.026615969581684</c:v>
                </c:pt>
                <c:pt idx="68" formatCode="_(* #,##0.0000_);_(* \(#,##0.0000\);_(* &quot;-&quot;??_);_(@_)">
                  <c:v>39.533541553503504</c:v>
                </c:pt>
                <c:pt idx="69" formatCode="_(* #,##0.0000_);_(* \(#,##0.0000\);_(* &quot;-&quot;??_);_(@_)">
                  <c:v>55.608365019011472</c:v>
                </c:pt>
                <c:pt idx="70" formatCode="_(* #,##0.0000_);_(* \(#,##0.0000\);_(* &quot;-&quot;??_);_(@_)">
                  <c:v>37.241988049972804</c:v>
                </c:pt>
                <c:pt idx="71" formatCode="_(* #,##0.0000_);_(* \(#,##0.0000\);_(* &quot;-&quot;??_);_(@_)">
                  <c:v>35.198261814231365</c:v>
                </c:pt>
                <c:pt idx="72" formatCode="_(* #,##0.0000_);_(* \(#,##0.0000\);_(* &quot;-&quot;??_);_(@_)">
                  <c:v>51.428571428571409</c:v>
                </c:pt>
              </c:numCache>
            </c:numRef>
          </c:val>
          <c:smooth val="0"/>
        </c:ser>
        <c:ser>
          <c:idx val="9"/>
          <c:order val="5"/>
          <c:tx>
            <c:strRef>
              <c:f>'Wheat (All)'!$I$6</c:f>
              <c:strCache>
                <c:ptCount val="1"/>
                <c:pt idx="0">
                  <c:v>Basrah, Imports, in d/bushel</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(All)'!$I$7:$I$107</c:f>
              <c:numCache>
                <c:formatCode>0.0000</c:formatCode>
                <c:ptCount val="101"/>
                <c:pt idx="33">
                  <c:v>42.830357142857181</c:v>
                </c:pt>
                <c:pt idx="47">
                  <c:v>39.331290909825363</c:v>
                </c:pt>
                <c:pt idx="48">
                  <c:v>36.734693877551088</c:v>
                </c:pt>
                <c:pt idx="49">
                  <c:v>40.511157734121696</c:v>
                </c:pt>
                <c:pt idx="50">
                  <c:v>36.217303822937666</c:v>
                </c:pt>
                <c:pt idx="58">
                  <c:v>18.370877084256673</c:v>
                </c:pt>
                <c:pt idx="59">
                  <c:v>36.491953609637712</c:v>
                </c:pt>
                <c:pt idx="60">
                  <c:v>36.734693877551088</c:v>
                </c:pt>
                <c:pt idx="61">
                  <c:v>36.730672564592304</c:v>
                </c:pt>
                <c:pt idx="62">
                  <c:v>36.734693877551088</c:v>
                </c:pt>
                <c:pt idx="63">
                  <c:v>36.725024308222942</c:v>
                </c:pt>
                <c:pt idx="64">
                  <c:v>36.720816018133682</c:v>
                </c:pt>
                <c:pt idx="65">
                  <c:v>36.760292967361103</c:v>
                </c:pt>
                <c:pt idx="66">
                  <c:v>33.058969444131264</c:v>
                </c:pt>
                <c:pt idx="69">
                  <c:v>60.608328619294227</c:v>
                </c:pt>
                <c:pt idx="70">
                  <c:v>58.775510204081563</c:v>
                </c:pt>
                <c:pt idx="71">
                  <c:v>36.734693877551088</c:v>
                </c:pt>
                <c:pt idx="72">
                  <c:v>44.08886033508341</c:v>
                </c:pt>
                <c:pt idx="73">
                  <c:v>55.100543518948321</c:v>
                </c:pt>
              </c:numCache>
            </c:numRef>
          </c:val>
          <c:smooth val="0"/>
        </c:ser>
        <c:ser>
          <c:idx val="11"/>
          <c:order val="6"/>
          <c:tx>
            <c:strRef>
              <c:f>'Wheat (All)'!$J$6</c:f>
              <c:strCache>
                <c:ptCount val="1"/>
                <c:pt idx="0">
                  <c:v>Basrah, Exports, in d/bushel</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(All)'!$J$7:$J$107</c:f>
              <c:numCache>
                <c:formatCode>0.0000</c:formatCode>
                <c:ptCount val="101"/>
                <c:pt idx="48">
                  <c:v>37.914554125459873</c:v>
                </c:pt>
                <c:pt idx="49">
                  <c:v>32.775100350369122</c:v>
                </c:pt>
                <c:pt idx="50">
                  <c:v>33.637103877877919</c:v>
                </c:pt>
                <c:pt idx="51">
                  <c:v>34.25294873005776</c:v>
                </c:pt>
                <c:pt idx="52">
                  <c:v>36.267746639566603</c:v>
                </c:pt>
                <c:pt idx="53">
                  <c:v>18.367851018290974</c:v>
                </c:pt>
                <c:pt idx="54">
                  <c:v>18.947375941548671</c:v>
                </c:pt>
                <c:pt idx="55">
                  <c:v>19.836726560116272</c:v>
                </c:pt>
                <c:pt idx="56">
                  <c:v>24.107116341796704</c:v>
                </c:pt>
                <c:pt idx="57">
                  <c:v>7.0647338950232834</c:v>
                </c:pt>
                <c:pt idx="58">
                  <c:v>32.142857142857181</c:v>
                </c:pt>
                <c:pt idx="59">
                  <c:v>32.143331233288365</c:v>
                </c:pt>
                <c:pt idx="60">
                  <c:v>32.142857142857181</c:v>
                </c:pt>
                <c:pt idx="61">
                  <c:v>33.750599208157588</c:v>
                </c:pt>
                <c:pt idx="62">
                  <c:v>33.748119230612829</c:v>
                </c:pt>
                <c:pt idx="63">
                  <c:v>32.143127026375439</c:v>
                </c:pt>
                <c:pt idx="64">
                  <c:v>19.905998211342144</c:v>
                </c:pt>
                <c:pt idx="65">
                  <c:v>29.387832272930304</c:v>
                </c:pt>
                <c:pt idx="66">
                  <c:v>24.489719393972688</c:v>
                </c:pt>
                <c:pt idx="67">
                  <c:v>36.734693877551088</c:v>
                </c:pt>
                <c:pt idx="68">
                  <c:v>44.081596084935171</c:v>
                </c:pt>
                <c:pt idx="69">
                  <c:v>47.755102040816254</c:v>
                </c:pt>
                <c:pt idx="70">
                  <c:v>44.081500883587488</c:v>
                </c:pt>
                <c:pt idx="71">
                  <c:v>44.081632653061249</c:v>
                </c:pt>
                <c:pt idx="72">
                  <c:v>47.755259224846988</c:v>
                </c:pt>
                <c:pt idx="73">
                  <c:v>55.095160113944502</c:v>
                </c:pt>
              </c:numCache>
            </c:numRef>
          </c:val>
          <c:smooth val="0"/>
        </c:ser>
        <c:ser>
          <c:idx val="13"/>
          <c:order val="7"/>
          <c:tx>
            <c:strRef>
              <c:f>'Wheat (All)'!$K$6</c:f>
              <c:strCache>
                <c:ptCount val="1"/>
                <c:pt idx="0">
                  <c:v>Basrah, Bazaar (Local), in d/bushel</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(All)'!$K$7:$K$107</c:f>
              <c:numCache>
                <c:formatCode>0.0000</c:formatCode>
                <c:ptCount val="101"/>
                <c:pt idx="24">
                  <c:v>38.592471358428774</c:v>
                </c:pt>
                <c:pt idx="25">
                  <c:v>41.970540098199599</c:v>
                </c:pt>
                <c:pt idx="26">
                  <c:v>40.065466448445122</c:v>
                </c:pt>
                <c:pt idx="27">
                  <c:v>46.016366612111284</c:v>
                </c:pt>
                <c:pt idx="28">
                  <c:v>36.255319148936159</c:v>
                </c:pt>
                <c:pt idx="71">
                  <c:v>21.729112057667088</c:v>
                </c:pt>
                <c:pt idx="72">
                  <c:v>44.914351282681679</c:v>
                </c:pt>
              </c:numCache>
            </c:numRef>
          </c:val>
          <c:smooth val="0"/>
        </c:ser>
        <c:ser>
          <c:idx val="15"/>
          <c:order val="8"/>
          <c:tx>
            <c:strRef>
              <c:f>'Wheat (All)'!$L$6</c:f>
              <c:strCache>
                <c:ptCount val="1"/>
                <c:pt idx="0">
                  <c:v>Mosul, Imports, in d/bushel</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(All)'!$L$7:$L$107</c:f>
              <c:numCache>
                <c:formatCode>0.0000</c:formatCode>
                <c:ptCount val="101"/>
                <c:pt idx="44">
                  <c:v>16.363636363636392</c:v>
                </c:pt>
              </c:numCache>
            </c:numRef>
          </c:val>
          <c:smooth val="0"/>
        </c:ser>
        <c:ser>
          <c:idx val="17"/>
          <c:order val="9"/>
          <c:tx>
            <c:strRef>
              <c:f>'Wheat (All)'!$M$6</c:f>
              <c:strCache>
                <c:ptCount val="1"/>
                <c:pt idx="0">
                  <c:v>Mosul, Exports, in d/bushel</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(All)'!$M$7:$M$107</c:f>
              <c:numCache>
                <c:formatCode>0.0000</c:formatCode>
                <c:ptCount val="101"/>
                <c:pt idx="44">
                  <c:v>16.363636363636392</c:v>
                </c:pt>
              </c:numCache>
            </c:numRef>
          </c:val>
          <c:smooth val="0"/>
        </c:ser>
        <c:ser>
          <c:idx val="19"/>
          <c:order val="10"/>
          <c:tx>
            <c:strRef>
              <c:f>'Wheat (All)'!$N$6</c:f>
              <c:strCache>
                <c:ptCount val="1"/>
                <c:pt idx="0">
                  <c:v>Mosul, Bazaar (Local), in d/bushel</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(All)'!$N$7:$N$107</c:f>
              <c:numCache>
                <c:formatCode>0.0000</c:formatCode>
                <c:ptCount val="101"/>
              </c:numCache>
            </c:numRef>
          </c:val>
          <c:smooth val="0"/>
        </c:ser>
        <c:ser>
          <c:idx val="21"/>
          <c:order val="11"/>
          <c:tx>
            <c:strRef>
              <c:f>'Wheat (All)'!$S$6</c:f>
              <c:strCache>
                <c:ptCount val="1"/>
                <c:pt idx="0">
                  <c:v>Palestine, Imports, in d/bushel</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(All)'!$S$7:$S$107</c:f>
              <c:numCache>
                <c:formatCode>0.0000</c:formatCode>
                <c:ptCount val="101"/>
                <c:pt idx="37">
                  <c:v>76.502732240437197</c:v>
                </c:pt>
                <c:pt idx="39">
                  <c:v>70.214375788146299</c:v>
                </c:pt>
                <c:pt idx="62">
                  <c:v>75.089465253399752</c:v>
                </c:pt>
                <c:pt idx="67">
                  <c:v>38.571428571428591</c:v>
                </c:pt>
                <c:pt idx="70">
                  <c:v>62.655279503105518</c:v>
                </c:pt>
                <c:pt idx="72">
                  <c:v>66.758241758241752</c:v>
                </c:pt>
              </c:numCache>
            </c:numRef>
          </c:val>
          <c:smooth val="0"/>
        </c:ser>
        <c:ser>
          <c:idx val="23"/>
          <c:order val="12"/>
          <c:tx>
            <c:strRef>
              <c:f>'Wheat (All)'!$T$6</c:f>
              <c:strCache>
                <c:ptCount val="1"/>
                <c:pt idx="0">
                  <c:v>Palestine, Exports, in d/bushel</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(All)'!$T$7:$T$107</c:f>
              <c:numCache>
                <c:formatCode>0.0000</c:formatCode>
                <c:ptCount val="101"/>
                <c:pt idx="16">
                  <c:v>59.937216602720547</c:v>
                </c:pt>
                <c:pt idx="17">
                  <c:v>45.706313219393088</c:v>
                </c:pt>
                <c:pt idx="18">
                  <c:v>32.581952505952849</c:v>
                </c:pt>
                <c:pt idx="19">
                  <c:v>49.381020230589215</c:v>
                </c:pt>
                <c:pt idx="20">
                  <c:v>75.540885403201784</c:v>
                </c:pt>
                <c:pt idx="21">
                  <c:v>59.016293153288352</c:v>
                </c:pt>
                <c:pt idx="22">
                  <c:v>41.867618205257564</c:v>
                </c:pt>
                <c:pt idx="23">
                  <c:v>40.213675047501212</c:v>
                </c:pt>
                <c:pt idx="33">
                  <c:v>56.206088992974237</c:v>
                </c:pt>
                <c:pt idx="34">
                  <c:v>42.611241217798657</c:v>
                </c:pt>
                <c:pt idx="35">
                  <c:v>38.360655737704946</c:v>
                </c:pt>
                <c:pt idx="36">
                  <c:v>37.888132454659292</c:v>
                </c:pt>
                <c:pt idx="37">
                  <c:v>59.016393442622878</c:v>
                </c:pt>
                <c:pt idx="38">
                  <c:v>57.330210772833695</c:v>
                </c:pt>
                <c:pt idx="39">
                  <c:v>67.576023025904149</c:v>
                </c:pt>
                <c:pt idx="40">
                  <c:v>53.099737204354845</c:v>
                </c:pt>
                <c:pt idx="41">
                  <c:v>43.715846994535589</c:v>
                </c:pt>
                <c:pt idx="42">
                  <c:v>35.62841219064768</c:v>
                </c:pt>
                <c:pt idx="43">
                  <c:v>34.843627124795809</c:v>
                </c:pt>
                <c:pt idx="44">
                  <c:v>31.243972999035741</c:v>
                </c:pt>
                <c:pt idx="45">
                  <c:v>58.108448928121057</c:v>
                </c:pt>
                <c:pt idx="46">
                  <c:v>63.556116015132424</c:v>
                </c:pt>
                <c:pt idx="47">
                  <c:v>43.581336696090865</c:v>
                </c:pt>
                <c:pt idx="48">
                  <c:v>45.324590163934459</c:v>
                </c:pt>
                <c:pt idx="49">
                  <c:v>43.565915133211824</c:v>
                </c:pt>
                <c:pt idx="50">
                  <c:v>34.772900223749467</c:v>
                </c:pt>
                <c:pt idx="51">
                  <c:v>44.470751730704933</c:v>
                </c:pt>
                <c:pt idx="55">
                  <c:v>26.014345848102529</c:v>
                </c:pt>
                <c:pt idx="56">
                  <c:v>63.913967656961766</c:v>
                </c:pt>
                <c:pt idx="58">
                  <c:v>50.84489281210589</c:v>
                </c:pt>
                <c:pt idx="66">
                  <c:v>68.571428571428541</c:v>
                </c:pt>
                <c:pt idx="68">
                  <c:v>55.076893310024928</c:v>
                </c:pt>
                <c:pt idx="69">
                  <c:v>80.357142857142819</c:v>
                </c:pt>
                <c:pt idx="71">
                  <c:v>55.498458376156179</c:v>
                </c:pt>
                <c:pt idx="72">
                  <c:v>53.912337662337698</c:v>
                </c:pt>
              </c:numCache>
            </c:numRef>
          </c:val>
          <c:smooth val="0"/>
        </c:ser>
        <c:ser>
          <c:idx val="25"/>
          <c:order val="13"/>
          <c:tx>
            <c:strRef>
              <c:f>'Wheat (All)'!$U$6</c:f>
              <c:strCache>
                <c:ptCount val="1"/>
                <c:pt idx="0">
                  <c:v>Palestine, Bazaar (Local), in d/bushel</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(All)'!$U$7:$U$107</c:f>
              <c:numCache>
                <c:formatCode>0.0000</c:formatCode>
                <c:ptCount val="101"/>
                <c:pt idx="22">
                  <c:v>45.245901639344261</c:v>
                </c:pt>
                <c:pt idx="23">
                  <c:v>40.140691971189987</c:v>
                </c:pt>
                <c:pt idx="70">
                  <c:v>57.049180327868825</c:v>
                </c:pt>
                <c:pt idx="72">
                  <c:v>76.721311475409891</c:v>
                </c:pt>
              </c:numCache>
            </c:numRef>
          </c:val>
          <c:smooth val="0"/>
        </c:ser>
        <c:ser>
          <c:idx val="29"/>
          <c:order val="14"/>
          <c:tx>
            <c:strRef>
              <c:f>'Wheat (All)'!$W$6</c:f>
              <c:strCache>
                <c:ptCount val="1"/>
                <c:pt idx="0">
                  <c:v>Damascus, Exports, in d/bushel</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(All)'!$W$7:$W$107</c:f>
              <c:numCache>
                <c:formatCode>0.0000</c:formatCode>
                <c:ptCount val="101"/>
                <c:pt idx="44" formatCode="_(* #,##0.0000_);_(* \(#,##0.0000\);_(* &quot;-&quot;??_);_(@_)">
                  <c:v>53.436246750000002</c:v>
                </c:pt>
                <c:pt idx="62" formatCode="_(* #,##0.0000_);_(* \(#,##0.0000\);_(* &quot;-&quot;??_);_(@_)">
                  <c:v>35.835428571428572</c:v>
                </c:pt>
                <c:pt idx="63" formatCode="_(* #,##0.0000_);_(* \(#,##0.0000\);_(* &quot;-&quot;??_);_(@_)">
                  <c:v>36.000000000000007</c:v>
                </c:pt>
                <c:pt idx="64" formatCode="_(* #,##0.0000_);_(* \(#,##0.0000\);_(* &quot;-&quot;??_);_(@_)">
                  <c:v>39</c:v>
                </c:pt>
                <c:pt idx="65" formatCode="_(* #,##0.0000_);_(* \(#,##0.0000\);_(* &quot;-&quot;??_);_(@_)">
                  <c:v>44</c:v>
                </c:pt>
                <c:pt idx="66" formatCode="_(* #,##0.0000_);_(* \(#,##0.0000\);_(* &quot;-&quot;??_);_(@_)">
                  <c:v>41.6</c:v>
                </c:pt>
                <c:pt idx="68" formatCode="_(* #,##0.0000_);_(* \(#,##0.0000\);_(* &quot;-&quot;??_);_(@_)">
                  <c:v>64</c:v>
                </c:pt>
                <c:pt idx="69" formatCode="_(* #,##0.0000_);_(* \(#,##0.0000\);_(* &quot;-&quot;??_);_(@_)">
                  <c:v>72.000000000000014</c:v>
                </c:pt>
                <c:pt idx="70" formatCode="_(* #,##0.0000_);_(* \(#,##0.0000\);_(* &quot;-&quot;??_);_(@_)">
                  <c:v>80.533333333333346</c:v>
                </c:pt>
                <c:pt idx="71" formatCode="_(* #,##0.0000_);_(* \(#,##0.0000\);_(* &quot;-&quot;??_);_(@_)">
                  <c:v>78</c:v>
                </c:pt>
              </c:numCache>
            </c:numRef>
          </c:val>
          <c:smooth val="0"/>
        </c:ser>
        <c:ser>
          <c:idx val="31"/>
          <c:order val="15"/>
          <c:tx>
            <c:strRef>
              <c:f>'Wheat (All)'!$X$6</c:f>
              <c:strCache>
                <c:ptCount val="1"/>
                <c:pt idx="0">
                  <c:v>Damascus, Bazaar (Local), in d/bushel</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(All)'!$X$7:$X$107</c:f>
              <c:numCache>
                <c:formatCode>0.0000</c:formatCode>
                <c:ptCount val="101"/>
              </c:numCache>
            </c:numRef>
          </c:val>
          <c:smooth val="0"/>
        </c:ser>
        <c:ser>
          <c:idx val="33"/>
          <c:order val="16"/>
          <c:tx>
            <c:strRef>
              <c:f>'Wheat (All)'!$Y$6</c:f>
              <c:strCache>
                <c:ptCount val="1"/>
                <c:pt idx="0">
                  <c:v>Beirut, Imports, in d/bushel</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(All)'!$Y$7:$Y$107</c:f>
              <c:numCache>
                <c:formatCode>0.0000</c:formatCode>
                <c:ptCount val="101"/>
              </c:numCache>
            </c:numRef>
          </c:val>
          <c:smooth val="0"/>
        </c:ser>
        <c:ser>
          <c:idx val="35"/>
          <c:order val="17"/>
          <c:tx>
            <c:strRef>
              <c:f>'Wheat (All)'!$Z$6</c:f>
              <c:strCache>
                <c:ptCount val="1"/>
                <c:pt idx="0">
                  <c:v>Beirut, Exports, in d/bushel</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(All)'!$Z$7:$Z$107</c:f>
              <c:numCache>
                <c:formatCode>0.0000</c:formatCode>
                <c:ptCount val="101"/>
                <c:pt idx="32">
                  <c:v>66.036585365853654</c:v>
                </c:pt>
                <c:pt idx="34">
                  <c:v>34.49939024390244</c:v>
                </c:pt>
                <c:pt idx="35">
                  <c:v>51.707317073170721</c:v>
                </c:pt>
                <c:pt idx="36">
                  <c:v>46.829268292682926</c:v>
                </c:pt>
                <c:pt idx="37">
                  <c:v>97.457857142857137</c:v>
                </c:pt>
                <c:pt idx="38">
                  <c:v>52.545921787709496</c:v>
                </c:pt>
                <c:pt idx="39">
                  <c:v>72.980446927374274</c:v>
                </c:pt>
                <c:pt idx="43">
                  <c:v>39.272727272727266</c:v>
                </c:pt>
                <c:pt idx="48">
                  <c:v>60</c:v>
                </c:pt>
                <c:pt idx="59">
                  <c:v>44.634146341463413</c:v>
                </c:pt>
                <c:pt idx="60">
                  <c:v>32.926829268292686</c:v>
                </c:pt>
                <c:pt idx="61">
                  <c:v>34.390243902439032</c:v>
                </c:pt>
              </c:numCache>
            </c:numRef>
          </c:val>
          <c:smooth val="0"/>
        </c:ser>
        <c:ser>
          <c:idx val="37"/>
          <c:order val="18"/>
          <c:tx>
            <c:strRef>
              <c:f>'Wheat (All)'!$AA$6</c:f>
              <c:strCache>
                <c:ptCount val="1"/>
                <c:pt idx="0">
                  <c:v>Beirut, Bazaar (Local), in d/bushel</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(All)'!$AA$7:$AA$107</c:f>
              <c:numCache>
                <c:formatCode>0.0000</c:formatCode>
                <c:ptCount val="101"/>
              </c:numCache>
            </c:numRef>
          </c:val>
          <c:smooth val="0"/>
        </c:ser>
        <c:ser>
          <c:idx val="38"/>
          <c:order val="19"/>
          <c:tx>
            <c:strRef>
              <c:f>'Wheat (All)'!$AC$6</c:f>
              <c:strCache>
                <c:ptCount val="1"/>
                <c:pt idx="0">
                  <c:v>Istanbul (Rumeli), , in d/bushel</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(All)'!$AC$7:$AC$107</c:f>
              <c:numCache>
                <c:formatCode>0.0000</c:formatCode>
                <c:ptCount val="101"/>
                <c:pt idx="36" formatCode="_(* #,##0.0000_);_(* \(#,##0.0000\);_(* &quot;-&quot;??_);_(@_)">
                  <c:v>52.458233215547715</c:v>
                </c:pt>
                <c:pt idx="37" formatCode="_(* #,##0.0000_);_(* \(#,##0.0000\);_(* &quot;-&quot;??_);_(@_)">
                  <c:v>64.399293286219077</c:v>
                </c:pt>
                <c:pt idx="38" formatCode="_(* #,##0.0000_);_(* \(#,##0.0000\);_(* &quot;-&quot;??_);_(@_)">
                  <c:v>59.338939929328617</c:v>
                </c:pt>
                <c:pt idx="39" formatCode="_(* #,##0.0000_);_(* \(#,##0.0000\);_(* &quot;-&quot;??_);_(@_)">
                  <c:v>50.592084805653712</c:v>
                </c:pt>
                <c:pt idx="40" formatCode="_(* #,##0.0000_);_(* \(#,##0.0000\);_(* &quot;-&quot;??_);_(@_)">
                  <c:v>63.094134275618373</c:v>
                </c:pt>
                <c:pt idx="41" formatCode="_(* #,##0.0000_);_(* \(#,##0.0000\);_(* &quot;-&quot;??_);_(@_)">
                  <c:v>61.525653710247347</c:v>
                </c:pt>
                <c:pt idx="42" formatCode="_(* #,##0.0000_);_(* \(#,##0.0000\);_(* &quot;-&quot;??_);_(@_)">
                  <c:v>64.239010600706706</c:v>
                </c:pt>
                <c:pt idx="45" formatCode="_(* #,##0.0000_);_(* \(#,##0.0000\);_(* &quot;-&quot;??_);_(@_)">
                  <c:v>42.268833922261479</c:v>
                </c:pt>
                <c:pt idx="46" formatCode="_(* #,##0.0000_);_(* \(#,##0.0000\);_(* &quot;-&quot;??_);_(@_)">
                  <c:v>41.570459363957603</c:v>
                </c:pt>
                <c:pt idx="47" formatCode="_(* #,##0.0000_);_(* \(#,##0.0000\);_(* &quot;-&quot;??_);_(@_)">
                  <c:v>45.085229681978802</c:v>
                </c:pt>
                <c:pt idx="48" formatCode="_(* #,##0.0000_);_(* \(#,##0.0000\);_(* &quot;-&quot;??_);_(@_)">
                  <c:v>41.982614840989399</c:v>
                </c:pt>
                <c:pt idx="49" formatCode="_(* #,##0.0000_);_(* \(#,##0.0000\);_(* &quot;-&quot;??_);_(@_)">
                  <c:v>42.463462897526512</c:v>
                </c:pt>
                <c:pt idx="52" formatCode="_(* #,##0.0000_);_(* \(#,##0.0000\);_(* &quot;-&quot;??_);_(@_)">
                  <c:v>49.802120141342755</c:v>
                </c:pt>
                <c:pt idx="53" formatCode="_(* #,##0.0000_);_(* \(#,##0.0000\);_(* &quot;-&quot;??_);_(@_)">
                  <c:v>42.93286219081272</c:v>
                </c:pt>
                <c:pt idx="54" formatCode="_(* #,##0.0000_);_(* \(#,##0.0000\);_(* &quot;-&quot;??_);_(@_)">
                  <c:v>27.282402826855126</c:v>
                </c:pt>
                <c:pt idx="55" formatCode="_(* #,##0.0000_);_(* \(#,##0.0000\);_(* &quot;-&quot;??_);_(@_)">
                  <c:v>28.049469964664311</c:v>
                </c:pt>
                <c:pt idx="56" formatCode="_(* #,##0.0000_);_(* \(#,##0.0000\);_(* &quot;-&quot;??_);_(@_)">
                  <c:v>31.552791519434631</c:v>
                </c:pt>
                <c:pt idx="57" formatCode="_(* #,##0.0000_);_(* \(#,##0.0000\);_(* &quot;-&quot;??_);_(@_)">
                  <c:v>33.201413427561839</c:v>
                </c:pt>
                <c:pt idx="58" formatCode="_(* #,##0.0000_);_(* \(#,##0.0000\);_(* &quot;-&quot;??_);_(@_)">
                  <c:v>46.367491166077741</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46.081272084805654</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40"/>
          <c:order val="20"/>
          <c:tx>
            <c:strRef>
              <c:f>'Wheat (All)'!$AD$6</c:f>
              <c:strCache>
                <c:ptCount val="1"/>
                <c:pt idx="0">
                  <c:v>Istanbul (Rumeli), Exports, in d/bushel</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(All)'!$AD$7:$AD$107</c:f>
              <c:numCache>
                <c:formatCode>0.0000</c:formatCode>
                <c:ptCount val="101"/>
              </c:numCache>
            </c:numRef>
          </c:val>
          <c:smooth val="0"/>
        </c:ser>
        <c:ser>
          <c:idx val="42"/>
          <c:order val="21"/>
          <c:tx>
            <c:strRef>
              <c:f>'Wheat (All)'!$AE$6</c:f>
              <c:strCache>
                <c:ptCount val="1"/>
                <c:pt idx="0">
                  <c:v>Istanbul (Rumeli), Bazaar (Local), in d/bushel</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(All)'!$AE$7:$AE$107</c:f>
              <c:numCache>
                <c:formatCode>0.0000</c:formatCode>
                <c:ptCount val="101"/>
              </c:numCache>
            </c:numRef>
          </c:val>
          <c:smooth val="0"/>
        </c:ser>
        <c:ser>
          <c:idx val="43"/>
          <c:order val="22"/>
          <c:tx>
            <c:strRef>
              <c:f>'Wheat (All)'!$AF$6</c:f>
              <c:strCache>
                <c:ptCount val="1"/>
                <c:pt idx="0">
                  <c:v>Istanbul (Anatolia), , in d/bushel</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(All)'!$AF$7:$AF$107</c:f>
              <c:numCache>
                <c:formatCode>0.0000</c:formatCode>
                <c:ptCount val="101"/>
                <c:pt idx="46" formatCode="_(* #,##0.0000_);_(* \(#,##0.0000\);_(* &quot;-&quot;??_);_(@_)">
                  <c:v>41.570459363957603</c:v>
                </c:pt>
                <c:pt idx="47" formatCode="_(* #,##0.0000_);_(* \(#,##0.0000\);_(* &quot;-&quot;??_);_(@_)">
                  <c:v>45.096678445229678</c:v>
                </c:pt>
                <c:pt idx="56" formatCode="_(* #,##0.0000_);_(* \(#,##0.0000\);_(* &quot;-&quot;??_);_(@_)">
                  <c:v>30.94600706713781</c:v>
                </c:pt>
                <c:pt idx="57" formatCode="_(* #,##0.0000_);_(* \(#,##0.0000\);_(* &quot;-&quot;??_);_(@_)">
                  <c:v>38.937243816254416</c:v>
                </c:pt>
                <c:pt idx="58" formatCode="_(* #,##0.0000_);_(* \(#,##0.0000\);_(* &quot;-&quot;??_);_(@_)">
                  <c:v>49.092296819787997</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42.646643109540641</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45"/>
          <c:order val="23"/>
          <c:tx>
            <c:strRef>
              <c:f>'Wheat (All)'!$AG$6</c:f>
              <c:strCache>
                <c:ptCount val="1"/>
                <c:pt idx="0">
                  <c:v>Istanbul (Anatolia), Exports, in d/bushel</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(All)'!$AG$7:$AG$107</c:f>
              <c:numCache>
                <c:formatCode>0.0000</c:formatCode>
                <c:ptCount val="101"/>
              </c:numCache>
            </c:numRef>
          </c:val>
          <c:smooth val="0"/>
        </c:ser>
        <c:ser>
          <c:idx val="47"/>
          <c:order val="24"/>
          <c:tx>
            <c:strRef>
              <c:f>'Wheat (All)'!$AH$6</c:f>
              <c:strCache>
                <c:ptCount val="1"/>
                <c:pt idx="0">
                  <c:v>Istanbul (Anatolia), Bazaar (Local), in d/bushel</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(All)'!$AH$7:$AH$107</c:f>
              <c:numCache>
                <c:formatCode>0.0000</c:formatCode>
                <c:ptCount val="101"/>
              </c:numCache>
            </c:numRef>
          </c:val>
          <c:smooth val="0"/>
        </c:ser>
        <c:ser>
          <c:idx val="49"/>
          <c:order val="25"/>
          <c:tx>
            <c:strRef>
              <c:f>'Wheat (All)'!$AL$6</c:f>
              <c:strCache>
                <c:ptCount val="1"/>
                <c:pt idx="0">
                  <c:v>Turkey, Imports, in d/bushel</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(All)'!$AL$7:$AL$107</c:f>
              <c:numCache>
                <c:formatCode>0.0000</c:formatCode>
                <c:ptCount val="101"/>
                <c:pt idx="70">
                  <c:v>47.458576737058046</c:v>
                </c:pt>
                <c:pt idx="71">
                  <c:v>44.990941421190342</c:v>
                </c:pt>
              </c:numCache>
            </c:numRef>
          </c:val>
          <c:smooth val="0"/>
        </c:ser>
        <c:ser>
          <c:idx val="51"/>
          <c:order val="26"/>
          <c:tx>
            <c:strRef>
              <c:f>'Wheat (All)'!$AM$6</c:f>
              <c:strCache>
                <c:ptCount val="1"/>
                <c:pt idx="0">
                  <c:v>Turkey, Exports, in d/bushel</c:v>
                </c:pt>
              </c:strCache>
            </c:strRef>
          </c:tx>
          <c:spPr>
            <a:ln w="28575" cap="rnd">
              <a:solidFill>
                <a:schemeClr val="accent4">
                  <a:lumMod val="50000"/>
                  <a:lumOff val="50000"/>
                </a:schemeClr>
              </a:solidFill>
              <a:round/>
            </a:ln>
            <a:effectLst/>
          </c:spPr>
          <c:marker>
            <c:symbol val="circle"/>
            <c:size val="5"/>
            <c:spPr>
              <a:solidFill>
                <a:schemeClr val="accent4">
                  <a:lumMod val="50000"/>
                  <a:lumOff val="50000"/>
                </a:schemeClr>
              </a:solidFill>
              <a:ln w="9525">
                <a:solidFill>
                  <a:schemeClr val="accent4">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(All)'!$AM$7:$AM$107</c:f>
              <c:numCache>
                <c:formatCode>0.0000</c:formatCode>
                <c:ptCount val="101"/>
                <c:pt idx="44">
                  <c:v>89.772367558462705</c:v>
                </c:pt>
                <c:pt idx="45">
                  <c:v>85.760074394249131</c:v>
                </c:pt>
                <c:pt idx="52">
                  <c:v>36.657359173582904</c:v>
                </c:pt>
                <c:pt idx="53">
                  <c:v>32.1276175948312</c:v>
                </c:pt>
                <c:pt idx="54">
                  <c:v>32.797219393052416</c:v>
                </c:pt>
                <c:pt idx="55">
                  <c:v>40.260826771653534</c:v>
                </c:pt>
                <c:pt idx="56">
                  <c:v>41.710256968641104</c:v>
                </c:pt>
                <c:pt idx="60">
                  <c:v>37.763428008998886</c:v>
                </c:pt>
                <c:pt idx="61">
                  <c:v>38.898694533163813</c:v>
                </c:pt>
                <c:pt idx="71">
                  <c:v>46.629708305269176</c:v>
                </c:pt>
              </c:numCache>
            </c:numRef>
          </c:val>
          <c:smooth val="0"/>
        </c:ser>
        <c:ser>
          <c:idx val="53"/>
          <c:order val="27"/>
          <c:tx>
            <c:strRef>
              <c:f>'Wheat (All)'!$AN$6</c:f>
              <c:strCache>
                <c:ptCount val="1"/>
                <c:pt idx="0">
                  <c:v>Turkey, Bazaar (Local), in d/bushel</c:v>
                </c:pt>
              </c:strCache>
            </c:strRef>
          </c:tx>
          <c:spPr>
            <a:ln w="28575" cap="rnd">
              <a:solidFill>
                <a:schemeClr val="accent6">
                  <a:lumMod val="50000"/>
                  <a:lumOff val="50000"/>
                </a:schemeClr>
              </a:solidFill>
              <a:round/>
            </a:ln>
            <a:effectLst/>
          </c:spPr>
          <c:marker>
            <c:symbol val="circle"/>
            <c:size val="5"/>
            <c:spPr>
              <a:solidFill>
                <a:schemeClr val="accent6">
                  <a:lumMod val="50000"/>
                  <a:lumOff val="50000"/>
                </a:schemeClr>
              </a:solidFill>
              <a:ln w="9525">
                <a:solidFill>
                  <a:schemeClr val="accent6">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(All)'!$AN$7:$AN$107</c:f>
              <c:numCache>
                <c:formatCode>0.0000</c:formatCode>
                <c:ptCount val="101"/>
              </c:numCache>
            </c:numRef>
          </c:val>
          <c:smooth val="0"/>
        </c:ser>
        <c:ser>
          <c:idx val="55"/>
          <c:order val="28"/>
          <c:tx>
            <c:strRef>
              <c:f>'Wheat (All)'!$AO$6</c:f>
              <c:strCache>
                <c:ptCount val="1"/>
                <c:pt idx="0">
                  <c:v>Constantinople, Imports, in d/bushel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(All)'!$AO$7:$AO$107</c:f>
              <c:numCache>
                <c:formatCode>0.0000</c:formatCode>
                <c:ptCount val="101"/>
                <c:pt idx="49">
                  <c:v>98.157671753255343</c:v>
                </c:pt>
                <c:pt idx="50">
                  <c:v>126.17116438830043</c:v>
                </c:pt>
                <c:pt idx="67">
                  <c:v>57.208375534591028</c:v>
                </c:pt>
              </c:numCache>
            </c:numRef>
          </c:val>
          <c:smooth val="0"/>
        </c:ser>
        <c:ser>
          <c:idx val="57"/>
          <c:order val="29"/>
          <c:tx>
            <c:strRef>
              <c:f>'Wheat (All)'!$AP$6</c:f>
              <c:strCache>
                <c:ptCount val="1"/>
                <c:pt idx="0">
                  <c:v>Constantinople, Exports, in d/bushel</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(All)'!$AP$7:$AP$107</c:f>
              <c:numCache>
                <c:formatCode>0.0000</c:formatCode>
                <c:ptCount val="101"/>
                <c:pt idx="6">
                  <c:v>39.433092993825618</c:v>
                </c:pt>
                <c:pt idx="22">
                  <c:v>43.285714285714256</c:v>
                </c:pt>
                <c:pt idx="32">
                  <c:v>59.142857142857132</c:v>
                </c:pt>
                <c:pt idx="49">
                  <c:v>85.196111759747993</c:v>
                </c:pt>
                <c:pt idx="50">
                  <c:v>88.019877485057776</c:v>
                </c:pt>
                <c:pt idx="71">
                  <c:v>13.660714285714285</c:v>
                </c:pt>
              </c:numCache>
            </c:numRef>
          </c:val>
          <c:smooth val="0"/>
        </c:ser>
        <c:ser>
          <c:idx val="59"/>
          <c:order val="30"/>
          <c:tx>
            <c:strRef>
              <c:f>'Wheat (All)'!$AQ$6</c:f>
              <c:strCache>
                <c:ptCount val="1"/>
                <c:pt idx="0">
                  <c:v>Constantinople, Bazaar (Local), in d/bushel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(All)'!$AQ$7:$AQ$107</c:f>
              <c:numCache>
                <c:formatCode>0.0000</c:formatCode>
                <c:ptCount val="101"/>
              </c:numCache>
            </c:numRef>
          </c:val>
          <c:smooth val="0"/>
        </c:ser>
        <c:ser>
          <c:idx val="61"/>
          <c:order val="31"/>
          <c:tx>
            <c:strRef>
              <c:f>'Wheat (All)'!$AR$6</c:f>
              <c:strCache>
                <c:ptCount val="1"/>
                <c:pt idx="0">
                  <c:v>Trebizond (Anatolia), Imports, in d/bushel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(All)'!$AR$7:$AR$107</c:f>
              <c:numCache>
                <c:formatCode>0.0000</c:formatCode>
                <c:ptCount val="101"/>
              </c:numCache>
            </c:numRef>
          </c:val>
          <c:smooth val="0"/>
        </c:ser>
        <c:ser>
          <c:idx val="63"/>
          <c:order val="32"/>
          <c:tx>
            <c:strRef>
              <c:f>'Wheat (All)'!$AS$6</c:f>
              <c:strCache>
                <c:ptCount val="1"/>
                <c:pt idx="0">
                  <c:v>Trebizond (Anatolia), Exports, in d/bushel</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(All)'!$AS$7:$AS$107</c:f>
              <c:numCache>
                <c:formatCode>0.0000</c:formatCode>
                <c:ptCount val="101"/>
                <c:pt idx="29">
                  <c:v>60</c:v>
                </c:pt>
                <c:pt idx="30">
                  <c:v>60</c:v>
                </c:pt>
                <c:pt idx="31">
                  <c:v>60</c:v>
                </c:pt>
                <c:pt idx="32">
                  <c:v>60</c:v>
                </c:pt>
                <c:pt idx="33">
                  <c:v>60</c:v>
                </c:pt>
                <c:pt idx="35">
                  <c:v>48</c:v>
                </c:pt>
                <c:pt idx="44">
                  <c:v>45</c:v>
                </c:pt>
              </c:numCache>
            </c:numRef>
          </c:val>
          <c:smooth val="0"/>
        </c:ser>
        <c:ser>
          <c:idx val="65"/>
          <c:order val="33"/>
          <c:tx>
            <c:strRef>
              <c:f>'Wheat (All)'!$AT$6</c:f>
              <c:strCache>
                <c:ptCount val="1"/>
                <c:pt idx="0">
                  <c:v>Trebizond (Anatolia), Bazaar (Local), in d/bushel</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(All)'!$AT$7:$AT$107</c:f>
              <c:numCache>
                <c:formatCode>0.0000</c:formatCode>
                <c:ptCount val="101"/>
              </c:numCache>
            </c:numRef>
          </c:val>
          <c:smooth val="0"/>
        </c:ser>
        <c:ser>
          <c:idx val="67"/>
          <c:order val="34"/>
          <c:tx>
            <c:strRef>
              <c:f>'Wheat (All)'!$AU$6</c:f>
              <c:strCache>
                <c:ptCount val="1"/>
                <c:pt idx="0">
                  <c:v>Trebizond (Persia), Imports, in d/bushel</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(All)'!$AU$7:$AU$107</c:f>
              <c:numCache>
                <c:formatCode>0.0000</c:formatCode>
                <c:ptCount val="101"/>
              </c:numCache>
            </c:numRef>
          </c:val>
          <c:smooth val="0"/>
        </c:ser>
        <c:ser>
          <c:idx val="69"/>
          <c:order val="35"/>
          <c:tx>
            <c:strRef>
              <c:f>'Wheat (All)'!$AV$6</c:f>
              <c:strCache>
                <c:ptCount val="1"/>
                <c:pt idx="0">
                  <c:v>Trebizond (Persia), Exports, in d/bushel</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(All)'!$AV$7:$AV$107</c:f>
              <c:numCache>
                <c:formatCode>0.0000</c:formatCode>
                <c:ptCount val="101"/>
              </c:numCache>
            </c:numRef>
          </c:val>
          <c:smooth val="0"/>
        </c:ser>
        <c:ser>
          <c:idx val="71"/>
          <c:order val="36"/>
          <c:tx>
            <c:strRef>
              <c:f>'Wheat (All)'!$AW$6</c:f>
              <c:strCache>
                <c:ptCount val="1"/>
                <c:pt idx="0">
                  <c:v>Trebizond (Persia), Bazaar (Local), in d/bushel</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(All)'!$AW$7:$AW$107</c:f>
              <c:numCache>
                <c:formatCode>0.0000</c:formatCode>
                <c:ptCount val="101"/>
              </c:numCache>
            </c:numRef>
          </c:val>
          <c:smooth val="0"/>
        </c:ser>
        <c:ser>
          <c:idx val="73"/>
          <c:order val="37"/>
          <c:tx>
            <c:strRef>
              <c:f>'Wheat (All)'!$AX$6</c:f>
              <c:strCache>
                <c:ptCount val="1"/>
                <c:pt idx="0">
                  <c:v>Izmir, Imports, in d/bushel</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(All)'!$AX$7:$AX$107</c:f>
              <c:numCache>
                <c:formatCode>0.0000</c:formatCode>
                <c:ptCount val="101"/>
              </c:numCache>
            </c:numRef>
          </c:val>
          <c:smooth val="0"/>
        </c:ser>
        <c:ser>
          <c:idx val="75"/>
          <c:order val="38"/>
          <c:tx>
            <c:strRef>
              <c:f>'Wheat (All)'!$AY$6</c:f>
              <c:strCache>
                <c:ptCount val="1"/>
                <c:pt idx="0">
                  <c:v>Izmir, Exports, in d/bushel</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(All)'!$AY$7:$AY$107</c:f>
              <c:numCache>
                <c:formatCode>0.0000</c:formatCode>
                <c:ptCount val="101"/>
                <c:pt idx="49" formatCode="_(* #,##0.0000_);_(* \(#,##0.0000\);_(* &quot;-&quot;??_);_(@_)">
                  <c:v>58.831988913438529</c:v>
                </c:pt>
                <c:pt idx="50" formatCode="_(* #,##0.0000_);_(* \(#,##0.0000\);_(* &quot;-&quot;??_);_(@_)">
                  <c:v>72.949870247768914</c:v>
                </c:pt>
                <c:pt idx="51" formatCode="_(* #,##0.0000_);_(* \(#,##0.0000\);_(* &quot;-&quot;??_);_(@_)">
                  <c:v>58.831988913438529</c:v>
                </c:pt>
                <c:pt idx="52" formatCode="_(* #,##0.0000_);_(* \(#,##0.0000\);_(* &quot;-&quot;??_);_(@_)">
                  <c:v>58.831988913438529</c:v>
                </c:pt>
                <c:pt idx="54" formatCode="_(* #,##0.0000_);_(* \(#,##0.0000\);_(* &quot;-&quot;??_);_(@_)">
                  <c:v>58.831988913438529</c:v>
                </c:pt>
                <c:pt idx="61" formatCode="_(* #,##0.0000_);_(* \(#,##0.0000\);_(* &quot;-&quot;??_);_(@_)">
                  <c:v>22.678826166700631</c:v>
                </c:pt>
                <c:pt idx="67" formatCode="_(* #,##0.0000_);_(* \(#,##0.0000\);_(* &quot;-&quot;??_);_(@_)">
                  <c:v>7.5348999534667298</c:v>
                </c:pt>
              </c:numCache>
            </c:numRef>
          </c:val>
          <c:smooth val="0"/>
        </c:ser>
        <c:ser>
          <c:idx val="77"/>
          <c:order val="39"/>
          <c:tx>
            <c:strRef>
              <c:f>'Wheat (All)'!$AZ$6</c:f>
              <c:strCache>
                <c:ptCount val="1"/>
                <c:pt idx="0">
                  <c:v>Izmir, Bazaar (Local), in d/bushel</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(All)'!$AZ$7:$AZ$107</c:f>
              <c:numCache>
                <c:formatCode>0.0000</c:formatCode>
                <c:ptCount val="101"/>
              </c:numCache>
            </c:numRef>
          </c:val>
          <c:smooth val="0"/>
        </c:ser>
        <c:ser>
          <c:idx val="79"/>
          <c:order val="40"/>
          <c:tx>
            <c:strRef>
              <c:f>'Wheat (All)'!$BA$6</c:f>
              <c:strCache>
                <c:ptCount val="1"/>
                <c:pt idx="0">
                  <c:v>Alexandretta, Imports, in d/bushel</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(All)'!$BA$7:$BA$107</c:f>
              <c:numCache>
                <c:formatCode>0.0000</c:formatCode>
                <c:ptCount val="101"/>
                <c:pt idx="40" formatCode="_(* #,##0.0000_);_(* \(#,##0.0000\);_(* &quot;-&quot;??_);_(@_)">
                  <c:v>63.080540858318656</c:v>
                </c:pt>
              </c:numCache>
            </c:numRef>
          </c:val>
          <c:smooth val="0"/>
        </c:ser>
        <c:ser>
          <c:idx val="81"/>
          <c:order val="41"/>
          <c:tx>
            <c:strRef>
              <c:f>'Wheat (All)'!$BB$6</c:f>
              <c:strCache>
                <c:ptCount val="1"/>
                <c:pt idx="0">
                  <c:v>Alexandretta, Exports, in d/bushel</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(All)'!$BB$7:$BB$107</c:f>
              <c:numCache>
                <c:formatCode>0.0000</c:formatCode>
                <c:ptCount val="101"/>
                <c:pt idx="38">
                  <c:v>64.816864855354282</c:v>
                </c:pt>
                <c:pt idx="39">
                  <c:v>64.285714285714207</c:v>
                </c:pt>
                <c:pt idx="40">
                  <c:v>58.731167180976549</c:v>
                </c:pt>
                <c:pt idx="41">
                  <c:v>51.42857142857136</c:v>
                </c:pt>
                <c:pt idx="42">
                  <c:v>51.42857142857136</c:v>
                </c:pt>
                <c:pt idx="43">
                  <c:v>51.430959811476967</c:v>
                </c:pt>
                <c:pt idx="45">
                  <c:v>48.821043389941345</c:v>
                </c:pt>
                <c:pt idx="46">
                  <c:v>48.9197641340592</c:v>
                </c:pt>
                <c:pt idx="47">
                  <c:v>50.808964091965841</c:v>
                </c:pt>
                <c:pt idx="48">
                  <c:v>46.215744836076766</c:v>
                </c:pt>
                <c:pt idx="49">
                  <c:v>44.325220600957302</c:v>
                </c:pt>
                <c:pt idx="50">
                  <c:v>36.886106198919784</c:v>
                </c:pt>
                <c:pt idx="51">
                  <c:v>37.261709361627233</c:v>
                </c:pt>
                <c:pt idx="52">
                  <c:v>32.726697595951045</c:v>
                </c:pt>
                <c:pt idx="53">
                  <c:v>27.811493018259938</c:v>
                </c:pt>
                <c:pt idx="54">
                  <c:v>31.58718330849473</c:v>
                </c:pt>
                <c:pt idx="55">
                  <c:v>31.922474472092759</c:v>
                </c:pt>
                <c:pt idx="56">
                  <c:v>35.664391878599567</c:v>
                </c:pt>
                <c:pt idx="57">
                  <c:v>30.997105660355977</c:v>
                </c:pt>
                <c:pt idx="58">
                  <c:v>31.422996752144979</c:v>
                </c:pt>
                <c:pt idx="59">
                  <c:v>28.909653096096964</c:v>
                </c:pt>
                <c:pt idx="60">
                  <c:v>30.976555455365141</c:v>
                </c:pt>
                <c:pt idx="61">
                  <c:v>31.827580314422395</c:v>
                </c:pt>
                <c:pt idx="62">
                  <c:v>29.398170208710532</c:v>
                </c:pt>
                <c:pt idx="63">
                  <c:v>28.813684834123197</c:v>
                </c:pt>
                <c:pt idx="64">
                  <c:v>29.455160320641273</c:v>
                </c:pt>
                <c:pt idx="65">
                  <c:v>32.281322474023455</c:v>
                </c:pt>
                <c:pt idx="66">
                  <c:v>31.624464032682493</c:v>
                </c:pt>
                <c:pt idx="67">
                  <c:v>36.48818125516101</c:v>
                </c:pt>
                <c:pt idx="68">
                  <c:v>37.425654242664493</c:v>
                </c:pt>
                <c:pt idx="69">
                  <c:v>38.657950394154938</c:v>
                </c:pt>
                <c:pt idx="70">
                  <c:v>41.781035558328107</c:v>
                </c:pt>
                <c:pt idx="71">
                  <c:v>45.565314063368525</c:v>
                </c:pt>
                <c:pt idx="72">
                  <c:v>37.635048231511242</c:v>
                </c:pt>
                <c:pt idx="73">
                  <c:v>39.455036994877645</c:v>
                </c:pt>
              </c:numCache>
            </c:numRef>
          </c:val>
          <c:smooth val="0"/>
        </c:ser>
        <c:ser>
          <c:idx val="83"/>
          <c:order val="42"/>
          <c:tx>
            <c:strRef>
              <c:f>'Wheat (All)'!$BC$6</c:f>
              <c:strCache>
                <c:ptCount val="1"/>
                <c:pt idx="0">
                  <c:v>Alexandretta, Bazaar (Local), in d/bushel</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(All)'!$BC$7:$BC$107</c:f>
              <c:numCache>
                <c:formatCode>0.0000</c:formatCode>
                <c:ptCount val="101"/>
              </c:numCache>
            </c:numRef>
          </c:val>
          <c:smooth val="0"/>
        </c:ser>
        <c:ser>
          <c:idx val="85"/>
          <c:order val="43"/>
          <c:tx>
            <c:strRef>
              <c:f>'Wheat (All)'!$BD$6</c:f>
              <c:strCache>
                <c:ptCount val="1"/>
                <c:pt idx="0">
                  <c:v>Ispahan, Imports, in d/bushel</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(All)'!$BD$7:$BD$107</c:f>
              <c:numCache>
                <c:formatCode>0.0000</c:formatCode>
                <c:ptCount val="101"/>
              </c:numCache>
            </c:numRef>
          </c:val>
          <c:smooth val="0"/>
        </c:ser>
        <c:ser>
          <c:idx val="87"/>
          <c:order val="44"/>
          <c:tx>
            <c:strRef>
              <c:f>'Wheat (All)'!$BE$6</c:f>
              <c:strCache>
                <c:ptCount val="1"/>
                <c:pt idx="0">
                  <c:v>Ispahan, Exports, in d/bushel</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(All)'!$BE$7:$BE$107</c:f>
              <c:numCache>
                <c:formatCode>0.0000</c:formatCode>
                <c:ptCount val="101"/>
              </c:numCache>
            </c:numRef>
          </c:val>
          <c:smooth val="0"/>
        </c:ser>
        <c:ser>
          <c:idx val="89"/>
          <c:order val="45"/>
          <c:tx>
            <c:strRef>
              <c:f>'Wheat (All)'!$BF$6</c:f>
              <c:strCache>
                <c:ptCount val="1"/>
                <c:pt idx="0">
                  <c:v>Ispahan, Bazaar (Local), in d/bushel</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(All)'!$BF$7:$BF$107</c:f>
              <c:numCache>
                <c:formatCode>0.0000</c:formatCode>
                <c:ptCount val="101"/>
              </c:numCache>
            </c:numRef>
          </c:val>
          <c:smooth val="0"/>
        </c:ser>
        <c:ser>
          <c:idx val="91"/>
          <c:order val="46"/>
          <c:tx>
            <c:strRef>
              <c:f>'Wheat (All)'!$BG$6</c:f>
              <c:strCache>
                <c:ptCount val="1"/>
                <c:pt idx="0">
                  <c:v>Yezd, Imports, in d/bushel</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(All)'!$BG$7:$BG$107</c:f>
              <c:numCache>
                <c:formatCode>0.0000</c:formatCode>
                <c:ptCount val="101"/>
              </c:numCache>
            </c:numRef>
          </c:val>
          <c:smooth val="0"/>
        </c:ser>
        <c:ser>
          <c:idx val="93"/>
          <c:order val="47"/>
          <c:tx>
            <c:strRef>
              <c:f>'Wheat (All)'!$BH$6</c:f>
              <c:strCache>
                <c:ptCount val="1"/>
                <c:pt idx="0">
                  <c:v>Yezd, Exports, in d/bushel</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(All)'!$BH$7:$BH$107</c:f>
              <c:numCache>
                <c:formatCode>0.0000</c:formatCode>
                <c:ptCount val="101"/>
              </c:numCache>
            </c:numRef>
          </c:val>
          <c:smooth val="0"/>
        </c:ser>
        <c:ser>
          <c:idx val="95"/>
          <c:order val="48"/>
          <c:tx>
            <c:strRef>
              <c:f>'Wheat (All)'!$BI$6</c:f>
              <c:strCache>
                <c:ptCount val="1"/>
                <c:pt idx="0">
                  <c:v>Yezd, Bazaar (Local), in d/bushel</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(All)'!$BI$7:$BI$107</c:f>
              <c:numCache>
                <c:formatCode>0.0000</c:formatCode>
                <c:ptCount val="101"/>
              </c:numCache>
            </c:numRef>
          </c:val>
          <c:smooth val="0"/>
        </c:ser>
        <c:ser>
          <c:idx val="97"/>
          <c:order val="49"/>
          <c:tx>
            <c:strRef>
              <c:f>'Wheat (All)'!$BJ$6</c:f>
              <c:strCache>
                <c:ptCount val="1"/>
                <c:pt idx="0">
                  <c:v>Khorasan, Imports, in d/bushel</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(All)'!$BJ$7:$BJ$107</c:f>
              <c:numCache>
                <c:formatCode>0.0000</c:formatCode>
                <c:ptCount val="101"/>
                <c:pt idx="62">
                  <c:v>130.64224766611505</c:v>
                </c:pt>
                <c:pt idx="63">
                  <c:v>67.823154303878454</c:v>
                </c:pt>
                <c:pt idx="64">
                  <c:v>39.219942308341395</c:v>
                </c:pt>
                <c:pt idx="65">
                  <c:v>50.855782229486636</c:v>
                </c:pt>
                <c:pt idx="66">
                  <c:v>56.969658296908413</c:v>
                </c:pt>
                <c:pt idx="67">
                  <c:v>153.37278106508882</c:v>
                </c:pt>
                <c:pt idx="68">
                  <c:v>266.6666666666664</c:v>
                </c:pt>
                <c:pt idx="69">
                  <c:v>272.34042553191455</c:v>
                </c:pt>
                <c:pt idx="70">
                  <c:v>399.19977136324655</c:v>
                </c:pt>
                <c:pt idx="71">
                  <c:v>66.848505206583738</c:v>
                </c:pt>
                <c:pt idx="72">
                  <c:v>47.556476829568219</c:v>
                </c:pt>
              </c:numCache>
            </c:numRef>
          </c:val>
          <c:smooth val="0"/>
        </c:ser>
        <c:ser>
          <c:idx val="99"/>
          <c:order val="50"/>
          <c:tx>
            <c:strRef>
              <c:f>'Wheat (All)'!$BK$6</c:f>
              <c:strCache>
                <c:ptCount val="1"/>
                <c:pt idx="0">
                  <c:v>Khorasan, Exports, in d/bushel</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(All)'!$BK$7:$BK$107</c:f>
              <c:numCache>
                <c:formatCode>0.0000</c:formatCode>
                <c:ptCount val="101"/>
                <c:pt idx="62">
                  <c:v>30.209790209790242</c:v>
                </c:pt>
                <c:pt idx="63">
                  <c:v>70.349168290124453</c:v>
                </c:pt>
                <c:pt idx="68">
                  <c:v>22.613384347862688</c:v>
                </c:pt>
                <c:pt idx="69">
                  <c:v>27.382621840807246</c:v>
                </c:pt>
                <c:pt idx="70">
                  <c:v>43.488228801705411</c:v>
                </c:pt>
                <c:pt idx="71">
                  <c:v>5.0954208966412988</c:v>
                </c:pt>
                <c:pt idx="72">
                  <c:v>48.180682739923917</c:v>
                </c:pt>
              </c:numCache>
            </c:numRef>
          </c:val>
          <c:smooth val="0"/>
        </c:ser>
        <c:ser>
          <c:idx val="101"/>
          <c:order val="51"/>
          <c:tx>
            <c:strRef>
              <c:f>'Wheat (All)'!$BL$6</c:f>
              <c:strCache>
                <c:ptCount val="1"/>
                <c:pt idx="0">
                  <c:v>Khorasan, Bazaar (Local), in d/bushel</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(All)'!$BL$7:$BL$107</c:f>
              <c:numCache>
                <c:formatCode>0.0000</c:formatCode>
                <c:ptCount val="101"/>
                <c:pt idx="49">
                  <c:v>24.642886449424608</c:v>
                </c:pt>
              </c:numCache>
            </c:numRef>
          </c:val>
          <c:smooth val="0"/>
        </c:ser>
        <c:ser>
          <c:idx val="103"/>
          <c:order val="52"/>
          <c:tx>
            <c:strRef>
              <c:f>'Wheat (All)'!$BM$6</c:f>
              <c:strCache>
                <c:ptCount val="1"/>
                <c:pt idx="0">
                  <c:v>Kermanshah, Imports, in d/bushel</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(All)'!$BM$7:$BM$107</c:f>
              <c:numCache>
                <c:formatCode>0.0000</c:formatCode>
                <c:ptCount val="101"/>
                <c:pt idx="63">
                  <c:v>39.289940828402401</c:v>
                </c:pt>
                <c:pt idx="64">
                  <c:v>66.993346649614111</c:v>
                </c:pt>
              </c:numCache>
            </c:numRef>
          </c:val>
          <c:smooth val="0"/>
        </c:ser>
        <c:ser>
          <c:idx val="105"/>
          <c:order val="53"/>
          <c:tx>
            <c:strRef>
              <c:f>'Wheat (All)'!$BN$6</c:f>
              <c:strCache>
                <c:ptCount val="1"/>
                <c:pt idx="0">
                  <c:v>Kermanshah, Exports, in d/bushel</c:v>
                </c:pt>
              </c:strCache>
            </c:strRef>
          </c:tx>
          <c:spPr>
            <a:ln w="28575" cap="rnd">
              <a:solidFill>
                <a:schemeClr val="accent4">
                  <a:lumMod val="50000"/>
                  <a:lumOff val="50000"/>
                </a:schemeClr>
              </a:solidFill>
              <a:round/>
            </a:ln>
            <a:effectLst/>
          </c:spPr>
          <c:marker>
            <c:symbol val="circle"/>
            <c:size val="5"/>
            <c:spPr>
              <a:solidFill>
                <a:schemeClr val="accent4">
                  <a:lumMod val="50000"/>
                  <a:lumOff val="50000"/>
                </a:schemeClr>
              </a:solidFill>
              <a:ln w="9525">
                <a:solidFill>
                  <a:schemeClr val="accent4">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(All)'!$BN$7:$BN$107</c:f>
              <c:numCache>
                <c:formatCode>0.0000</c:formatCode>
                <c:ptCount val="101"/>
                <c:pt idx="68">
                  <c:v>21.790834887346712</c:v>
                </c:pt>
                <c:pt idx="69">
                  <c:v>22.71182971756037</c:v>
                </c:pt>
                <c:pt idx="70">
                  <c:v>19.293370385073427</c:v>
                </c:pt>
                <c:pt idx="71">
                  <c:v>32.977736549165051</c:v>
                </c:pt>
                <c:pt idx="72">
                  <c:v>140.66478076379011</c:v>
                </c:pt>
              </c:numCache>
            </c:numRef>
          </c:val>
          <c:smooth val="0"/>
        </c:ser>
        <c:ser>
          <c:idx val="107"/>
          <c:order val="54"/>
          <c:tx>
            <c:strRef>
              <c:f>'Wheat (All)'!$BO$6</c:f>
              <c:strCache>
                <c:ptCount val="1"/>
                <c:pt idx="0">
                  <c:v>Kermanshah, Bazaar (Local), in d/bushel</c:v>
                </c:pt>
              </c:strCache>
            </c:strRef>
          </c:tx>
          <c:spPr>
            <a:ln w="28575" cap="rnd">
              <a:solidFill>
                <a:schemeClr val="accent6">
                  <a:lumMod val="50000"/>
                  <a:lumOff val="50000"/>
                </a:schemeClr>
              </a:solidFill>
              <a:round/>
            </a:ln>
            <a:effectLst/>
          </c:spPr>
          <c:marker>
            <c:symbol val="circle"/>
            <c:size val="5"/>
            <c:spPr>
              <a:solidFill>
                <a:schemeClr val="accent6">
                  <a:lumMod val="50000"/>
                  <a:lumOff val="50000"/>
                </a:schemeClr>
              </a:solidFill>
              <a:ln w="9525">
                <a:solidFill>
                  <a:schemeClr val="accent6">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(All)'!$BO$7:$BO$107</c:f>
              <c:numCache>
                <c:formatCode>0.0000</c:formatCode>
                <c:ptCount val="101"/>
                <c:pt idx="62">
                  <c:v>5.4412955465587061</c:v>
                </c:pt>
                <c:pt idx="64">
                  <c:v>25.590251332825581</c:v>
                </c:pt>
              </c:numCache>
            </c:numRef>
          </c:val>
          <c:smooth val="0"/>
        </c:ser>
        <c:ser>
          <c:idx val="109"/>
          <c:order val="55"/>
          <c:tx>
            <c:strRef>
              <c:f>'Wheat (All)'!$BP$6</c:f>
              <c:strCache>
                <c:ptCount val="1"/>
                <c:pt idx="0">
                  <c:v>Kerman, Imports, in d/bushel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(All)'!$BP$7:$BP$107</c:f>
              <c:numCache>
                <c:formatCode>0.0000</c:formatCode>
                <c:ptCount val="101"/>
              </c:numCache>
            </c:numRef>
          </c:val>
          <c:smooth val="0"/>
        </c:ser>
        <c:ser>
          <c:idx val="111"/>
          <c:order val="56"/>
          <c:tx>
            <c:strRef>
              <c:f>'Wheat (All)'!$BQ$6</c:f>
              <c:strCache>
                <c:ptCount val="1"/>
                <c:pt idx="0">
                  <c:v>Kerman, Exports, in d/bushel</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(All)'!$BQ$7:$BQ$107</c:f>
              <c:numCache>
                <c:formatCode>0.0000</c:formatCode>
                <c:ptCount val="101"/>
              </c:numCache>
            </c:numRef>
          </c:val>
          <c:smooth val="0"/>
        </c:ser>
        <c:ser>
          <c:idx val="113"/>
          <c:order val="57"/>
          <c:tx>
            <c:strRef>
              <c:f>'Wheat (All)'!$BR$6</c:f>
              <c:strCache>
                <c:ptCount val="1"/>
                <c:pt idx="0">
                  <c:v>Kerman, Bazaar (Local), in d/bushel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(All)'!$BR$7:$BR$107</c:f>
              <c:numCache>
                <c:formatCode>0.0000</c:formatCode>
                <c:ptCount val="101"/>
                <c:pt idx="70">
                  <c:v>67.467057101024821</c:v>
                </c:pt>
                <c:pt idx="71">
                  <c:v>65.358711566617814</c:v>
                </c:pt>
                <c:pt idx="72">
                  <c:v>63.053324393481219</c:v>
                </c:pt>
              </c:numCache>
            </c:numRef>
          </c:val>
          <c:smooth val="0"/>
        </c:ser>
        <c:ser>
          <c:idx val="115"/>
          <c:order val="58"/>
          <c:tx>
            <c:strRef>
              <c:f>'Wheat (All)'!$BS$6</c:f>
              <c:strCache>
                <c:ptCount val="1"/>
                <c:pt idx="0">
                  <c:v>Bam, Imports, in d/bushel</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(All)'!$BS$7:$BS$107</c:f>
              <c:numCache>
                <c:formatCode>0.0000</c:formatCode>
                <c:ptCount val="101"/>
              </c:numCache>
            </c:numRef>
          </c:val>
          <c:smooth val="0"/>
        </c:ser>
        <c:ser>
          <c:idx val="117"/>
          <c:order val="59"/>
          <c:tx>
            <c:strRef>
              <c:f>'Wheat (All)'!$BT$6</c:f>
              <c:strCache>
                <c:ptCount val="1"/>
                <c:pt idx="0">
                  <c:v>Bam, Exports, in d/bushel</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(All)'!$BT$7:$BT$107</c:f>
              <c:numCache>
                <c:formatCode>0.0000</c:formatCode>
                <c:ptCount val="101"/>
                <c:pt idx="70">
                  <c:v>34.568642160540143</c:v>
                </c:pt>
                <c:pt idx="71">
                  <c:v>36.729182295573843</c:v>
                </c:pt>
                <c:pt idx="72">
                  <c:v>51.852963240810141</c:v>
                </c:pt>
              </c:numCache>
            </c:numRef>
          </c:val>
          <c:smooth val="0"/>
        </c:ser>
        <c:ser>
          <c:idx val="119"/>
          <c:order val="60"/>
          <c:tx>
            <c:strRef>
              <c:f>'Wheat (All)'!$BU$6</c:f>
              <c:strCache>
                <c:ptCount val="1"/>
                <c:pt idx="0">
                  <c:v>Bam, Bazaar (Local), in d/bushel</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(All)'!$BU$7:$BU$107</c:f>
              <c:numCache>
                <c:formatCode>0.0000</c:formatCode>
                <c:ptCount val="101"/>
              </c:numCache>
            </c:numRef>
          </c:val>
          <c:smooth val="0"/>
        </c:ser>
        <c:ser>
          <c:idx val="121"/>
          <c:order val="61"/>
          <c:tx>
            <c:strRef>
              <c:f>'Wheat (All)'!$BV$6</c:f>
              <c:strCache>
                <c:ptCount val="1"/>
                <c:pt idx="0">
                  <c:v>Resht, Imports, in d/bushel</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(All)'!$BV$7:$BV$107</c:f>
              <c:numCache>
                <c:formatCode>0.0000</c:formatCode>
                <c:ptCount val="101"/>
                <c:pt idx="53">
                  <c:v>17.367010231434339</c:v>
                </c:pt>
              </c:numCache>
            </c:numRef>
          </c:val>
          <c:smooth val="0"/>
        </c:ser>
        <c:ser>
          <c:idx val="123"/>
          <c:order val="62"/>
          <c:tx>
            <c:strRef>
              <c:f>'Wheat (All)'!$BW$6</c:f>
              <c:strCache>
                <c:ptCount val="1"/>
                <c:pt idx="0">
                  <c:v>Resht, Exports, in d/bushel</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(All)'!$BW$7:$BW$107</c:f>
              <c:numCache>
                <c:formatCode>0.0000</c:formatCode>
                <c:ptCount val="101"/>
                <c:pt idx="33">
                  <c:v>37.661538461538527</c:v>
                </c:pt>
                <c:pt idx="34">
                  <c:v>37.677841373671342</c:v>
                </c:pt>
                <c:pt idx="35">
                  <c:v>43.482352941176394</c:v>
                </c:pt>
                <c:pt idx="53">
                  <c:v>25.062656641604065</c:v>
                </c:pt>
              </c:numCache>
            </c:numRef>
          </c:val>
          <c:smooth val="0"/>
        </c:ser>
        <c:ser>
          <c:idx val="125"/>
          <c:order val="63"/>
          <c:tx>
            <c:strRef>
              <c:f>'Wheat (All)'!$BX$6</c:f>
              <c:strCache>
                <c:ptCount val="1"/>
                <c:pt idx="0">
                  <c:v>Resht, Bazaar (Local), in d/bushel</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(All)'!$BX$7:$BX$107</c:f>
              <c:numCache>
                <c:formatCode>0.0000</c:formatCode>
                <c:ptCount val="101"/>
                <c:pt idx="34">
                  <c:v>36.14117647058827</c:v>
                </c:pt>
                <c:pt idx="52">
                  <c:v>30.58823529411768</c:v>
                </c:pt>
              </c:numCache>
            </c:numRef>
          </c:val>
          <c:smooth val="0"/>
        </c:ser>
        <c:ser>
          <c:idx val="127"/>
          <c:order val="64"/>
          <c:tx>
            <c:strRef>
              <c:f>'Wheat (All)'!$BY$6</c:f>
              <c:strCache>
                <c:ptCount val="1"/>
                <c:pt idx="0">
                  <c:v>Mazandaran, Imports, in d/bushel</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(All)'!$BY$7:$BY$107</c:f>
              <c:numCache>
                <c:formatCode>0.0000</c:formatCode>
                <c:ptCount val="101"/>
              </c:numCache>
            </c:numRef>
          </c:val>
          <c:smooth val="0"/>
        </c:ser>
        <c:ser>
          <c:idx val="129"/>
          <c:order val="65"/>
          <c:tx>
            <c:strRef>
              <c:f>'Wheat (All)'!$BZ$6</c:f>
              <c:strCache>
                <c:ptCount val="1"/>
                <c:pt idx="0">
                  <c:v>Mazandaran, Exports, in d/bushel</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(All)'!$BZ$7:$BZ$107</c:f>
              <c:numCache>
                <c:formatCode>0.0000</c:formatCode>
                <c:ptCount val="101"/>
              </c:numCache>
            </c:numRef>
          </c:val>
          <c:smooth val="0"/>
        </c:ser>
        <c:ser>
          <c:idx val="131"/>
          <c:order val="66"/>
          <c:tx>
            <c:strRef>
              <c:f>'Wheat (All)'!$CA$6</c:f>
              <c:strCache>
                <c:ptCount val="1"/>
                <c:pt idx="0">
                  <c:v>Mazandaran, Bazaar (Local), in d/bushel</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(All)'!$CA$7:$CA$107</c:f>
              <c:numCache>
                <c:formatCode>0.0000</c:formatCode>
                <c:ptCount val="101"/>
              </c:numCache>
            </c:numRef>
          </c:val>
          <c:smooth val="0"/>
        </c:ser>
        <c:ser>
          <c:idx val="133"/>
          <c:order val="67"/>
          <c:tx>
            <c:strRef>
              <c:f>'Wheat (All)'!$CB$6</c:f>
              <c:strCache>
                <c:ptCount val="1"/>
                <c:pt idx="0">
                  <c:v>Ghilan &amp; Tunekabun, Imports, in d/bushel</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(All)'!$CB$7:$CB$107</c:f>
              <c:numCache>
                <c:formatCode>0.0000</c:formatCode>
                <c:ptCount val="101"/>
                <c:pt idx="66">
                  <c:v>47.522110982193077</c:v>
                </c:pt>
                <c:pt idx="67">
                  <c:v>49.207412509594995</c:v>
                </c:pt>
                <c:pt idx="68">
                  <c:v>48.768348473650221</c:v>
                </c:pt>
                <c:pt idx="69">
                  <c:v>44.891020317656299</c:v>
                </c:pt>
                <c:pt idx="70">
                  <c:v>44.590135843575361</c:v>
                </c:pt>
              </c:numCache>
            </c:numRef>
          </c:val>
          <c:smooth val="0"/>
        </c:ser>
        <c:ser>
          <c:idx val="135"/>
          <c:order val="68"/>
          <c:tx>
            <c:strRef>
              <c:f>'Wheat (All)'!$CC$6</c:f>
              <c:strCache>
                <c:ptCount val="1"/>
                <c:pt idx="0">
                  <c:v>Ghilan &amp; Tunekabun, Exports, in d/bushel</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(All)'!$CC$7:$CC$107</c:f>
              <c:numCache>
                <c:formatCode>0.0000</c:formatCode>
                <c:ptCount val="101"/>
              </c:numCache>
            </c:numRef>
          </c:val>
          <c:smooth val="0"/>
        </c:ser>
        <c:ser>
          <c:idx val="137"/>
          <c:order val="69"/>
          <c:tx>
            <c:strRef>
              <c:f>'Wheat (All)'!$CD$6</c:f>
              <c:strCache>
                <c:ptCount val="1"/>
                <c:pt idx="0">
                  <c:v>Ghilan &amp; Tunekabun, Bazaar (Local), in d/bushel</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(All)'!$CD$7:$CD$107</c:f>
              <c:numCache>
                <c:formatCode>0.0000</c:formatCode>
                <c:ptCount val="101"/>
                <c:pt idx="35">
                  <c:v>27.321428571428594</c:v>
                </c:pt>
                <c:pt idx="36">
                  <c:v>29.99999999999995</c:v>
                </c:pt>
              </c:numCache>
            </c:numRef>
          </c:val>
          <c:smooth val="0"/>
        </c:ser>
        <c:ser>
          <c:idx val="139"/>
          <c:order val="70"/>
          <c:tx>
            <c:strRef>
              <c:f>'Wheat (All)'!$CE$6</c:f>
              <c:strCache>
                <c:ptCount val="1"/>
                <c:pt idx="0">
                  <c:v>Bender Gez &amp; Astarabad, Imports, in d/bushel</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(All)'!$CE$7:$CE$107</c:f>
              <c:numCache>
                <c:formatCode>0.0000</c:formatCode>
                <c:ptCount val="101"/>
              </c:numCache>
            </c:numRef>
          </c:val>
          <c:smooth val="0"/>
        </c:ser>
        <c:ser>
          <c:idx val="141"/>
          <c:order val="71"/>
          <c:tx>
            <c:strRef>
              <c:f>'Wheat (All)'!$CF$6</c:f>
              <c:strCache>
                <c:ptCount val="1"/>
                <c:pt idx="0">
                  <c:v>Bender Gez &amp; Astarabad, Exports, in d/bushel</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(All)'!$CF$7:$CF$107</c:f>
              <c:numCache>
                <c:formatCode>0.0000</c:formatCode>
                <c:ptCount val="101"/>
                <c:pt idx="66">
                  <c:v>22.207546809688321</c:v>
                </c:pt>
                <c:pt idx="67">
                  <c:v>26.899729148633185</c:v>
                </c:pt>
                <c:pt idx="68">
                  <c:v>51.328263573161571</c:v>
                </c:pt>
                <c:pt idx="69">
                  <c:v>21.028206735426529</c:v>
                </c:pt>
                <c:pt idx="70">
                  <c:v>24.799081515499442</c:v>
                </c:pt>
              </c:numCache>
            </c:numRef>
          </c:val>
          <c:smooth val="0"/>
        </c:ser>
        <c:ser>
          <c:idx val="143"/>
          <c:order val="72"/>
          <c:tx>
            <c:strRef>
              <c:f>'Wheat (All)'!$CG$6</c:f>
              <c:strCache>
                <c:ptCount val="1"/>
                <c:pt idx="0">
                  <c:v>Bender Gez &amp; Astarabad, Bazaar (Local), in d/bushel</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(All)'!$CG$7:$CG$107</c:f>
              <c:numCache>
                <c:formatCode>0.0000</c:formatCode>
                <c:ptCount val="101"/>
              </c:numCache>
            </c:numRef>
          </c:val>
          <c:smooth val="0"/>
        </c:ser>
        <c:ser>
          <c:idx val="145"/>
          <c:order val="73"/>
          <c:tx>
            <c:strRef>
              <c:f>'Wheat (All)'!$CH$6</c:f>
              <c:strCache>
                <c:ptCount val="1"/>
                <c:pt idx="0">
                  <c:v>Astara, Imports, in d/bushel</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(All)'!$CH$7:$CH$107</c:f>
              <c:numCache>
                <c:formatCode>0.0000</c:formatCode>
                <c:ptCount val="101"/>
              </c:numCache>
            </c:numRef>
          </c:val>
          <c:smooth val="0"/>
        </c:ser>
        <c:ser>
          <c:idx val="147"/>
          <c:order val="74"/>
          <c:tx>
            <c:strRef>
              <c:f>'Wheat (All)'!$CI$6</c:f>
              <c:strCache>
                <c:ptCount val="1"/>
                <c:pt idx="0">
                  <c:v>Astara, Exports, in d/bushel</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(All)'!$CI$7:$CI$107</c:f>
              <c:numCache>
                <c:formatCode>0.0000</c:formatCode>
                <c:ptCount val="101"/>
                <c:pt idx="68">
                  <c:v>40.804403562705744</c:v>
                </c:pt>
                <c:pt idx="69">
                  <c:v>28.646990231231086</c:v>
                </c:pt>
                <c:pt idx="70">
                  <c:v>19.684854036654624</c:v>
                </c:pt>
              </c:numCache>
            </c:numRef>
          </c:val>
          <c:smooth val="0"/>
        </c:ser>
        <c:ser>
          <c:idx val="149"/>
          <c:order val="75"/>
          <c:tx>
            <c:strRef>
              <c:f>'Wheat (All)'!$CJ$6</c:f>
              <c:strCache>
                <c:ptCount val="1"/>
                <c:pt idx="0">
                  <c:v>Astara, Bazaar (Local), in d/bushel</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(All)'!$CJ$7:$CJ$107</c:f>
              <c:numCache>
                <c:formatCode>0.0000</c:formatCode>
                <c:ptCount val="101"/>
              </c:numCache>
            </c:numRef>
          </c:val>
          <c:smooth val="0"/>
        </c:ser>
        <c:ser>
          <c:idx val="151"/>
          <c:order val="76"/>
          <c:tx>
            <c:strRef>
              <c:f>'Wheat (All)'!$CK$6</c:f>
              <c:strCache>
                <c:ptCount val="1"/>
                <c:pt idx="0">
                  <c:v>Sultanabad, Imports, in d/bushel</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(All)'!$CK$7:$CK$107</c:f>
              <c:numCache>
                <c:formatCode>0.0000</c:formatCode>
                <c:ptCount val="101"/>
                <c:pt idx="70">
                  <c:v>53.169230769230737</c:v>
                </c:pt>
                <c:pt idx="71">
                  <c:v>110.76923076923073</c:v>
                </c:pt>
                <c:pt idx="72">
                  <c:v>81.876923076923134</c:v>
                </c:pt>
              </c:numCache>
            </c:numRef>
          </c:val>
          <c:smooth val="0"/>
        </c:ser>
        <c:ser>
          <c:idx val="153"/>
          <c:order val="77"/>
          <c:tx>
            <c:strRef>
              <c:f>'Wheat (All)'!$CL$6</c:f>
              <c:strCache>
                <c:ptCount val="1"/>
                <c:pt idx="0">
                  <c:v>Sultanabad, Exports, in d/bushel</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(All)'!$CL$7:$CL$107</c:f>
              <c:numCache>
                <c:formatCode>0.0000</c:formatCode>
                <c:ptCount val="101"/>
              </c:numCache>
            </c:numRef>
          </c:val>
          <c:smooth val="0"/>
        </c:ser>
        <c:ser>
          <c:idx val="155"/>
          <c:order val="78"/>
          <c:tx>
            <c:strRef>
              <c:f>'Wheat (All)'!$CM$6</c:f>
              <c:strCache>
                <c:ptCount val="1"/>
                <c:pt idx="0">
                  <c:v>Sultanabad, Bazaar (Local), in d/bushel</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(All)'!$CM$7:$CM$107</c:f>
              <c:numCache>
                <c:formatCode>0.0000</c:formatCode>
                <c:ptCount val="101"/>
              </c:numCache>
            </c:numRef>
          </c:val>
          <c:smooth val="0"/>
        </c:ser>
        <c:ser>
          <c:idx val="156"/>
          <c:order val="79"/>
          <c:tx>
            <c:strRef>
              <c:f>'Wheat (All)'!$CN$6</c:f>
              <c:strCache>
                <c:ptCount val="1"/>
                <c:pt idx="0">
                  <c:v>Bahrain, Imports, in d/bushel</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(All)'!$CN$7:$CN$107</c:f>
              <c:numCache>
                <c:formatCode>0.0000</c:formatCode>
                <c:ptCount val="101"/>
                <c:pt idx="56">
                  <c:v>34.745559845559846</c:v>
                </c:pt>
                <c:pt idx="57">
                  <c:v>44.597642755537493</c:v>
                </c:pt>
                <c:pt idx="58">
                  <c:v>41.653442959917783</c:v>
                </c:pt>
                <c:pt idx="61">
                  <c:v>47.141560406310781</c:v>
                </c:pt>
                <c:pt idx="62">
                  <c:v>42.896981459727257</c:v>
                </c:pt>
                <c:pt idx="63">
                  <c:v>34.285714285714285</c:v>
                </c:pt>
                <c:pt idx="64">
                  <c:v>46.886884446611404</c:v>
                </c:pt>
                <c:pt idx="65">
                  <c:v>38.465873291186739</c:v>
                </c:pt>
                <c:pt idx="66">
                  <c:v>40.734513230623321</c:v>
                </c:pt>
                <c:pt idx="67">
                  <c:v>51.428571428571431</c:v>
                </c:pt>
                <c:pt idx="68">
                  <c:v>67.263423524463775</c:v>
                </c:pt>
                <c:pt idx="69">
                  <c:v>81.246992681135566</c:v>
                </c:pt>
                <c:pt idx="70">
                  <c:v>48.920507751534707</c:v>
                </c:pt>
                <c:pt idx="71">
                  <c:v>57.14236076640524</c:v>
                </c:pt>
                <c:pt idx="72">
                  <c:v>56.819805194805191</c:v>
                </c:pt>
                <c:pt idx="73">
                  <c:v>59.934513703613874</c:v>
                </c:pt>
              </c:numCache>
            </c:numRef>
          </c:val>
          <c:smooth val="0"/>
        </c:ser>
        <c:ser>
          <c:idx val="157"/>
          <c:order val="80"/>
          <c:tx>
            <c:strRef>
              <c:f>'Wheat (All)'!$CO$6</c:f>
              <c:strCache>
                <c:ptCount val="1"/>
                <c:pt idx="0">
                  <c:v>Bahrain, Exports, in d/bushel</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(All)'!$CO$7:$CO$107</c:f>
              <c:numCache>
                <c:formatCode>0.0000</c:formatCode>
                <c:ptCount val="101"/>
                <c:pt idx="56">
                  <c:v>37.811688311688307</c:v>
                </c:pt>
                <c:pt idx="57">
                  <c:v>52.246153846153845</c:v>
                </c:pt>
                <c:pt idx="58">
                  <c:v>44.193277310924373</c:v>
                </c:pt>
                <c:pt idx="64">
                  <c:v>52.922554767047217</c:v>
                </c:pt>
                <c:pt idx="65">
                  <c:v>40.712727272727271</c:v>
                </c:pt>
                <c:pt idx="66">
                  <c:v>42.857142857142854</c:v>
                </c:pt>
                <c:pt idx="67">
                  <c:v>51.428571428571431</c:v>
                </c:pt>
                <c:pt idx="68">
                  <c:v>64.846416382252556</c:v>
                </c:pt>
                <c:pt idx="69">
                  <c:v>66.623376623376615</c:v>
                </c:pt>
                <c:pt idx="70">
                  <c:v>67.881355932203377</c:v>
                </c:pt>
                <c:pt idx="71">
                  <c:v>38.543838136112811</c:v>
                </c:pt>
                <c:pt idx="72">
                  <c:v>42.264437689969611</c:v>
                </c:pt>
                <c:pt idx="73">
                  <c:v>39.489795918367356</c:v>
                </c:pt>
              </c:numCache>
            </c:numRef>
          </c:val>
          <c:smooth val="0"/>
        </c:ser>
        <c:ser>
          <c:idx val="158"/>
          <c:order val="81"/>
          <c:tx>
            <c:strRef>
              <c:f>'Wheat (All)'!$CP$6</c:f>
              <c:strCache>
                <c:ptCount val="1"/>
                <c:pt idx="0">
                  <c:v>Bahrain, Bazaar (Local), in d/bushel</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(All)'!$CP$7:$CP$107</c:f>
              <c:numCache>
                <c:formatCode>0.0000</c:formatCode>
                <c:ptCount val="101"/>
              </c:numCache>
            </c:numRef>
          </c:val>
          <c:smooth val="0"/>
        </c:ser>
        <c:ser>
          <c:idx val="160"/>
          <c:order val="82"/>
          <c:tx>
            <c:strRef>
              <c:f>'Wheat (All)'!$CQ$6</c:f>
              <c:strCache>
                <c:ptCount val="1"/>
                <c:pt idx="0">
                  <c:v>Muscat, Imports, in d/bushel</c:v>
                </c:pt>
              </c:strCache>
            </c:strRef>
          </c:tx>
          <c:spPr>
            <a:ln w="28575" cap="rnd">
              <a:solidFill>
                <a:schemeClr val="accent5">
                  <a:lumMod val="50000"/>
                  <a:lumOff val="50000"/>
                </a:schemeClr>
              </a:solidFill>
              <a:round/>
            </a:ln>
            <a:effectLst/>
          </c:spPr>
          <c:marker>
            <c:symbol val="circle"/>
            <c:size val="5"/>
            <c:spPr>
              <a:solidFill>
                <a:schemeClr val="accent5">
                  <a:lumMod val="50000"/>
                  <a:lumOff val="50000"/>
                </a:schemeClr>
              </a:solidFill>
              <a:ln w="9525">
                <a:solidFill>
                  <a:schemeClr val="accent5">
                    <a:lumMod val="50000"/>
                    <a:lumOff val="5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(All)'!$CQ$7:$CQ$107</c:f>
              <c:numCache>
                <c:formatCode>0.0000</c:formatCode>
                <c:ptCount val="101"/>
                <c:pt idx="34">
                  <c:v>42.341164703592888</c:v>
                </c:pt>
                <c:pt idx="35">
                  <c:v>33.939567286461134</c:v>
                </c:pt>
                <c:pt idx="36">
                  <c:v>27.980458891109294</c:v>
                </c:pt>
                <c:pt idx="37">
                  <c:v>51.840349219552238</c:v>
                </c:pt>
                <c:pt idx="38">
                  <c:v>49.712353128441762</c:v>
                </c:pt>
                <c:pt idx="39">
                  <c:v>48.471022075294023</c:v>
                </c:pt>
                <c:pt idx="40">
                  <c:v>34.154748671795609</c:v>
                </c:pt>
                <c:pt idx="41">
                  <c:v>39.147763339002985</c:v>
                </c:pt>
                <c:pt idx="42">
                  <c:v>32.53370442707314</c:v>
                </c:pt>
                <c:pt idx="43">
                  <c:v>35.26577398797312</c:v>
                </c:pt>
                <c:pt idx="44">
                  <c:v>33.862437798509568</c:v>
                </c:pt>
                <c:pt idx="45">
                  <c:v>29.946156591897381</c:v>
                </c:pt>
                <c:pt idx="46">
                  <c:v>36.299933321104284</c:v>
                </c:pt>
                <c:pt idx="47">
                  <c:v>34.377714629781678</c:v>
                </c:pt>
                <c:pt idx="48">
                  <c:v>30.488832884331252</c:v>
                </c:pt>
                <c:pt idx="49">
                  <c:v>31.919940390593311</c:v>
                </c:pt>
                <c:pt idx="50">
                  <c:v>41.007557182562607</c:v>
                </c:pt>
                <c:pt idx="51">
                  <c:v>35.460882574764554</c:v>
                </c:pt>
                <c:pt idx="52">
                  <c:v>37.271215008806529</c:v>
                </c:pt>
                <c:pt idx="53">
                  <c:v>30.291071585854237</c:v>
                </c:pt>
                <c:pt idx="54">
                  <c:v>25.207731474009552</c:v>
                </c:pt>
                <c:pt idx="55">
                  <c:v>25.969952296117928</c:v>
                </c:pt>
                <c:pt idx="56">
                  <c:v>26.841061807098811</c:v>
                </c:pt>
                <c:pt idx="57">
                  <c:v>41.789480199449265</c:v>
                </c:pt>
                <c:pt idx="58">
                  <c:v>38.457367629744979</c:v>
                </c:pt>
                <c:pt idx="59">
                  <c:v>52.092658831696063</c:v>
                </c:pt>
                <c:pt idx="60">
                  <c:v>27.44208647075391</c:v>
                </c:pt>
                <c:pt idx="61">
                  <c:v>30.430437807147555</c:v>
                </c:pt>
                <c:pt idx="62">
                  <c:v>17.923551406851342</c:v>
                </c:pt>
                <c:pt idx="63">
                  <c:v>22.50199998193127</c:v>
                </c:pt>
                <c:pt idx="64">
                  <c:v>29.844630768058714</c:v>
                </c:pt>
                <c:pt idx="65">
                  <c:v>35.454545454545482</c:v>
                </c:pt>
                <c:pt idx="66">
                  <c:v>32.914285714285711</c:v>
                </c:pt>
                <c:pt idx="67">
                  <c:v>33.75</c:v>
                </c:pt>
                <c:pt idx="68">
                  <c:v>38.626457614534665</c:v>
                </c:pt>
                <c:pt idx="69">
                  <c:v>39.730937773882495</c:v>
                </c:pt>
                <c:pt idx="70">
                  <c:v>48.400180261378964</c:v>
                </c:pt>
                <c:pt idx="71">
                  <c:v>32.10445468509981</c:v>
                </c:pt>
              </c:numCache>
            </c:numRef>
          </c:val>
          <c:smooth val="0"/>
        </c:ser>
        <c:ser>
          <c:idx val="162"/>
          <c:order val="83"/>
          <c:tx>
            <c:strRef>
              <c:f>'Wheat (All)'!$CR$6</c:f>
              <c:strCache>
                <c:ptCount val="1"/>
                <c:pt idx="0">
                  <c:v>Muscat, Exports, in d/bushel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(All)'!$CR$7:$CR$107</c:f>
              <c:numCache>
                <c:formatCode>0.0000</c:formatCode>
                <c:ptCount val="101"/>
                <c:pt idx="34">
                  <c:v>50.262882981378034</c:v>
                </c:pt>
                <c:pt idx="35">
                  <c:v>37.710630318290058</c:v>
                </c:pt>
                <c:pt idx="36">
                  <c:v>30.778504780220281</c:v>
                </c:pt>
                <c:pt idx="37">
                  <c:v>50.880342752523767</c:v>
                </c:pt>
                <c:pt idx="38">
                  <c:v>52.276879281893393</c:v>
                </c:pt>
                <c:pt idx="39">
                  <c:v>56.068662440270856</c:v>
                </c:pt>
                <c:pt idx="40">
                  <c:v>45.515471948751724</c:v>
                </c:pt>
                <c:pt idx="41">
                  <c:v>38.593262441849909</c:v>
                </c:pt>
                <c:pt idx="42">
                  <c:v>38.54659586090451</c:v>
                </c:pt>
                <c:pt idx="43">
                  <c:v>37.753263984832707</c:v>
                </c:pt>
                <c:pt idx="44">
                  <c:v>37.799930565778105</c:v>
                </c:pt>
                <c:pt idx="45">
                  <c:v>33.574012402388654</c:v>
                </c:pt>
                <c:pt idx="46">
                  <c:v>33.639654519794057</c:v>
                </c:pt>
                <c:pt idx="47">
                  <c:v>33.366605375964596</c:v>
                </c:pt>
                <c:pt idx="48">
                  <c:v>30.488832884331252</c:v>
                </c:pt>
                <c:pt idx="49">
                  <c:v>30.102537297616582</c:v>
                </c:pt>
                <c:pt idx="50">
                  <c:v>30.559943864819569</c:v>
                </c:pt>
                <c:pt idx="51">
                  <c:v>33.646604861636995</c:v>
                </c:pt>
                <c:pt idx="52">
                  <c:v>36.275488921561497</c:v>
                </c:pt>
                <c:pt idx="53">
                  <c:v>26.805284095040609</c:v>
                </c:pt>
                <c:pt idx="54">
                  <c:v>20.00613609048381</c:v>
                </c:pt>
                <c:pt idx="70">
                  <c:v>48.979591836734691</c:v>
                </c:pt>
                <c:pt idx="71">
                  <c:v>48.111483399329828</c:v>
                </c:pt>
              </c:numCache>
            </c:numRef>
          </c:val>
          <c:smooth val="0"/>
        </c:ser>
        <c:ser>
          <c:idx val="164"/>
          <c:order val="84"/>
          <c:tx>
            <c:strRef>
              <c:f>'Wheat (All)'!$CS$6</c:f>
              <c:strCache>
                <c:ptCount val="1"/>
                <c:pt idx="0">
                  <c:v>Muscat, Bazaar (Local), in d/bushel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(All)'!$CS$7:$CS$107</c:f>
              <c:numCache>
                <c:formatCode>0.0000</c:formatCode>
                <c:ptCount val="101"/>
              </c:numCache>
            </c:numRef>
          </c:val>
          <c:smooth val="0"/>
        </c:ser>
        <c:ser>
          <c:idx val="166"/>
          <c:order val="85"/>
          <c:tx>
            <c:strRef>
              <c:f>'Wheat (All)'!$CT$6</c:f>
              <c:strCache>
                <c:ptCount val="1"/>
                <c:pt idx="0">
                  <c:v>Mohammerah, Imports, in d/bushel</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(All)'!$CT$7:$CT$107</c:f>
              <c:numCache>
                <c:formatCode>0.0000</c:formatCode>
                <c:ptCount val="101"/>
                <c:pt idx="57">
                  <c:v>43.43643037290574</c:v>
                </c:pt>
                <c:pt idx="61">
                  <c:v>52.13463007580652</c:v>
                </c:pt>
                <c:pt idx="62">
                  <c:v>32.803282893049456</c:v>
                </c:pt>
              </c:numCache>
            </c:numRef>
          </c:val>
          <c:smooth val="0"/>
        </c:ser>
        <c:ser>
          <c:idx val="168"/>
          <c:order val="86"/>
          <c:tx>
            <c:strRef>
              <c:f>'Wheat (All)'!$CU$6</c:f>
              <c:strCache>
                <c:ptCount val="1"/>
                <c:pt idx="0">
                  <c:v>Mohammerah, Exports, in d/bushel</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(All)'!$CU$7:$CU$107</c:f>
              <c:numCache>
                <c:formatCode>0.0000</c:formatCode>
                <c:ptCount val="101"/>
                <c:pt idx="50">
                  <c:v>26.334405144694539</c:v>
                </c:pt>
                <c:pt idx="51">
                  <c:v>28.95226533789441</c:v>
                </c:pt>
                <c:pt idx="52">
                  <c:v>32.593392343814145</c:v>
                </c:pt>
                <c:pt idx="53">
                  <c:v>28.860405499883441</c:v>
                </c:pt>
                <c:pt idx="54">
                  <c:v>12.747438231266763</c:v>
                </c:pt>
                <c:pt idx="55">
                  <c:v>15.592681866502412</c:v>
                </c:pt>
                <c:pt idx="56">
                  <c:v>40.88681155709331</c:v>
                </c:pt>
                <c:pt idx="57">
                  <c:v>43.27192285092115</c:v>
                </c:pt>
                <c:pt idx="58">
                  <c:v>32.998160637645555</c:v>
                </c:pt>
                <c:pt idx="59">
                  <c:v>32.354124748490953</c:v>
                </c:pt>
                <c:pt idx="60">
                  <c:v>58.950155404627573</c:v>
                </c:pt>
              </c:numCache>
            </c:numRef>
          </c:val>
          <c:smooth val="0"/>
        </c:ser>
        <c:ser>
          <c:idx val="170"/>
          <c:order val="87"/>
          <c:tx>
            <c:strRef>
              <c:f>'Wheat (All)'!$CV$6</c:f>
              <c:strCache>
                <c:ptCount val="1"/>
                <c:pt idx="0">
                  <c:v>Mohammerah, Bazaar (Local), in d/bushel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(All)'!$CV$7:$CV$107</c:f>
              <c:numCache>
                <c:formatCode>0.0000</c:formatCode>
                <c:ptCount val="101"/>
              </c:numCache>
            </c:numRef>
          </c:val>
          <c:smooth val="0"/>
        </c:ser>
        <c:ser>
          <c:idx val="172"/>
          <c:order val="88"/>
          <c:tx>
            <c:strRef>
              <c:f>'Wheat (All)'!$CW$6</c:f>
              <c:strCache>
                <c:ptCount val="1"/>
                <c:pt idx="0">
                  <c:v>Lingah, Imports, in d/bushel</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(All)'!$CW$7:$CW$107</c:f>
              <c:numCache>
                <c:formatCode>0.0000</c:formatCode>
                <c:ptCount val="101"/>
                <c:pt idx="56">
                  <c:v>39.17374517374521</c:v>
                </c:pt>
                <c:pt idx="57">
                  <c:v>56.251567944250837</c:v>
                </c:pt>
                <c:pt idx="58">
                  <c:v>40.326578073089735</c:v>
                </c:pt>
                <c:pt idx="59">
                  <c:v>42.857142857142804</c:v>
                </c:pt>
                <c:pt idx="67">
                  <c:v>33.819875776397566</c:v>
                </c:pt>
                <c:pt idx="68">
                  <c:v>48.936940197231465</c:v>
                </c:pt>
                <c:pt idx="69">
                  <c:v>66.704220993513459</c:v>
                </c:pt>
                <c:pt idx="70">
                  <c:v>65.819224319792255</c:v>
                </c:pt>
                <c:pt idx="71">
                  <c:v>41.157960981749476</c:v>
                </c:pt>
                <c:pt idx="72">
                  <c:v>56.741440377804032</c:v>
                </c:pt>
              </c:numCache>
            </c:numRef>
          </c:val>
          <c:smooth val="0"/>
        </c:ser>
        <c:ser>
          <c:idx val="174"/>
          <c:order val="89"/>
          <c:tx>
            <c:strRef>
              <c:f>'Wheat (All)'!$CX$6</c:f>
              <c:strCache>
                <c:ptCount val="1"/>
                <c:pt idx="0">
                  <c:v>Lingah, Exports, in d/bushel</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(All)'!$CX$7:$CX$107</c:f>
              <c:numCache>
                <c:formatCode>0.0000</c:formatCode>
                <c:ptCount val="101"/>
                <c:pt idx="56">
                  <c:v>37.819047619047595</c:v>
                </c:pt>
                <c:pt idx="57">
                  <c:v>56.253061224489848</c:v>
                </c:pt>
                <c:pt idx="58">
                  <c:v>40.174904942965789</c:v>
                </c:pt>
                <c:pt idx="59">
                  <c:v>42.857142857142804</c:v>
                </c:pt>
                <c:pt idx="67">
                  <c:v>39.692731024994266</c:v>
                </c:pt>
                <c:pt idx="68">
                  <c:v>48.404555192242668</c:v>
                </c:pt>
                <c:pt idx="70">
                  <c:v>33.735521235521176</c:v>
                </c:pt>
                <c:pt idx="71">
                  <c:v>43.890480291021554</c:v>
                </c:pt>
                <c:pt idx="72">
                  <c:v>43.727717436365182</c:v>
                </c:pt>
              </c:numCache>
            </c:numRef>
          </c:val>
          <c:smooth val="0"/>
        </c:ser>
        <c:ser>
          <c:idx val="176"/>
          <c:order val="90"/>
          <c:tx>
            <c:strRef>
              <c:f>'Wheat (All)'!$CY$6</c:f>
              <c:strCache>
                <c:ptCount val="1"/>
                <c:pt idx="0">
                  <c:v>Lingah, Bazaar (Local), in d/bushel</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(All)'!$CY$7:$CY$107</c:f>
              <c:numCache>
                <c:formatCode>0.0000</c:formatCode>
                <c:ptCount val="101"/>
              </c:numCache>
            </c:numRef>
          </c:val>
          <c:smooth val="0"/>
        </c:ser>
        <c:ser>
          <c:idx val="178"/>
          <c:order val="91"/>
          <c:tx>
            <c:strRef>
              <c:f>'Wheat (All)'!$CZ$6</c:f>
              <c:strCache>
                <c:ptCount val="1"/>
                <c:pt idx="0">
                  <c:v>Shiraz, Imports, in d/bushel</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(All)'!$CZ$7:$CZ$107</c:f>
              <c:numCache>
                <c:formatCode>General</c:formatCode>
                <c:ptCount val="101"/>
              </c:numCache>
            </c:numRef>
          </c:val>
          <c:smooth val="0"/>
        </c:ser>
        <c:ser>
          <c:idx val="180"/>
          <c:order val="92"/>
          <c:tx>
            <c:strRef>
              <c:f>'Wheat (All)'!$DA$6</c:f>
              <c:strCache>
                <c:ptCount val="1"/>
                <c:pt idx="0">
                  <c:v>Shiraz, Exports, in d/bushel</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(All)'!$DA$7:$DA$107</c:f>
              <c:numCache>
                <c:formatCode>General</c:formatCode>
                <c:ptCount val="101"/>
              </c:numCache>
            </c:numRef>
          </c:val>
          <c:smooth val="0"/>
        </c:ser>
        <c:ser>
          <c:idx val="182"/>
          <c:order val="93"/>
          <c:tx>
            <c:strRef>
              <c:f>'Wheat (All)'!$DB$6</c:f>
              <c:strCache>
                <c:ptCount val="1"/>
                <c:pt idx="0">
                  <c:v>Shiraz, Bazaar (Local), in d/bushel</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(All)'!$DB$7:$DB$107</c:f>
              <c:numCache>
                <c:formatCode>General</c:formatCode>
                <c:ptCount val="101"/>
              </c:numCache>
            </c:numRef>
          </c:val>
          <c:smooth val="0"/>
        </c:ser>
        <c:ser>
          <c:idx val="0"/>
          <c:order val="94"/>
          <c:tx>
            <c:strRef>
              <c:f>'Wheat (All)'!$DC$6</c:f>
              <c:strCache>
                <c:ptCount val="1"/>
                <c:pt idx="0">
                  <c:v>India, Imports, in d/bushel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(All)'!$DC$7:$DC$107</c:f>
              <c:numCache>
                <c:formatCode>General</c:formatCode>
                <c:ptCount val="101"/>
              </c:numCache>
            </c:numRef>
          </c:val>
          <c:smooth val="0"/>
        </c:ser>
        <c:ser>
          <c:idx val="3"/>
          <c:order val="95"/>
          <c:tx>
            <c:strRef>
              <c:f>'Wheat (All)'!$DD$6</c:f>
              <c:strCache>
                <c:ptCount val="1"/>
                <c:pt idx="0">
                  <c:v>India, Exports, in d/bushel</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(All)'!$DD$7:$DD$107</c:f>
              <c:numCache>
                <c:formatCode>General</c:formatCode>
                <c:ptCount val="101"/>
                <c:pt idx="21" formatCode="0.0000">
                  <c:v>45.798465616883675</c:v>
                </c:pt>
                <c:pt idx="22" formatCode="0.0000">
                  <c:v>42.853151712720816</c:v>
                </c:pt>
                <c:pt idx="23" formatCode="0.0000">
                  <c:v>35.192458031018845</c:v>
                </c:pt>
                <c:pt idx="24" formatCode="0.0000">
                  <c:v>52.000490633384445</c:v>
                </c:pt>
                <c:pt idx="25" formatCode="0.0000">
                  <c:v>54.347968961976974</c:v>
                </c:pt>
                <c:pt idx="26" formatCode="0.0000">
                  <c:v>71.668187467191629</c:v>
                </c:pt>
                <c:pt idx="27" formatCode="0.0000">
                  <c:v>53.63068228321675</c:v>
                </c:pt>
                <c:pt idx="28" formatCode="0.0000">
                  <c:v>46.868016536253833</c:v>
                </c:pt>
                <c:pt idx="29" formatCode="0.0000">
                  <c:v>55.483197561542937</c:v>
                </c:pt>
                <c:pt idx="30" formatCode="0.0000">
                  <c:v>62.209305395659285</c:v>
                </c:pt>
                <c:pt idx="31" formatCode="0.0000">
                  <c:v>41.811190082786993</c:v>
                </c:pt>
                <c:pt idx="32" formatCode="0.0000">
                  <c:v>47.60630927936451</c:v>
                </c:pt>
                <c:pt idx="33" formatCode="0.0000">
                  <c:v>59.250141681994762</c:v>
                </c:pt>
                <c:pt idx="34" formatCode="0.0000">
                  <c:v>55.228225849330407</c:v>
                </c:pt>
                <c:pt idx="35" formatCode="0.0000">
                  <c:v>49.05245949324609</c:v>
                </c:pt>
                <c:pt idx="36" formatCode="0.0000">
                  <c:v>42.603157167845751</c:v>
                </c:pt>
                <c:pt idx="37" formatCode="0.0000">
                  <c:v>51.182410101896046</c:v>
                </c:pt>
                <c:pt idx="38" formatCode="0.0000">
                  <c:v>57.76172109010561</c:v>
                </c:pt>
                <c:pt idx="39" formatCode="0.0000">
                  <c:v>59.398399472022142</c:v>
                </c:pt>
                <c:pt idx="40" formatCode="0.0000">
                  <c:v>56.893448003854708</c:v>
                </c:pt>
                <c:pt idx="41" formatCode="0.0000">
                  <c:v>46.846797214011232</c:v>
                </c:pt>
                <c:pt idx="42" formatCode="0.0000">
                  <c:v>49.237241852211852</c:v>
                </c:pt>
                <c:pt idx="43" formatCode="0.0000">
                  <c:v>45.063773314078858</c:v>
                </c:pt>
                <c:pt idx="44" formatCode="0.0000">
                  <c:v>40.264772848301753</c:v>
                </c:pt>
                <c:pt idx="45" formatCode="0.0000">
                  <c:v>37.019422784391566</c:v>
                </c:pt>
                <c:pt idx="46" formatCode="0.0000">
                  <c:v>36.714928807616126</c:v>
                </c:pt>
                <c:pt idx="47" formatCode="0.0000">
                  <c:v>39.194847631999743</c:v>
                </c:pt>
                <c:pt idx="48" formatCode="0.0000">
                  <c:v>38.940689482979629</c:v>
                </c:pt>
                <c:pt idx="49" formatCode="0.0000">
                  <c:v>39.083852147924617</c:v>
                </c:pt>
                <c:pt idx="50" formatCode="0.0000">
                  <c:v>41.608947679970008</c:v>
                </c:pt>
                <c:pt idx="51" formatCode="0.0000">
                  <c:v>42.743333423064108</c:v>
                </c:pt>
                <c:pt idx="52" formatCode="0.0000">
                  <c:v>41.761671246829117</c:v>
                </c:pt>
                <c:pt idx="53" formatCode="0.0000">
                  <c:v>36.720161859974439</c:v>
                </c:pt>
                <c:pt idx="54" formatCode="0.0000">
                  <c:v>27.081061322308653</c:v>
                </c:pt>
                <c:pt idx="55" formatCode="0.0000">
                  <c:v>27.374778822519495</c:v>
                </c:pt>
                <c:pt idx="56" formatCode="0.0000">
                  <c:v>37.922893574179298</c:v>
                </c:pt>
                <c:pt idx="57" formatCode="0.0000">
                  <c:v>48.336886130841343</c:v>
                </c:pt>
                <c:pt idx="58" formatCode="0.0000">
                  <c:v>41.45923520289665</c:v>
                </c:pt>
                <c:pt idx="59" formatCode="0.0000">
                  <c:v>38.814505656181865</c:v>
                </c:pt>
                <c:pt idx="60" formatCode="0.0000">
                  <c:v>39.343848718872792</c:v>
                </c:pt>
                <c:pt idx="61" formatCode="0.0000">
                  <c:v>42.675491515452919</c:v>
                </c:pt>
                <c:pt idx="62" formatCode="0.0000">
                  <c:v>36.172634581341093</c:v>
                </c:pt>
                <c:pt idx="63" formatCode="0.0000">
                  <c:v>33.309057529789854</c:v>
                </c:pt>
                <c:pt idx="64" formatCode="0.0000">
                  <c:v>33.725886748339967</c:v>
                </c:pt>
                <c:pt idx="65" formatCode="0.0000">
                  <c:v>34.112863746293748</c:v>
                </c:pt>
                <c:pt idx="66" formatCode="0.0000">
                  <c:v>39.640595503052459</c:v>
                </c:pt>
                <c:pt idx="67" formatCode="0.0000">
                  <c:v>39.711134331590173</c:v>
                </c:pt>
                <c:pt idx="68" formatCode="0.0000">
                  <c:v>51.624014581499921</c:v>
                </c:pt>
                <c:pt idx="69" formatCode="0.0000">
                  <c:v>50.481507703879004</c:v>
                </c:pt>
                <c:pt idx="70" formatCode="0.0000">
                  <c:v>42.011151414823694</c:v>
                </c:pt>
                <c:pt idx="71" formatCode="0.0000">
                  <c:v>37.128793518654767</c:v>
                </c:pt>
                <c:pt idx="72" formatCode="0.0000">
                  <c:v>38.423749089864003</c:v>
                </c:pt>
                <c:pt idx="73" formatCode="0.0000">
                  <c:v>40.995690176821299</c:v>
                </c:pt>
                <c:pt idx="74" formatCode="0.0000">
                  <c:v>32.347749107755632</c:v>
                </c:pt>
                <c:pt idx="75" formatCode="0.0000">
                  <c:v>37.669130620015608</c:v>
                </c:pt>
                <c:pt idx="76" formatCode="0.0000">
                  <c:v>36.203562794517651</c:v>
                </c:pt>
                <c:pt idx="77" formatCode="0.0000">
                  <c:v>35.771624143382873</c:v>
                </c:pt>
                <c:pt idx="78" formatCode="0.0000">
                  <c:v>42.891739838038283</c:v>
                </c:pt>
                <c:pt idx="79" formatCode="0.0000">
                  <c:v>55.703926309381202</c:v>
                </c:pt>
                <c:pt idx="80" formatCode="0.0000">
                  <c:v>68.590947070074805</c:v>
                </c:pt>
                <c:pt idx="81" formatCode="0.0000">
                  <c:v>46.824624038712201</c:v>
                </c:pt>
                <c:pt idx="82" formatCode="0.0000">
                  <c:v>64.25030413625305</c:v>
                </c:pt>
                <c:pt idx="83" formatCode="0.0000">
                  <c:v>41.563080438607926</c:v>
                </c:pt>
                <c:pt idx="84" formatCode="0.0000">
                  <c:v>40.181103634428233</c:v>
                </c:pt>
                <c:pt idx="85" formatCode="0.0000">
                  <c:v>44.039268878171704</c:v>
                </c:pt>
                <c:pt idx="86" formatCode="0.0000">
                  <c:v>45.807379920490099</c:v>
                </c:pt>
                <c:pt idx="87" formatCode="0.0000">
                  <c:v>44.307129415406678</c:v>
                </c:pt>
                <c:pt idx="88" formatCode="0.0000">
                  <c:v>42.277919436478975</c:v>
                </c:pt>
                <c:pt idx="89" formatCode="0.0000">
                  <c:v>47.723384004605499</c:v>
                </c:pt>
                <c:pt idx="90" formatCode="0.0000">
                  <c:v>34.382705636999326</c:v>
                </c:pt>
                <c:pt idx="91" formatCode="0.0000">
                  <c:v>23.918514486086405</c:v>
                </c:pt>
              </c:numCache>
            </c:numRef>
          </c:val>
          <c:smooth val="0"/>
        </c:ser>
        <c:ser>
          <c:idx val="6"/>
          <c:order val="96"/>
          <c:tx>
            <c:strRef>
              <c:f>'Wheat (All)'!$DE$6</c:f>
              <c:strCache>
                <c:ptCount val="1"/>
                <c:pt idx="0">
                  <c:v>India, Wholesale, in d/bushel</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(All)'!$DE$7:$DE$107</c:f>
              <c:numCache>
                <c:formatCode>General</c:formatCode>
                <c:ptCount val="101"/>
                <c:pt idx="33">
                  <c:v>68.853399566814176</c:v>
                </c:pt>
                <c:pt idx="44">
                  <c:v>35.647135494696471</c:v>
                </c:pt>
                <c:pt idx="45">
                  <c:v>33.903824833702885</c:v>
                </c:pt>
                <c:pt idx="46">
                  <c:v>33.513925510876732</c:v>
                </c:pt>
                <c:pt idx="47">
                  <c:v>35.684121621621621</c:v>
                </c:pt>
                <c:pt idx="48">
                  <c:v>35.328773895847071</c:v>
                </c:pt>
                <c:pt idx="49">
                  <c:v>40.623982491360543</c:v>
                </c:pt>
                <c:pt idx="50">
                  <c:v>41.835305570061671</c:v>
                </c:pt>
                <c:pt idx="51">
                  <c:v>48.30557880100563</c:v>
                </c:pt>
                <c:pt idx="52">
                  <c:v>42.699549684281607</c:v>
                </c:pt>
                <c:pt idx="53">
                  <c:v>35.367498800305739</c:v>
                </c:pt>
                <c:pt idx="54">
                  <c:v>27.141396317766276</c:v>
                </c:pt>
                <c:pt idx="55">
                  <c:v>29.967862366378284</c:v>
                </c:pt>
                <c:pt idx="56">
                  <c:v>39.881374187748214</c:v>
                </c:pt>
                <c:pt idx="57">
                  <c:v>46.187876219657369</c:v>
                </c:pt>
                <c:pt idx="58">
                  <c:v>40.779561540568011</c:v>
                </c:pt>
                <c:pt idx="59">
                  <c:v>36.786798513658482</c:v>
                </c:pt>
                <c:pt idx="60">
                  <c:v>41.971060128401739</c:v>
                </c:pt>
                <c:pt idx="61">
                  <c:v>41.599692358238535</c:v>
                </c:pt>
                <c:pt idx="62">
                  <c:v>37.988589634931095</c:v>
                </c:pt>
                <c:pt idx="63">
                  <c:v>36.420642398569129</c:v>
                </c:pt>
                <c:pt idx="64">
                  <c:v>37.646847005495502</c:v>
                </c:pt>
                <c:pt idx="65">
                  <c:v>41.465630591422574</c:v>
                </c:pt>
                <c:pt idx="66">
                  <c:v>43.385538036422311</c:v>
                </c:pt>
                <c:pt idx="67">
                  <c:v>48.862916706293049</c:v>
                </c:pt>
                <c:pt idx="68">
                  <c:v>56.12719604170605</c:v>
                </c:pt>
                <c:pt idx="69">
                  <c:v>54.876959930313582</c:v>
                </c:pt>
                <c:pt idx="70">
                  <c:v>45.945084083503183</c:v>
                </c:pt>
                <c:pt idx="71">
                  <c:v>42.045506173228318</c:v>
                </c:pt>
                <c:pt idx="72">
                  <c:v>45.657338628047206</c:v>
                </c:pt>
                <c:pt idx="73">
                  <c:v>46.385323929528063</c:v>
                </c:pt>
                <c:pt idx="74">
                  <c:v>47.940724902003488</c:v>
                </c:pt>
                <c:pt idx="75">
                  <c:v>61.53109395415941</c:v>
                </c:pt>
                <c:pt idx="76">
                  <c:v>59.067468287238682</c:v>
                </c:pt>
                <c:pt idx="77">
                  <c:v>68.934191392639377</c:v>
                </c:pt>
                <c:pt idx="78">
                  <c:v>77.59510895307055</c:v>
                </c:pt>
                <c:pt idx="79">
                  <c:v>95.968160394407732</c:v>
                </c:pt>
                <c:pt idx="80">
                  <c:v>96.438539834258222</c:v>
                </c:pt>
                <c:pt idx="81">
                  <c:v>105.31250008928572</c:v>
                </c:pt>
              </c:numCache>
            </c:numRef>
          </c:val>
          <c:smooth val="0"/>
        </c:ser>
        <c:ser>
          <c:idx val="8"/>
          <c:order val="97"/>
          <c:tx>
            <c:strRef>
              <c:f>'Wheat (All)'!$E$6</c:f>
              <c:strCache>
                <c:ptCount val="1"/>
                <c:pt idx="0">
                  <c:v>Odessa, , in d/bushel</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f>'Wheat (All)'!$E$7:$E$107</c:f>
              <c:numCache>
                <c:formatCode>0.0000</c:formatCode>
                <c:ptCount val="101"/>
                <c:pt idx="3" formatCode="_(* #,##0.0000_);_(* \(#,##0.0000\);_(* &quot;-&quot;??_);_(@_)">
                  <c:v>31.125</c:v>
                </c:pt>
                <c:pt idx="4" formatCode="_(* #,##0.0000_);_(* \(#,##0.0000\);_(* &quot;-&quot;??_);_(@_)">
                  <c:v>29</c:v>
                </c:pt>
                <c:pt idx="5" formatCode="_(* #,##0.0000_);_(* \(#,##0.0000\);_(* &quot;-&quot;??_);_(@_)">
                  <c:v>32.125</c:v>
                </c:pt>
                <c:pt idx="6" formatCode="_(* #,##0.0000_);_(* \(#,##0.0000\);_(* &quot;-&quot;??_);_(@_)">
                  <c:v>38.75</c:v>
                </c:pt>
                <c:pt idx="7" formatCode="_(* #,##0.0000_);_(* \(#,##0.0000\);_(* &quot;-&quot;??_);_(@_)">
                  <c:v>46</c:v>
                </c:pt>
                <c:pt idx="8" formatCode="_(* #,##0.0000_);_(* \(#,##0.0000\);_(* &quot;-&quot;??_);_(@_)">
                  <c:v>35.375</c:v>
                </c:pt>
                <c:pt idx="9" formatCode="_(* #,##0.0000_);_(* \(#,##0.0000\);_(* &quot;-&quot;??_);_(@_)">
                  <c:v>37.25</c:v>
                </c:pt>
                <c:pt idx="10" formatCode="_(* #,##0.0000_);_(* \(#,##0.0000\);_(* &quot;-&quot;??_);_(@_)">
                  <c:v>36.625</c:v>
                </c:pt>
                <c:pt idx="11" formatCode="_(* #,##0.0000_);_(* \(#,##0.0000\);_(* &quot;-&quot;??_);_(@_)">
                  <c:v>31.375</c:v>
                </c:pt>
                <c:pt idx="12" formatCode="_(* #,##0.0000_);_(* \(#,##0.0000\);_(* &quot;-&quot;??_);_(@_)">
                  <c:v>34.125</c:v>
                </c:pt>
                <c:pt idx="13" formatCode="_(* #,##0.0000_);_(* \(#,##0.0000\);_(* &quot;-&quot;??_);_(@_)">
                  <c:v>38</c:v>
                </c:pt>
                <c:pt idx="14" formatCode="_(* #,##0.0000_);_(* \(#,##0.0000\);_(* &quot;-&quot;??_);_(@_)">
                  <c:v>46.125</c:v>
                </c:pt>
                <c:pt idx="16" formatCode="_(* #,##0.0000_);_(* \(#,##0.0000\);_(* &quot;-&quot;??_);_(@_)">
                  <c:v>67.5</c:v>
                </c:pt>
                <c:pt idx="17" formatCode="_(* #,##0.0000_);_(* \(#,##0.0000\);_(* &quot;-&quot;??_);_(@_)">
                  <c:v>56.25</c:v>
                </c:pt>
                <c:pt idx="18" formatCode="_(* #,##0.0000_);_(* \(#,##0.0000\);_(* &quot;-&quot;??_);_(@_)">
                  <c:v>46.875</c:v>
                </c:pt>
                <c:pt idx="19" formatCode="_(* #,##0.0000_);_(* \(#,##0.0000\);_(* &quot;-&quot;??_);_(@_)">
                  <c:v>44.625</c:v>
                </c:pt>
                <c:pt idx="20" formatCode="_(* #,##0.0000_);_(* \(#,##0.0000\);_(* &quot;-&quot;??_);_(@_)">
                  <c:v>54.5</c:v>
                </c:pt>
                <c:pt idx="21" formatCode="_(* #,##0.0000_);_(* \(#,##0.0000\);_(* &quot;-&quot;??_);_(@_)">
                  <c:v>51.75</c:v>
                </c:pt>
                <c:pt idx="22" formatCode="_(* #,##0.0000_);_(* \(#,##0.0000\);_(* &quot;-&quot;??_);_(@_)">
                  <c:v>45.125</c:v>
                </c:pt>
                <c:pt idx="23" formatCode="_(* #,##0.0000_);_(* \(#,##0.0000\);_(* &quot;-&quot;??_);_(@_)">
                  <c:v>45.875</c:v>
                </c:pt>
                <c:pt idx="24" formatCode="_(* #,##0.0000_);_(* \(#,##0.0000\);_(* &quot;-&quot;??_);_(@_)">
                  <c:v>39</c:v>
                </c:pt>
                <c:pt idx="25" formatCode="_(* #,##0.0000_);_(* \(#,##0.0000\);_(* &quot;-&quot;??_);_(@_)">
                  <c:v>42.375</c:v>
                </c:pt>
                <c:pt idx="26" formatCode="_(* #,##0.0000_);_(* \(#,##0.0000\);_(* &quot;-&quot;??_);_(@_)">
                  <c:v>53.875</c:v>
                </c:pt>
                <c:pt idx="27" formatCode="_(* #,##0.0000_);_(* \(#,##0.0000\);_(* &quot;-&quot;??_);_(@_)">
                  <c:v>64.25</c:v>
                </c:pt>
                <c:pt idx="28" formatCode="_(* #,##0.0000_);_(* \(#,##0.0000\);_(* &quot;-&quot;??_);_(@_)">
                  <c:v>66.875</c:v>
                </c:pt>
                <c:pt idx="29" formatCode="_(* #,##0.0000_);_(* \(#,##0.0000\);_(* &quot;-&quot;??_);_(@_)">
                  <c:v>50.125</c:v>
                </c:pt>
                <c:pt idx="30" formatCode="_(* #,##0.0000_);_(* \(#,##0.0000\);_(* &quot;-&quot;??_);_(@_)">
                  <c:v>48.375</c:v>
                </c:pt>
                <c:pt idx="31" formatCode="_(* #,##0.0000_);_(* \(#,##0.0000\);_(* &quot;-&quot;??_);_(@_)">
                  <c:v>58.375</c:v>
                </c:pt>
                <c:pt idx="32" formatCode="_(* #,##0.0000_);_(* \(#,##0.0000\);_(* &quot;-&quot;??_);_(@_)">
                  <c:v>59.25</c:v>
                </c:pt>
                <c:pt idx="33" formatCode="_(* #,##0.0000_);_(* \(#,##0.0000\);_(* &quot;-&quot;??_);_(@_)">
                  <c:v>69.25</c:v>
                </c:pt>
                <c:pt idx="34" formatCode="_(* #,##0.0000_);_(* \(#,##0.0000\);_(* &quot;-&quot;??_);_(@_)">
                  <c:v>61</c:v>
                </c:pt>
                <c:pt idx="35" formatCode="_(* #,##0.0000_);_(* \(#,##0.0000\);_(* &quot;-&quot;??_);_(@_)">
                  <c:v>57.875</c:v>
                </c:pt>
                <c:pt idx="36" formatCode="_(* #,##0.0000_);_(* \(#,##0.0000\);_(* &quot;-&quot;??_);_(@_)">
                  <c:v>58.75</c:v>
                </c:pt>
                <c:pt idx="37" formatCode="_(* #,##0.0000_);_(* \(#,##0.0000\);_(* &quot;-&quot;??_);_(@_)">
                  <c:v>45.625</c:v>
                </c:pt>
                <c:pt idx="38" formatCode="_(* #,##0.0000_);_(* \(#,##0.0000\);_(* &quot;-&quot;??_);_(@_)">
                  <c:v>48.5</c:v>
                </c:pt>
                <c:pt idx="39" formatCode="_(* #,##0.0000_);_(* \(#,##0.0000\);_(* &quot;-&quot;??_);_(@_)">
                  <c:v>61.375</c:v>
                </c:pt>
                <c:pt idx="40" formatCode="_(* #,##0.0000_);_(* \(#,##0.0000\);_(* &quot;-&quot;??_);_(@_)">
                  <c:v>62.5</c:v>
                </c:pt>
                <c:pt idx="41" formatCode="_(* #,##0.0000_);_(* \(#,##0.0000\);_(* &quot;-&quot;??_);_(@_)">
                  <c:v>62.75</c:v>
                </c:pt>
                <c:pt idx="42" formatCode="_(* #,##0.0000_);_(* \(#,##0.0000\);_(* &quot;-&quot;??_);_(@_)">
                  <c:v>55.625</c:v>
                </c:pt>
                <c:pt idx="43" formatCode="_(* #,##0.0000_);_(* \(#,##0.0000\);_(* &quot;-&quot;??_);_(@_)">
                  <c:v>52.625</c:v>
                </c:pt>
                <c:pt idx="44" formatCode="_(* #,##0.0000_);_(* \(#,##0.0000\);_(* &quot;-&quot;??_);_(@_)">
                  <c:v>43</c:v>
                </c:pt>
                <c:pt idx="45" formatCode="_(* #,##0.0000_);_(* \(#,##0.0000\);_(* &quot;-&quot;??_);_(@_)">
                  <c:v>36.75</c:v>
                </c:pt>
                <c:pt idx="46" formatCode="_(* #,##0.0000_);_(* \(#,##0.0000\);_(* &quot;-&quot;??_);_(@_)">
                  <c:v>44.625</c:v>
                </c:pt>
                <c:pt idx="47" formatCode="_(* #,##0.0000_);_(* \(#,##0.0000\);_(* &quot;-&quot;??_);_(@_)">
                  <c:v>40.125</c:v>
                </c:pt>
                <c:pt idx="48" formatCode="_(* #,##0.0000_);_(* \(#,##0.0000\);_(* &quot;-&quot;??_);_(@_)">
                  <c:v>40</c:v>
                </c:pt>
                <c:pt idx="49" formatCode="_(* #,##0.0000_);_(* \(#,##0.0000\);_(* &quot;-&quot;??_);_(@_)">
                  <c:v>38.375</c:v>
                </c:pt>
                <c:pt idx="50" formatCode="_(* #,##0.0000_);_(* \(#,##0.0000\);_(* &quot;-&quot;??_);_(@_)">
                  <c:v>42.875</c:v>
                </c:pt>
                <c:pt idx="51" formatCode="_(* #,##0.0000_);_(* \(#,##0.0000\);_(* &quot;-&quot;??_);_(@_)">
                  <c:v>48.75</c:v>
                </c:pt>
                <c:pt idx="52" formatCode="_(* #,##0.0000_);_(* \(#,##0.0000\);_(* &quot;-&quot;??_);_(@_)">
                  <c:v>37.375</c:v>
                </c:pt>
                <c:pt idx="53" formatCode="_(* #,##0.0000_);_(* \(#,##0.0000\);_(* &quot;-&quot;??_);_(@_)">
                  <c:v>30.875</c:v>
                </c:pt>
                <c:pt idx="54" formatCode="_(* #,##0.0000_);_(* \(#,##0.0000\);_(* &quot;-&quot;??_);_(@_)">
                  <c:v>26.25</c:v>
                </c:pt>
                <c:pt idx="55" formatCode="_(* #,##0.0000_);_(* \(#,##0.0000\);_(* &quot;-&quot;??_);_(@_)">
                  <c:v>29.5</c:v>
                </c:pt>
                <c:pt idx="56" formatCode="_(* #,##0.0000_);_(* \(#,##0.0000\);_(* &quot;-&quot;??_);_(@_)">
                  <c:v>30.103499999999997</c:v>
                </c:pt>
                <c:pt idx="57" formatCode="_(* #,##0.0000_);_(* \(#,##0.0000\);_(* &quot;-&quot;??_);_(@_)">
                  <c:v>36.025500000000001</c:v>
                </c:pt>
                <c:pt idx="58" formatCode="_(* #,##0.0000_);_(* \(#,##0.0000\);_(* &quot;-&quot;??_);_(@_)">
                  <c:v>45.895499999999998</c:v>
                </c:pt>
                <c:pt idx="59" formatCode="_(* #,##0.0000_);_(* \(#,##0.0000\);_(* &quot;-&quot;??_);_(@_)">
                  <c:v>38.986499999999999</c:v>
                </c:pt>
                <c:pt idx="60" formatCode="_(* #,##0.0000_);_(* \(#,##0.0000\);_(* &quot;-&quot;??_);_(@_)">
                  <c:v>37.999499999999998</c:v>
                </c:pt>
                <c:pt idx="61" formatCode="_(* #,##0.0000_);_(* \(#,##0.0000\);_(* &quot;-&quot;??_);_(@_)">
                  <c:v>37.012499999999996</c:v>
                </c:pt>
                <c:pt idx="62" formatCode="_(* #,##0.0000_);_(* \(#,##0.0000\);_(* &quot;-&quot;??_);_(@_)">
                  <c:v>36.518999999999998</c:v>
                </c:pt>
                <c:pt idx="63" formatCode="_(* #,##0.0000_);_(* \(#,##0.0000\);_(* &quot;-&quot;??_);_(@_)">
                  <c:v>36.518999999999998</c:v>
                </c:pt>
                <c:pt idx="64" formatCode="_(* #,##0.0000_);_(* \(#,##0.0000\);_(* &quot;-&quot;??_);_(@_)">
                  <c:v>38.492999999999995</c:v>
                </c:pt>
                <c:pt idx="65" formatCode="_(* #,##0.0000_);_(* \(#,##0.0000\);_(* &quot;-&quot;??_);_(@_)">
                  <c:v>41.454000000000001</c:v>
                </c:pt>
                <c:pt idx="66" formatCode="_(* #,##0.0000_);_(* \(#,##0.0000\);_(* &quot;-&quot;??_);_(@_)">
                  <c:v>41.454000000000001</c:v>
                </c:pt>
              </c:numCache>
            </c:numRef>
          </c:val>
          <c:smooth val="0"/>
        </c:ser>
        <c:ser>
          <c:idx val="10"/>
          <c:order val="98"/>
          <c:tx>
            <c:strRef>
              <c:f>'Wheat (All)'!$R$6</c:f>
              <c:strCache>
                <c:ptCount val="1"/>
                <c:pt idx="0">
                  <c:v>Aleppo, , in d/bushel</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val>
            <c:numRef>
              <c:f>'Wheat (All)'!$R$7:$R$107</c:f>
              <c:numCache>
                <c:formatCode>0.0000</c:formatCode>
                <c:ptCount val="101"/>
                <c:pt idx="5" formatCode="_(* #,##0.0000_);_(* \(#,##0.0000\);_(* &quot;-&quot;??_);_(@_)">
                  <c:v>24.545454545454543</c:v>
                </c:pt>
                <c:pt idx="6" formatCode="_(* #,##0.0000_);_(* \(#,##0.0000\);_(* &quot;-&quot;??_);_(@_)">
                  <c:v>53.999999999999993</c:v>
                </c:pt>
                <c:pt idx="7" formatCode="_(* #,##0.0000_);_(* \(#,##0.0000\);_(* &quot;-&quot;??_);_(@_)">
                  <c:v>53.999999999999993</c:v>
                </c:pt>
                <c:pt idx="8" formatCode="_(* #,##0.0000_);_(* \(#,##0.0000\);_(* &quot;-&quot;??_);_(@_)">
                  <c:v>24.545454545454543</c:v>
                </c:pt>
                <c:pt idx="10" formatCode="_(* #,##0.0000_);_(* \(#,##0.0000\);_(* &quot;-&quot;??_);_(@_)">
                  <c:v>15.709090909090909</c:v>
                </c:pt>
                <c:pt idx="15" formatCode="_(* #,##0.0000_);_(* \(#,##0.0000\);_(* &quot;-&quot;??_);_(@_)">
                  <c:v>29.45454545454545</c:v>
                </c:pt>
                <c:pt idx="16" formatCode="_(* #,##0.0000_);_(* \(#,##0.0000\);_(* &quot;-&quot;??_);_(@_)">
                  <c:v>23.563636363636359</c:v>
                </c:pt>
                <c:pt idx="17" formatCode="_(* #,##0.0000_);_(* \(#,##0.0000\);_(* &quot;-&quot;??_);_(@_)">
                  <c:v>39.272727272727273</c:v>
                </c:pt>
                <c:pt idx="19" formatCode="_(* #,##0.0000_);_(* \(#,##0.0000\);_(* &quot;-&quot;??_);_(@_)">
                  <c:v>110.45454545454544</c:v>
                </c:pt>
                <c:pt idx="20" formatCode="_(* #,##0.0000_);_(* \(#,##0.0000\);_(* &quot;-&quot;??_);_(@_)">
                  <c:v>166.90909090909088</c:v>
                </c:pt>
                <c:pt idx="21" formatCode="_(* #,##0.0000_);_(* \(#,##0.0000\);_(* &quot;-&quot;??_);_(@_)">
                  <c:v>49.090909090909086</c:v>
                </c:pt>
                <c:pt idx="31" formatCode="_(* #,##0.0000_);_(* \(#,##0.0000\);_(* &quot;-&quot;??_);_(@_)">
                  <c:v>147.27272727272725</c:v>
                </c:pt>
                <c:pt idx="34" formatCode="_(* #,##0.0000_);_(* \(#,##0.0000\);_(* &quot;-&quot;??_);_(@_)">
                  <c:v>53.999999999999993</c:v>
                </c:pt>
                <c:pt idx="39" formatCode="_(* #,##0.0000_);_(* \(#,##0.0000\);_(* &quot;-&quot;??_);_(@_)">
                  <c:v>56.945454545454538</c:v>
                </c:pt>
                <c:pt idx="53" formatCode="_(* #,##0.0000_);_(* \(#,##0.0000\);_(* &quot;-&quot;??_);_(@_)">
                  <c:v>60.872727272727275</c:v>
                </c:pt>
                <c:pt idx="63" formatCode="_(* #,##0.0000_);_(* \(#,##0.0000\);_(* &quot;-&quot;??_);_(@_)">
                  <c:v>78.545454545454547</c:v>
                </c:pt>
                <c:pt idx="68" formatCode="_(* #,##0.0000_);_(* \(#,##0.0000\);_(* &quot;-&quot;??_);_(@_)">
                  <c:v>107.99999999999999</c:v>
                </c:pt>
                <c:pt idx="69" formatCode="_(* #,##0.0000_);_(* \(#,##0.0000\);_(* &quot;-&quot;??_);_(@_)">
                  <c:v>162</c:v>
                </c:pt>
                <c:pt idx="70" formatCode="_(* #,##0.0000_);_(* \(#,##0.0000\);_(* &quot;-&quot;??_);_(@_)">
                  <c:v>127.63636363636363</c:v>
                </c:pt>
                <c:pt idx="71" formatCode="_(* #,##0.0000_);_(* \(#,##0.0000\);_(* &quot;-&quot;??_);_(@_)">
                  <c:v>147.27272727272725</c:v>
                </c:pt>
                <c:pt idx="72" formatCode="_(* #,##0.0000_);_(* \(#,##0.0000\);_(* &quot;-&quot;??_);_(@_)">
                  <c:v>166.90909090909088</c:v>
                </c:pt>
                <c:pt idx="73" formatCode="_(* #,##0.0000_);_(* \(#,##0.0000\);_(* &quot;-&quot;??_);_(@_)">
                  <c:v>90.818181818181813</c:v>
                </c:pt>
              </c:numCache>
            </c:numRef>
          </c:val>
          <c:smooth val="0"/>
        </c:ser>
        <c:ser>
          <c:idx val="12"/>
          <c:order val="99"/>
          <c:tx>
            <c:strRef>
              <c:f>'Wheat (All)'!$AB$6</c:f>
              <c:strCache>
                <c:ptCount val="1"/>
                <c:pt idx="0">
                  <c:v>Alexandria, Exports, in d/bushel</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val>
            <c:numRef>
              <c:f>'Wheat (All)'!$AB$7:$AB$107</c:f>
              <c:numCache>
                <c:formatCode>0.0000</c:formatCode>
                <c:ptCount val="101"/>
                <c:pt idx="8" formatCode="_(* #,##0.0000_);_(* \(#,##0.0000\);_(* &quot;-&quot;??_);_(@_)">
                  <c:v>23.321149090909095</c:v>
                </c:pt>
                <c:pt idx="9" formatCode="_(* #,##0.0000_);_(* \(#,##0.0000\);_(* &quot;-&quot;??_);_(@_)">
                  <c:v>17.490861818181816</c:v>
                </c:pt>
                <c:pt idx="10" formatCode="_(* #,##0.0000_);_(* \(#,##0.0000\);_(* &quot;-&quot;??_);_(@_)">
                  <c:v>20.822454545454544</c:v>
                </c:pt>
                <c:pt idx="12" formatCode="_(* #,##0.0000_);_(* \(#,##0.0000\);_(* &quot;-&quot;??_);_(@_)">
                  <c:v>27.48564</c:v>
                </c:pt>
                <c:pt idx="19" formatCode="_(* #,##0.0000_);_(* \(#,##0.0000\);_(* &quot;-&quot;??_);_(@_)">
                  <c:v>30.817232727272724</c:v>
                </c:pt>
                <c:pt idx="26" formatCode="_(* #,##0.0000_);_(* \(#,##0.0000\);_(* &quot;-&quot;??_);_(@_)">
                  <c:v>52.889034545454543</c:v>
                </c:pt>
                <c:pt idx="27" formatCode="_(* #,##0.0000_);_(* \(#,##0.0000\);_(* &quot;-&quot;??_);_(@_)">
                  <c:v>50.806789090909092</c:v>
                </c:pt>
                <c:pt idx="28" formatCode="_(* #,##0.0000_);_(* \(#,##0.0000\);_(* &quot;-&quot;??_);_(@_)">
                  <c:v>47.891645454545447</c:v>
                </c:pt>
                <c:pt idx="29" formatCode="_(* #,##0.0000_);_(* \(#,##0.0000\);_(* &quot;-&quot;??_);_(@_)">
                  <c:v>36.647519999999993</c:v>
                </c:pt>
                <c:pt idx="30" formatCode="_(* #,##0.0000_);_(* \(#,##0.0000\);_(* &quot;-&quot;??_);_(@_)">
                  <c:v>42.477807272727276</c:v>
                </c:pt>
                <c:pt idx="31" formatCode="_(* #,##0.0000_);_(* \(#,##0.0000\);_(* &quot;-&quot;??_);_(@_)">
                  <c:v>51.223238181818182</c:v>
                </c:pt>
                <c:pt idx="32" formatCode="_(* #,##0.0000_);_(* \(#,##0.0000\);_(* &quot;-&quot;??_);_(@_)">
                  <c:v>43.310705454545456</c:v>
                </c:pt>
                <c:pt idx="33" formatCode="_(* #,##0.0000_);_(* \(#,##0.0000\);_(* &quot;-&quot;??_);_(@_)">
                  <c:v>49.557441818181815</c:v>
                </c:pt>
                <c:pt idx="39" formatCode="_(* #,##0.0000_);_(* \(#,##0.0000\);_(* &quot;-&quot;??_);_(@_)">
                  <c:v>48.724543636363627</c:v>
                </c:pt>
                <c:pt idx="40" formatCode="_(* #,##0.0000_);_(* \(#,##0.0000\);_(* &quot;-&quot;??_);_(@_)">
                  <c:v>45.892689818181815</c:v>
                </c:pt>
                <c:pt idx="41" formatCode="_(* #,##0.0000_);_(* \(#,##0.0000\);_(* &quot;-&quot;??_);_(@_)">
                  <c:v>45.892689818181815</c:v>
                </c:pt>
                <c:pt idx="42" formatCode="_(* #,##0.0000_);_(* \(#,##0.0000\);_(* &quot;-&quot;??_);_(@_)">
                  <c:v>45.892689818181815</c:v>
                </c:pt>
                <c:pt idx="43" formatCode="_(* #,##0.0000_);_(* \(#,##0.0000\);_(* &quot;-&quot;??_);_(@_)">
                  <c:v>45.892689818181815</c:v>
                </c:pt>
                <c:pt idx="44" formatCode="_(* #,##0.0000_);_(* \(#,##0.0000\);_(* &quot;-&quot;??_);_(@_)">
                  <c:v>45.892689818181815</c:v>
                </c:pt>
                <c:pt idx="45" formatCode="_(* #,##0.0000_);_(* \(#,##0.0000\);_(* &quot;-&quot;??_);_(@_)">
                  <c:v>41.603264181818176</c:v>
                </c:pt>
                <c:pt idx="46" formatCode="_(* #,##0.0000_);_(* \(#,##0.0000\);_(* &quot;-&quot;??_);_(@_)">
                  <c:v>41.603264181818176</c:v>
                </c:pt>
                <c:pt idx="47" formatCode="_(* #,##0.0000_);_(* \(#,##0.0000\);_(* &quot;-&quot;??_);_(@_)">
                  <c:v>41.603264181818176</c:v>
                </c:pt>
                <c:pt idx="48" formatCode="_(* #,##0.0000_);_(* \(#,##0.0000\);_(* &quot;-&quot;??_);_(@_)">
                  <c:v>41.603264181818176</c:v>
                </c:pt>
                <c:pt idx="49" formatCode="_(* #,##0.0000_);_(* \(#,##0.0000\);_(* &quot;-&quot;??_);_(@_)">
                  <c:v>33.202946102699642</c:v>
                </c:pt>
                <c:pt idx="50" formatCode="_(* #,##0.0000_);_(* \(#,##0.0000\);_(* &quot;-&quot;??_);_(@_)">
                  <c:v>34.81952245791976</c:v>
                </c:pt>
                <c:pt idx="51" formatCode="_(* #,##0.0000_);_(* \(#,##0.0000\);_(* &quot;-&quot;??_);_(@_)">
                  <c:v>35.057253867846221</c:v>
                </c:pt>
                <c:pt idx="52" formatCode="_(* #,##0.0000_);_(* \(#,##0.0000\);_(* &quot;-&quot;??_);_(@_)">
                  <c:v>35.877747990918046</c:v>
                </c:pt>
                <c:pt idx="53" formatCode="_(* #,##0.0000_);_(* \(#,##0.0000\);_(* &quot;-&quot;??_);_(@_)">
                  <c:v>33.398418221047145</c:v>
                </c:pt>
                <c:pt idx="54" formatCode="_(* #,##0.0000_);_(* \(#,##0.0000\);_(* &quot;-&quot;??_);_(@_)">
                  <c:v>25.708735164284665</c:v>
                </c:pt>
                <c:pt idx="55" formatCode="_(* #,##0.0000_);_(* \(#,##0.0000\);_(* &quot;-&quot;??_);_(@_)">
                  <c:v>24.796916768236322</c:v>
                </c:pt>
                <c:pt idx="56" formatCode="_(* #,##0.0000_);_(* \(#,##0.0000\);_(* &quot;-&quot;??_);_(@_)">
                  <c:v>30.084854890071522</c:v>
                </c:pt>
                <c:pt idx="57" formatCode="_(* #,##0.0000_);_(* \(#,##0.0000\);_(* &quot;-&quot;??_);_(@_)">
                  <c:v>36.074435601630746</c:v>
                </c:pt>
                <c:pt idx="58" formatCode="_(* #,##0.0000_);_(* \(#,##0.0000\);_(* &quot;-&quot;??_);_(@_)">
                  <c:v>37.25513941916801</c:v>
                </c:pt>
                <c:pt idx="59" formatCode="_(* #,##0.0000_);_(* \(#,##0.0000\);_(* &quot;-&quot;??_);_(@_)">
                  <c:v>34.164308071157301</c:v>
                </c:pt>
                <c:pt idx="60" formatCode="_(* #,##0.0000_);_(* \(#,##0.0000\);_(* &quot;-&quot;??_);_(@_)">
                  <c:v>38.084223599999994</c:v>
                </c:pt>
                <c:pt idx="61" formatCode="_(* #,##0.0000_);_(* \(#,##0.0000\);_(* &quot;-&quot;??_);_(@_)">
                  <c:v>38.981104729411761</c:v>
                </c:pt>
                <c:pt idx="62" formatCode="_(* #,##0.0000_);_(* \(#,##0.0000\);_(* &quot;-&quot;??_);_(@_)">
                  <c:v>38.263024498353225</c:v>
                </c:pt>
                <c:pt idx="63" formatCode="_(* #,##0.0000_);_(* \(#,##0.0000\);_(* &quot;-&quot;??_);_(@_)">
                  <c:v>35.200877040158495</c:v>
                </c:pt>
                <c:pt idx="64" formatCode="_(* #,##0.0000_);_(* \(#,##0.0000\);_(* &quot;-&quot;??_);_(@_)">
                  <c:v>34.791789569410952</c:v>
                </c:pt>
                <c:pt idx="65" formatCode="_(* #,##0.0000_);_(* \(#,##0.0000\);_(* &quot;-&quot;??_);_(@_)">
                  <c:v>39.827412709786003</c:v>
                </c:pt>
                <c:pt idx="66" formatCode="_(* #,##0.0000_);_(* \(#,##0.0000\);_(* &quot;-&quot;??_);_(@_)">
                  <c:v>41.311385941994509</c:v>
                </c:pt>
                <c:pt idx="67" formatCode="_(* #,##0.0000_);_(* \(#,##0.0000\);_(* &quot;-&quot;??_);_(@_)">
                  <c:v>39.419525394354466</c:v>
                </c:pt>
                <c:pt idx="68" formatCode="_(* #,##0.0000_);_(* \(#,##0.0000\);_(* &quot;-&quot;??_);_(@_)">
                  <c:v>49.907019001544001</c:v>
                </c:pt>
                <c:pt idx="69" formatCode="_(* #,##0.0000_);_(* \(#,##0.0000\);_(* &quot;-&quot;??_);_(@_)">
                  <c:v>48.018477444191348</c:v>
                </c:pt>
                <c:pt idx="70" formatCode="_(* #,##0.0000_);_(* \(#,##0.0000\);_(* &quot;-&quot;??_);_(@_)">
                  <c:v>41.103727623995347</c:v>
                </c:pt>
                <c:pt idx="71" formatCode="_(* #,##0.0000_);_(* \(#,##0.0000\);_(* &quot;-&quot;??_);_(@_)">
                  <c:v>44.032328963579133</c:v>
                </c:pt>
              </c:numCache>
            </c:numRef>
          </c:val>
          <c:smooth val="0"/>
        </c:ser>
        <c:dLbls>
          <c:showLegendKey val="0"/>
          <c:showVal val="0"/>
          <c:showCatName val="0"/>
          <c:showSerName val="0"/>
          <c:showPercent val="0"/>
          <c:showBubbleSize val="0"/>
        </c:dLbls>
        <c:marker val="1"/>
        <c:smooth val="0"/>
        <c:axId val="721385936"/>
        <c:axId val="721382016"/>
      </c:lineChart>
      <c:catAx>
        <c:axId val="72138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721382016"/>
        <c:crosses val="autoZero"/>
        <c:auto val="1"/>
        <c:lblAlgn val="ctr"/>
        <c:lblOffset val="100"/>
        <c:noMultiLvlLbl val="0"/>
      </c:catAx>
      <c:valAx>
        <c:axId val="721382016"/>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21385936"/>
        <c:crosses val="autoZero"/>
        <c:crossBetween val="between"/>
        <c:majorUnit val="10"/>
      </c:valAx>
      <c:spPr>
        <a:noFill/>
        <a:ln>
          <a:noFill/>
        </a:ln>
        <a:effectLst/>
      </c:spPr>
    </c:plotArea>
    <c:legend>
      <c:legendPos val="r"/>
      <c:layout>
        <c:manualLayout>
          <c:xMode val="edge"/>
          <c:yMode val="edge"/>
          <c:x val="0.55480540778341336"/>
          <c:y val="2.7022325866908663E-2"/>
          <c:w val="0.43879352068400734"/>
          <c:h val="0.8842728259616283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tx1"/>
                </a:solidFill>
                <a:latin typeface="+mn-lt"/>
                <a:ea typeface="+mn-ea"/>
                <a:cs typeface="+mn-cs"/>
              </a:defRPr>
            </a:pPr>
            <a:r>
              <a:rPr lang="en-US" sz="1400" b="1" i="0" u="none" strike="noStrike" kern="1200" spc="0" baseline="0">
                <a:solidFill>
                  <a:schemeClr val="tx1"/>
                </a:solidFill>
                <a:latin typeface="+mn-lt"/>
                <a:ea typeface="+mn-ea"/>
                <a:cs typeface="+mn-cs"/>
              </a:rPr>
              <a:t>Wheat, UK &amp; Ottomon Empire, in d/bushel</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2"/>
          <c:order val="0"/>
          <c:tx>
            <c:strRef>
              <c:f>'Wheat (Adjusted)'!$C$6</c:f>
              <c:strCache>
                <c:ptCount val="1"/>
                <c:pt idx="0">
                  <c:v>UK, Imports, in d/bushel</c:v>
                </c:pt>
              </c:strCache>
            </c:strRef>
          </c:tx>
          <c:spPr>
            <a:ln w="15875" cap="rnd">
              <a:solidFill>
                <a:schemeClr val="accent3"/>
              </a:solidFill>
              <a:round/>
            </a:ln>
            <a:effectLst/>
          </c:spPr>
          <c:marker>
            <c:symbol val="circle"/>
            <c:size val="3"/>
            <c:spPr>
              <a:solidFill>
                <a:schemeClr val="accent3"/>
              </a:solidFill>
              <a:ln w="9525">
                <a:solidFill>
                  <a:schemeClr val="accent3"/>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(Adjusted)'!$C$7:$C$107</c:f>
              <c:numCache>
                <c:formatCode>_(* #,##0.0000_);_(* \(#,##0.0000\);_(* "-"??_);_(@_)</c:formatCode>
                <c:ptCount val="101"/>
                <c:pt idx="14">
                  <c:v>101.11748352598057</c:v>
                </c:pt>
                <c:pt idx="15">
                  <c:v>107.65680361962106</c:v>
                </c:pt>
                <c:pt idx="16">
                  <c:v>92.637794634095499</c:v>
                </c:pt>
                <c:pt idx="17">
                  <c:v>82.531658671533947</c:v>
                </c:pt>
                <c:pt idx="18">
                  <c:v>63.306962208059012</c:v>
                </c:pt>
                <c:pt idx="19">
                  <c:v>64.61844596378468</c:v>
                </c:pt>
                <c:pt idx="20">
                  <c:v>83.517873520683509</c:v>
                </c:pt>
                <c:pt idx="21">
                  <c:v>81.770336873240723</c:v>
                </c:pt>
                <c:pt idx="22">
                  <c:v>72.705118894814177</c:v>
                </c:pt>
                <c:pt idx="23">
                  <c:v>63.404024118624264</c:v>
                </c:pt>
                <c:pt idx="24">
                  <c:v>59.165945413031949</c:v>
                </c:pt>
                <c:pt idx="25">
                  <c:v>59.978571428571428</c:v>
                </c:pt>
                <c:pt idx="26">
                  <c:v>72.064285714285731</c:v>
                </c:pt>
                <c:pt idx="27">
                  <c:v>92.7</c:v>
                </c:pt>
                <c:pt idx="28">
                  <c:v>86.914285714285711</c:v>
                </c:pt>
                <c:pt idx="29">
                  <c:v>66.535714285714278</c:v>
                </c:pt>
                <c:pt idx="30">
                  <c:v>67.692857142857136</c:v>
                </c:pt>
                <c:pt idx="31">
                  <c:v>76.114285714285728</c:v>
                </c:pt>
                <c:pt idx="32">
                  <c:v>79.842857142857142</c:v>
                </c:pt>
                <c:pt idx="33">
                  <c:v>83.635714285714272</c:v>
                </c:pt>
                <c:pt idx="34">
                  <c:v>78.107142857142861</c:v>
                </c:pt>
                <c:pt idx="35">
                  <c:v>68.207142857142856</c:v>
                </c:pt>
                <c:pt idx="36">
                  <c:v>67.050000000000011</c:v>
                </c:pt>
                <c:pt idx="37">
                  <c:v>80.292857142857144</c:v>
                </c:pt>
                <c:pt idx="38">
                  <c:v>70.650000000000006</c:v>
                </c:pt>
                <c:pt idx="39">
                  <c:v>67.885714285714286</c:v>
                </c:pt>
                <c:pt idx="40">
                  <c:v>71.228571428571428</c:v>
                </c:pt>
                <c:pt idx="41">
                  <c:v>70.971428571428561</c:v>
                </c:pt>
                <c:pt idx="42">
                  <c:v>68.592857142857142</c:v>
                </c:pt>
                <c:pt idx="43">
                  <c:v>63.064285714285717</c:v>
                </c:pt>
                <c:pt idx="44">
                  <c:v>54.064285714285717</c:v>
                </c:pt>
                <c:pt idx="45">
                  <c:v>50.335714285714289</c:v>
                </c:pt>
                <c:pt idx="46">
                  <c:v>48.535714285714278</c:v>
                </c:pt>
                <c:pt idx="47">
                  <c:v>49.178571428571438</c:v>
                </c:pt>
                <c:pt idx="48">
                  <c:v>49.371428571428581</c:v>
                </c:pt>
                <c:pt idx="49">
                  <c:v>49.435714285714283</c:v>
                </c:pt>
                <c:pt idx="50">
                  <c:v>50.142857142857146</c:v>
                </c:pt>
                <c:pt idx="51">
                  <c:v>57.085714285714296</c:v>
                </c:pt>
                <c:pt idx="52">
                  <c:v>49.242857142857147</c:v>
                </c:pt>
                <c:pt idx="53">
                  <c:v>41.400000000000006</c:v>
                </c:pt>
                <c:pt idx="54">
                  <c:v>34.392857142857139</c:v>
                </c:pt>
                <c:pt idx="55">
                  <c:v>35.421428571428571</c:v>
                </c:pt>
                <c:pt idx="56">
                  <c:v>39.792857142857144</c:v>
                </c:pt>
                <c:pt idx="57">
                  <c:v>47.892857142857139</c:v>
                </c:pt>
                <c:pt idx="58">
                  <c:v>51.557142857142864</c:v>
                </c:pt>
                <c:pt idx="59">
                  <c:v>43.007142857142853</c:v>
                </c:pt>
                <c:pt idx="60">
                  <c:v>43.714285714285715</c:v>
                </c:pt>
                <c:pt idx="61">
                  <c:v>42.557142857142864</c:v>
                </c:pt>
                <c:pt idx="62">
                  <c:v>43.007142857142853</c:v>
                </c:pt>
                <c:pt idx="63">
                  <c:v>43.65</c:v>
                </c:pt>
                <c:pt idx="64">
                  <c:v>45.06428571428571</c:v>
                </c:pt>
                <c:pt idx="65">
                  <c:v>46.478571428571428</c:v>
                </c:pt>
                <c:pt idx="66">
                  <c:v>45.192857142857136</c:v>
                </c:pt>
                <c:pt idx="67">
                  <c:v>49.435714285714283</c:v>
                </c:pt>
                <c:pt idx="68">
                  <c:v>54</c:v>
                </c:pt>
                <c:pt idx="69">
                  <c:v>59.464285714285708</c:v>
                </c:pt>
                <c:pt idx="70">
                  <c:v>53.935714285714283</c:v>
                </c:pt>
                <c:pt idx="71">
                  <c:v>51.042857142857144</c:v>
                </c:pt>
                <c:pt idx="72">
                  <c:v>54.51428571428572</c:v>
                </c:pt>
                <c:pt idx="73">
                  <c:v>53.228571428571428</c:v>
                </c:pt>
                <c:pt idx="74">
                  <c:v>55.349999999999994</c:v>
                </c:pt>
                <c:pt idx="75">
                  <c:v>83.121428571428581</c:v>
                </c:pt>
                <c:pt idx="76">
                  <c:v>92.507142857142853</c:v>
                </c:pt>
                <c:pt idx="77">
                  <c:v>118.80000000000001</c:v>
                </c:pt>
                <c:pt idx="78">
                  <c:v>117.83571428571427</c:v>
                </c:pt>
                <c:pt idx="79">
                  <c:v>123.10714285714283</c:v>
                </c:pt>
                <c:pt idx="80">
                  <c:v>172.60714285714286</c:v>
                </c:pt>
              </c:numCache>
            </c:numRef>
          </c:val>
          <c:smooth val="0"/>
        </c:ser>
        <c:ser>
          <c:idx val="3"/>
          <c:order val="1"/>
          <c:tx>
            <c:strRef>
              <c:f>'Wheat (Adjusted)'!$D$6</c:f>
              <c:strCache>
                <c:ptCount val="1"/>
                <c:pt idx="0">
                  <c:v>UK (London), , in d/bushel</c:v>
                </c:pt>
              </c:strCache>
            </c:strRef>
          </c:tx>
          <c:spPr>
            <a:ln w="15875" cap="rnd">
              <a:solidFill>
                <a:schemeClr val="accent4"/>
              </a:solidFill>
              <a:round/>
            </a:ln>
            <a:effectLst/>
          </c:spPr>
          <c:marker>
            <c:symbol val="circle"/>
            <c:size val="3"/>
            <c:spPr>
              <a:solidFill>
                <a:schemeClr val="accent4"/>
              </a:solidFill>
              <a:ln w="9525">
                <a:solidFill>
                  <a:schemeClr val="accent4"/>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(Adjusted)'!$D$7:$D$107</c:f>
              <c:numCache>
                <c:formatCode>_(* #,##0.0000_);_(* \(#,##0.0000\);_(* "-"??_);_(@_)</c:formatCode>
                <c:ptCount val="101"/>
                <c:pt idx="0">
                  <c:v>99.5</c:v>
                </c:pt>
                <c:pt idx="1">
                  <c:v>96.5</c:v>
                </c:pt>
                <c:pt idx="2">
                  <c:v>85.875</c:v>
                </c:pt>
                <c:pt idx="3">
                  <c:v>75.125</c:v>
                </c:pt>
                <c:pt idx="4">
                  <c:v>76.875</c:v>
                </c:pt>
                <c:pt idx="5">
                  <c:v>76.25</c:v>
                </c:pt>
                <c:pt idx="6">
                  <c:v>82</c:v>
                </c:pt>
                <c:pt idx="7">
                  <c:v>104.625</c:v>
                </c:pt>
                <c:pt idx="8">
                  <c:v>75.75</c:v>
                </c:pt>
                <c:pt idx="9">
                  <c:v>66.375</c:v>
                </c:pt>
                <c:pt idx="10">
                  <c:v>60.375</c:v>
                </c:pt>
                <c:pt idx="11">
                  <c:v>57.75</c:v>
                </c:pt>
                <c:pt idx="12">
                  <c:v>61.125</c:v>
                </c:pt>
                <c:pt idx="13">
                  <c:v>79.875</c:v>
                </c:pt>
                <c:pt idx="14">
                  <c:v>108.625</c:v>
                </c:pt>
                <c:pt idx="15">
                  <c:v>112</c:v>
                </c:pt>
                <c:pt idx="16">
                  <c:v>103.75</c:v>
                </c:pt>
                <c:pt idx="17">
                  <c:v>84.5</c:v>
                </c:pt>
                <c:pt idx="18">
                  <c:v>66.25</c:v>
                </c:pt>
                <c:pt idx="19">
                  <c:v>65.625</c:v>
                </c:pt>
                <c:pt idx="20">
                  <c:v>79.875</c:v>
                </c:pt>
                <c:pt idx="21">
                  <c:v>83</c:v>
                </c:pt>
                <c:pt idx="22">
                  <c:v>83.125</c:v>
                </c:pt>
                <c:pt idx="23">
                  <c:v>67.125</c:v>
                </c:pt>
                <c:pt idx="24">
                  <c:v>60.25</c:v>
                </c:pt>
                <c:pt idx="25">
                  <c:v>62.75</c:v>
                </c:pt>
                <c:pt idx="26">
                  <c:v>74.875</c:v>
                </c:pt>
                <c:pt idx="27">
                  <c:v>96.625</c:v>
                </c:pt>
                <c:pt idx="28">
                  <c:v>95.625</c:v>
                </c:pt>
                <c:pt idx="29">
                  <c:v>72.25</c:v>
                </c:pt>
                <c:pt idx="30">
                  <c:v>70.375</c:v>
                </c:pt>
                <c:pt idx="31">
                  <c:v>85</c:v>
                </c:pt>
                <c:pt idx="32">
                  <c:v>85.5</c:v>
                </c:pt>
                <c:pt idx="33">
                  <c:v>88</c:v>
                </c:pt>
                <c:pt idx="34">
                  <c:v>83.625</c:v>
                </c:pt>
                <c:pt idx="35">
                  <c:v>67.75</c:v>
                </c:pt>
                <c:pt idx="36">
                  <c:v>69.25</c:v>
                </c:pt>
                <c:pt idx="37">
                  <c:v>85.125</c:v>
                </c:pt>
                <c:pt idx="38">
                  <c:v>69.625</c:v>
                </c:pt>
                <c:pt idx="39">
                  <c:v>65.75</c:v>
                </c:pt>
                <c:pt idx="40">
                  <c:v>66.5</c:v>
                </c:pt>
                <c:pt idx="41">
                  <c:v>68</c:v>
                </c:pt>
                <c:pt idx="42">
                  <c:v>67.625</c:v>
                </c:pt>
                <c:pt idx="43">
                  <c:v>62.375</c:v>
                </c:pt>
                <c:pt idx="44">
                  <c:v>53.5</c:v>
                </c:pt>
                <c:pt idx="45">
                  <c:v>49.25</c:v>
                </c:pt>
                <c:pt idx="46">
                  <c:v>46.5</c:v>
                </c:pt>
                <c:pt idx="47">
                  <c:v>48.75</c:v>
                </c:pt>
                <c:pt idx="48">
                  <c:v>47.75</c:v>
                </c:pt>
                <c:pt idx="49">
                  <c:v>44.625</c:v>
                </c:pt>
                <c:pt idx="50">
                  <c:v>47.875</c:v>
                </c:pt>
                <c:pt idx="51">
                  <c:v>55.5</c:v>
                </c:pt>
                <c:pt idx="52">
                  <c:v>45.375</c:v>
                </c:pt>
                <c:pt idx="53">
                  <c:v>39.5</c:v>
                </c:pt>
                <c:pt idx="54">
                  <c:v>34.25</c:v>
                </c:pt>
                <c:pt idx="55">
                  <c:v>34.625</c:v>
                </c:pt>
                <c:pt idx="56">
                  <c:v>39.25</c:v>
                </c:pt>
                <c:pt idx="57">
                  <c:v>45.25</c:v>
                </c:pt>
                <c:pt idx="58">
                  <c:v>51</c:v>
                </c:pt>
                <c:pt idx="59">
                  <c:v>38.5</c:v>
                </c:pt>
                <c:pt idx="60">
                  <c:v>40.375</c:v>
                </c:pt>
                <c:pt idx="61">
                  <c:v>40.125</c:v>
                </c:pt>
                <c:pt idx="62">
                  <c:v>42.125</c:v>
                </c:pt>
                <c:pt idx="63">
                  <c:v>40.125</c:v>
                </c:pt>
                <c:pt idx="64">
                  <c:v>42.5</c:v>
                </c:pt>
                <c:pt idx="65">
                  <c:v>44.5</c:v>
                </c:pt>
                <c:pt idx="66">
                  <c:v>42.375</c:v>
                </c:pt>
                <c:pt idx="67">
                  <c:v>45.875</c:v>
                </c:pt>
                <c:pt idx="68">
                  <c:v>48</c:v>
                </c:pt>
                <c:pt idx="69">
                  <c:v>55.375</c:v>
                </c:pt>
                <c:pt idx="70">
                  <c:v>47.5</c:v>
                </c:pt>
                <c:pt idx="71">
                  <c:v>47.5</c:v>
                </c:pt>
                <c:pt idx="72">
                  <c:v>52.125</c:v>
                </c:pt>
                <c:pt idx="73">
                  <c:v>47.5</c:v>
                </c:pt>
                <c:pt idx="74">
                  <c:v>52.375</c:v>
                </c:pt>
                <c:pt idx="75">
                  <c:v>79.25</c:v>
                </c:pt>
                <c:pt idx="76">
                  <c:v>87.625</c:v>
                </c:pt>
                <c:pt idx="77">
                  <c:v>113.625</c:v>
                </c:pt>
                <c:pt idx="78">
                  <c:v>109.25</c:v>
                </c:pt>
                <c:pt idx="79">
                  <c:v>109.375</c:v>
                </c:pt>
                <c:pt idx="80">
                  <c:v>121.25</c:v>
                </c:pt>
                <c:pt idx="81">
                  <c:v>107.25</c:v>
                </c:pt>
                <c:pt idx="82">
                  <c:v>71.75</c:v>
                </c:pt>
                <c:pt idx="83">
                  <c:v>63.214285714285715</c:v>
                </c:pt>
                <c:pt idx="84">
                  <c:v>73.928571428571431</c:v>
                </c:pt>
                <c:pt idx="85">
                  <c:v>78.214285714285708</c:v>
                </c:pt>
                <c:pt idx="86">
                  <c:v>79.821428571428569</c:v>
                </c:pt>
                <c:pt idx="87">
                  <c:v>73.928571428571431</c:v>
                </c:pt>
                <c:pt idx="88">
                  <c:v>64.285714285714292</c:v>
                </c:pt>
                <c:pt idx="89">
                  <c:v>63.214285714285715</c:v>
                </c:pt>
                <c:pt idx="90">
                  <c:v>51.428571428571431</c:v>
                </c:pt>
                <c:pt idx="91">
                  <c:v>36.964285714285715</c:v>
                </c:pt>
                <c:pt idx="92">
                  <c:v>38.035714285714285</c:v>
                </c:pt>
                <c:pt idx="93">
                  <c:v>34.285714285714285</c:v>
                </c:pt>
                <c:pt idx="94">
                  <c:v>31.071428571428573</c:v>
                </c:pt>
                <c:pt idx="95">
                  <c:v>33.214285714285715</c:v>
                </c:pt>
                <c:pt idx="96">
                  <c:v>46.071428571428569</c:v>
                </c:pt>
                <c:pt idx="97">
                  <c:v>60</c:v>
                </c:pt>
                <c:pt idx="98">
                  <c:v>43.392857142857146</c:v>
                </c:pt>
                <c:pt idx="99">
                  <c:v>32.142857142857146</c:v>
                </c:pt>
                <c:pt idx="100">
                  <c:v>64.285714285714292</c:v>
                </c:pt>
              </c:numCache>
            </c:numRef>
          </c:val>
          <c:smooth val="0"/>
        </c:ser>
        <c:ser>
          <c:idx val="4"/>
          <c:order val="2"/>
          <c:tx>
            <c:strRef>
              <c:f>'Wheat (Adjusted)'!$F$6</c:f>
              <c:strCache>
                <c:ptCount val="1"/>
                <c:pt idx="0">
                  <c:v>Baghdad, Imports, in d/bushel</c:v>
                </c:pt>
              </c:strCache>
            </c:strRef>
          </c:tx>
          <c:spPr>
            <a:ln w="15875" cap="rnd">
              <a:solidFill>
                <a:schemeClr val="accent5"/>
              </a:solidFill>
              <a:round/>
            </a:ln>
            <a:effectLst/>
          </c:spPr>
          <c:marker>
            <c:symbol val="circle"/>
            <c:size val="3"/>
            <c:spPr>
              <a:solidFill>
                <a:schemeClr val="accent5"/>
              </a:solidFill>
              <a:ln w="9525">
                <a:solidFill>
                  <a:schemeClr val="accent5"/>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(Adjusted)'!$F$7:$F$107</c:f>
              <c:numCache>
                <c:formatCode>0.0000</c:formatCode>
                <c:ptCount val="101"/>
                <c:pt idx="25" formatCode="_(* #,##0.0000_);_(* \(#,##0.0000\);_(* &quot;-&quot;??_);_(@_)">
                  <c:v>70.709313913400891</c:v>
                </c:pt>
                <c:pt idx="26" formatCode="_(* #,##0.0000_);_(* \(#,##0.0000\);_(* &quot;-&quot;??_);_(@_)">
                  <c:v>97.414383628555356</c:v>
                </c:pt>
                <c:pt idx="27" formatCode="_(* #,##0.0000_);_(* \(#,##0.0000\);_(* &quot;-&quot;??_);_(@_)">
                  <c:v>63.720419647238785</c:v>
                </c:pt>
                <c:pt idx="28" formatCode="_(* #,##0.0000_);_(* \(#,##0.0000\);_(* &quot;-&quot;??_);_(@_)">
                  <c:v>53.403130859594832</c:v>
                </c:pt>
                <c:pt idx="29" formatCode="_(* #,##0.0000_);_(* \(#,##0.0000\);_(* &quot;-&quot;??_);_(@_)">
                  <c:v>43.604076987975454</c:v>
                </c:pt>
                <c:pt idx="30" formatCode="_(* #,##0.0000_);_(* \(#,##0.0000\);_(* &quot;-&quot;??_);_(@_)">
                  <c:v>61.922483052737036</c:v>
                </c:pt>
                <c:pt idx="37" formatCode="_(* #,##0.0000_);_(* \(#,##0.0000\);_(* &quot;-&quot;??_);_(@_)">
                  <c:v>21.246101834259601</c:v>
                </c:pt>
                <c:pt idx="47">
                  <c:v>53.877551020408227</c:v>
                </c:pt>
                <c:pt idx="48">
                  <c:v>51.407401599498243</c:v>
                </c:pt>
                <c:pt idx="49">
                  <c:v>45.112781954887204</c:v>
                </c:pt>
                <c:pt idx="50">
                  <c:v>48.214285714285772</c:v>
                </c:pt>
                <c:pt idx="51">
                  <c:v>51.291793313069903</c:v>
                </c:pt>
                <c:pt idx="52">
                  <c:v>45.283018867924461</c:v>
                </c:pt>
                <c:pt idx="59">
                  <c:v>98.901098901098919</c:v>
                </c:pt>
                <c:pt idx="60">
                  <c:v>98.901098901098919</c:v>
                </c:pt>
                <c:pt idx="61">
                  <c:v>79.120879120879053</c:v>
                </c:pt>
                <c:pt idx="62">
                  <c:v>67.843070070241524</c:v>
                </c:pt>
                <c:pt idx="65">
                  <c:v>118.34319526627219</c:v>
                </c:pt>
                <c:pt idx="66">
                  <c:v>118.68131868131866</c:v>
                </c:pt>
              </c:numCache>
            </c:numRef>
          </c:val>
          <c:smooth val="0"/>
        </c:ser>
        <c:ser>
          <c:idx val="5"/>
          <c:order val="3"/>
          <c:tx>
            <c:strRef>
              <c:f>'Wheat (Adjusted)'!$G$6</c:f>
              <c:strCache>
                <c:ptCount val="1"/>
                <c:pt idx="0">
                  <c:v>Baghdad, Exports, in d/bushel</c:v>
                </c:pt>
              </c:strCache>
            </c:strRef>
          </c:tx>
          <c:spPr>
            <a:ln w="15875" cap="rnd">
              <a:solidFill>
                <a:schemeClr val="accent6"/>
              </a:solidFill>
              <a:round/>
            </a:ln>
            <a:effectLst/>
          </c:spPr>
          <c:marker>
            <c:symbol val="circle"/>
            <c:size val="3"/>
            <c:spPr>
              <a:solidFill>
                <a:schemeClr val="accent6"/>
              </a:solidFill>
              <a:ln w="9525">
                <a:solidFill>
                  <a:schemeClr val="accent6"/>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val>
          <c:smooth val="0"/>
        </c:ser>
        <c:ser>
          <c:idx val="7"/>
          <c:order val="4"/>
          <c:tx>
            <c:strRef>
              <c:f>'Wheat (Adjusted)'!$I$6</c:f>
              <c:strCache>
                <c:ptCount val="1"/>
                <c:pt idx="0">
                  <c:v>Basrah, Imports, in d/bushel</c:v>
                </c:pt>
              </c:strCache>
            </c:strRef>
          </c:tx>
          <c:spPr>
            <a:ln w="15875" cap="rnd">
              <a:solidFill>
                <a:schemeClr val="accent2">
                  <a:lumMod val="60000"/>
                </a:schemeClr>
              </a:solidFill>
              <a:round/>
            </a:ln>
            <a:effectLst/>
          </c:spPr>
          <c:marker>
            <c:symbol val="circle"/>
            <c:size val="3"/>
            <c:spPr>
              <a:solidFill>
                <a:schemeClr val="accent2">
                  <a:lumMod val="60000"/>
                </a:schemeClr>
              </a:solidFill>
              <a:ln w="9525">
                <a:solidFill>
                  <a:schemeClr val="accent2">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(Adjusted)'!$I$7:$I$107</c:f>
              <c:numCache>
                <c:formatCode>0.0000</c:formatCode>
                <c:ptCount val="101"/>
                <c:pt idx="33">
                  <c:v>42.830357142857181</c:v>
                </c:pt>
                <c:pt idx="47">
                  <c:v>39.331290909825363</c:v>
                </c:pt>
                <c:pt idx="48">
                  <c:v>36.734693877551088</c:v>
                </c:pt>
                <c:pt idx="49">
                  <c:v>40.511157734121696</c:v>
                </c:pt>
                <c:pt idx="50">
                  <c:v>36.217303822937666</c:v>
                </c:pt>
                <c:pt idx="58">
                  <c:v>18.370877084256673</c:v>
                </c:pt>
                <c:pt idx="59">
                  <c:v>36.491953609637712</c:v>
                </c:pt>
                <c:pt idx="60">
                  <c:v>36.734693877551088</c:v>
                </c:pt>
                <c:pt idx="61">
                  <c:v>36.730672564592304</c:v>
                </c:pt>
                <c:pt idx="62">
                  <c:v>36.734693877551088</c:v>
                </c:pt>
                <c:pt idx="63">
                  <c:v>36.725024308222942</c:v>
                </c:pt>
                <c:pt idx="64">
                  <c:v>36.720816018133682</c:v>
                </c:pt>
                <c:pt idx="65">
                  <c:v>36.760292967361103</c:v>
                </c:pt>
                <c:pt idx="66">
                  <c:v>33.058969444131264</c:v>
                </c:pt>
                <c:pt idx="69">
                  <c:v>60.608328619294227</c:v>
                </c:pt>
                <c:pt idx="70">
                  <c:v>58.775510204081563</c:v>
                </c:pt>
                <c:pt idx="71">
                  <c:v>36.734693877551088</c:v>
                </c:pt>
                <c:pt idx="72">
                  <c:v>44.08886033508341</c:v>
                </c:pt>
                <c:pt idx="73">
                  <c:v>55.100543518948321</c:v>
                </c:pt>
              </c:numCache>
            </c:numRef>
          </c:val>
          <c:smooth val="0"/>
        </c:ser>
        <c:ser>
          <c:idx val="8"/>
          <c:order val="5"/>
          <c:tx>
            <c:strRef>
              <c:f>'Wheat (Adjusted)'!$J$6</c:f>
              <c:strCache>
                <c:ptCount val="1"/>
                <c:pt idx="0">
                  <c:v>Basrah, Exports, in d/bushel</c:v>
                </c:pt>
              </c:strCache>
            </c:strRef>
          </c:tx>
          <c:spPr>
            <a:ln w="15875" cap="rnd">
              <a:solidFill>
                <a:schemeClr val="accent3">
                  <a:lumMod val="60000"/>
                </a:schemeClr>
              </a:solidFill>
              <a:round/>
            </a:ln>
            <a:effectLst/>
          </c:spPr>
          <c:marker>
            <c:symbol val="circle"/>
            <c:size val="3"/>
            <c:spPr>
              <a:solidFill>
                <a:schemeClr val="accent3">
                  <a:lumMod val="60000"/>
                </a:schemeClr>
              </a:solidFill>
              <a:ln w="9525">
                <a:solidFill>
                  <a:schemeClr val="accent3">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(Adjusted)'!$J$7:$J$107</c:f>
              <c:numCache>
                <c:formatCode>0.0000</c:formatCode>
                <c:ptCount val="101"/>
                <c:pt idx="48">
                  <c:v>37.914554125459873</c:v>
                </c:pt>
                <c:pt idx="49">
                  <c:v>32.775100350369122</c:v>
                </c:pt>
                <c:pt idx="50">
                  <c:v>33.637103877877919</c:v>
                </c:pt>
                <c:pt idx="51">
                  <c:v>34.25294873005776</c:v>
                </c:pt>
                <c:pt idx="52">
                  <c:v>36.267746639566603</c:v>
                </c:pt>
                <c:pt idx="53">
                  <c:v>18.367851018290974</c:v>
                </c:pt>
                <c:pt idx="54">
                  <c:v>18.947375941548671</c:v>
                </c:pt>
                <c:pt idx="55">
                  <c:v>19.836726560116272</c:v>
                </c:pt>
                <c:pt idx="56">
                  <c:v>24.107116341796704</c:v>
                </c:pt>
                <c:pt idx="57">
                  <c:v>7.0647338950232834</c:v>
                </c:pt>
                <c:pt idx="58">
                  <c:v>32.142857142857181</c:v>
                </c:pt>
                <c:pt idx="59">
                  <c:v>32.143331233288365</c:v>
                </c:pt>
                <c:pt idx="60">
                  <c:v>32.142857142857181</c:v>
                </c:pt>
                <c:pt idx="61">
                  <c:v>33.750599208157588</c:v>
                </c:pt>
                <c:pt idx="62">
                  <c:v>33.748119230612829</c:v>
                </c:pt>
                <c:pt idx="63">
                  <c:v>32.143127026375439</c:v>
                </c:pt>
                <c:pt idx="64">
                  <c:v>19.905998211342144</c:v>
                </c:pt>
                <c:pt idx="65">
                  <c:v>29.387832272930304</c:v>
                </c:pt>
                <c:pt idx="66">
                  <c:v>24.489719393972688</c:v>
                </c:pt>
                <c:pt idx="67">
                  <c:v>36.734693877551088</c:v>
                </c:pt>
                <c:pt idx="68">
                  <c:v>44.081596084935171</c:v>
                </c:pt>
                <c:pt idx="69">
                  <c:v>47.755102040816254</c:v>
                </c:pt>
                <c:pt idx="70">
                  <c:v>44.081500883587488</c:v>
                </c:pt>
                <c:pt idx="71">
                  <c:v>44.081632653061249</c:v>
                </c:pt>
                <c:pt idx="72">
                  <c:v>47.755259224846988</c:v>
                </c:pt>
                <c:pt idx="73">
                  <c:v>55.095160113944502</c:v>
                </c:pt>
              </c:numCache>
            </c:numRef>
          </c:val>
          <c:smooth val="0"/>
        </c:ser>
        <c:ser>
          <c:idx val="10"/>
          <c:order val="6"/>
          <c:tx>
            <c:strRef>
              <c:f>'Wheat (Adjusted)'!$L$6</c:f>
              <c:strCache>
                <c:ptCount val="1"/>
                <c:pt idx="0">
                  <c:v>Mosul, Imports, in d/bushel</c:v>
                </c:pt>
              </c:strCache>
            </c:strRef>
          </c:tx>
          <c:spPr>
            <a:ln w="15875" cap="rnd">
              <a:solidFill>
                <a:schemeClr val="accent5">
                  <a:lumMod val="60000"/>
                </a:schemeClr>
              </a:solidFill>
              <a:round/>
            </a:ln>
            <a:effectLst/>
          </c:spPr>
          <c:marker>
            <c:symbol val="circle"/>
            <c:size val="3"/>
            <c:spPr>
              <a:solidFill>
                <a:schemeClr val="accent5">
                  <a:lumMod val="60000"/>
                </a:schemeClr>
              </a:solidFill>
              <a:ln w="9525">
                <a:solidFill>
                  <a:schemeClr val="accent5">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(Adjusted)'!$L$7:$L$107</c:f>
              <c:numCache>
                <c:formatCode>0.0000</c:formatCode>
                <c:ptCount val="101"/>
                <c:pt idx="44">
                  <c:v>16.363636363636392</c:v>
                </c:pt>
              </c:numCache>
            </c:numRef>
          </c:val>
          <c:smooth val="0"/>
        </c:ser>
        <c:ser>
          <c:idx val="11"/>
          <c:order val="7"/>
          <c:tx>
            <c:strRef>
              <c:f>'Wheat (Adjusted)'!$M$6</c:f>
              <c:strCache>
                <c:ptCount val="1"/>
                <c:pt idx="0">
                  <c:v>Mosul, Exports, in d/bushel</c:v>
                </c:pt>
              </c:strCache>
            </c:strRef>
          </c:tx>
          <c:spPr>
            <a:ln w="15875" cap="rnd">
              <a:solidFill>
                <a:schemeClr val="accent6">
                  <a:lumMod val="60000"/>
                </a:schemeClr>
              </a:solidFill>
              <a:round/>
            </a:ln>
            <a:effectLst/>
          </c:spPr>
          <c:marker>
            <c:symbol val="circle"/>
            <c:size val="3"/>
            <c:spPr>
              <a:solidFill>
                <a:schemeClr val="accent6">
                  <a:lumMod val="60000"/>
                </a:schemeClr>
              </a:solidFill>
              <a:ln w="9525">
                <a:solidFill>
                  <a:schemeClr val="accent6">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(Adjusted)'!$M$7:$M$107</c:f>
              <c:numCache>
                <c:formatCode>0.0000</c:formatCode>
                <c:ptCount val="101"/>
                <c:pt idx="44">
                  <c:v>16.363636363636392</c:v>
                </c:pt>
              </c:numCache>
            </c:numRef>
          </c:val>
          <c:smooth val="0"/>
        </c:ser>
        <c:ser>
          <c:idx val="12"/>
          <c:order val="8"/>
          <c:tx>
            <c:strRef>
              <c:f>'Wheat (Adjusted)'!$N$6</c:f>
              <c:strCache>
                <c:ptCount val="1"/>
                <c:pt idx="0">
                  <c:v>Aleppo, , in d/bushel</c:v>
                </c:pt>
              </c:strCache>
            </c:strRef>
          </c:tx>
          <c:spPr>
            <a:ln w="15875" cap="rnd">
              <a:solidFill>
                <a:schemeClr val="accent1">
                  <a:lumMod val="80000"/>
                  <a:lumOff val="20000"/>
                </a:schemeClr>
              </a:solidFill>
              <a:round/>
            </a:ln>
            <a:effectLst/>
          </c:spPr>
          <c:marker>
            <c:symbol val="circle"/>
            <c:size val="3"/>
            <c:spPr>
              <a:solidFill>
                <a:schemeClr val="accent1">
                  <a:lumMod val="80000"/>
                  <a:lumOff val="20000"/>
                </a:schemeClr>
              </a:solidFill>
              <a:ln w="9525">
                <a:solidFill>
                  <a:schemeClr val="accent1">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(Adjusted)'!$N$7:$N$107</c:f>
              <c:numCache>
                <c:formatCode>0.0000</c:formatCode>
                <c:ptCount val="101"/>
                <c:pt idx="5" formatCode="_(* #,##0.0000_);_(* \(#,##0.0000\);_(* &quot;-&quot;??_);_(@_)">
                  <c:v>24.545454545454543</c:v>
                </c:pt>
                <c:pt idx="6" formatCode="_(* #,##0.0000_);_(* \(#,##0.0000\);_(* &quot;-&quot;??_);_(@_)">
                  <c:v>53.999999999999993</c:v>
                </c:pt>
                <c:pt idx="7" formatCode="_(* #,##0.0000_);_(* \(#,##0.0000\);_(* &quot;-&quot;??_);_(@_)">
                  <c:v>53.999999999999993</c:v>
                </c:pt>
                <c:pt idx="8" formatCode="_(* #,##0.0000_);_(* \(#,##0.0000\);_(* &quot;-&quot;??_);_(@_)">
                  <c:v>24.545454545454543</c:v>
                </c:pt>
                <c:pt idx="10" formatCode="_(* #,##0.0000_);_(* \(#,##0.0000\);_(* &quot;-&quot;??_);_(@_)">
                  <c:v>15.709090909090909</c:v>
                </c:pt>
                <c:pt idx="15" formatCode="_(* #,##0.0000_);_(* \(#,##0.0000\);_(* &quot;-&quot;??_);_(@_)">
                  <c:v>29.45454545454545</c:v>
                </c:pt>
                <c:pt idx="16" formatCode="_(* #,##0.0000_);_(* \(#,##0.0000\);_(* &quot;-&quot;??_);_(@_)">
                  <c:v>23.563636363636359</c:v>
                </c:pt>
                <c:pt idx="17" formatCode="_(* #,##0.0000_);_(* \(#,##0.0000\);_(* &quot;-&quot;??_);_(@_)">
                  <c:v>39.272727272727273</c:v>
                </c:pt>
                <c:pt idx="19" formatCode="_(* #,##0.0000_);_(* \(#,##0.0000\);_(* &quot;-&quot;??_);_(@_)">
                  <c:v>110.45454545454544</c:v>
                </c:pt>
                <c:pt idx="20" formatCode="_(* #,##0.0000_);_(* \(#,##0.0000\);_(* &quot;-&quot;??_);_(@_)">
                  <c:v>166.90909090909088</c:v>
                </c:pt>
                <c:pt idx="21" formatCode="_(* #,##0.0000_);_(* \(#,##0.0000\);_(* &quot;-&quot;??_);_(@_)">
                  <c:v>49.090909090909086</c:v>
                </c:pt>
                <c:pt idx="31" formatCode="_(* #,##0.0000_);_(* \(#,##0.0000\);_(* &quot;-&quot;??_);_(@_)">
                  <c:v>147.27272727272725</c:v>
                </c:pt>
                <c:pt idx="34" formatCode="_(* #,##0.0000_);_(* \(#,##0.0000\);_(* &quot;-&quot;??_);_(@_)">
                  <c:v>53.999999999999993</c:v>
                </c:pt>
                <c:pt idx="39" formatCode="_(* #,##0.0000_);_(* \(#,##0.0000\);_(* &quot;-&quot;??_);_(@_)">
                  <c:v>56.945454545454538</c:v>
                </c:pt>
                <c:pt idx="53" formatCode="_(* #,##0.0000_);_(* \(#,##0.0000\);_(* &quot;-&quot;??_);_(@_)">
                  <c:v>60.872727272727275</c:v>
                </c:pt>
                <c:pt idx="63" formatCode="_(* #,##0.0000_);_(* \(#,##0.0000\);_(* &quot;-&quot;??_);_(@_)">
                  <c:v>78.545454545454547</c:v>
                </c:pt>
                <c:pt idx="68" formatCode="_(* #,##0.0000_);_(* \(#,##0.0000\);_(* &quot;-&quot;??_);_(@_)">
                  <c:v>107.99999999999999</c:v>
                </c:pt>
                <c:pt idx="69" formatCode="_(* #,##0.0000_);_(* \(#,##0.0000\);_(* &quot;-&quot;??_);_(@_)">
                  <c:v>162</c:v>
                </c:pt>
                <c:pt idx="70" formatCode="_(* #,##0.0000_);_(* \(#,##0.0000\);_(* &quot;-&quot;??_);_(@_)">
                  <c:v>127.63636363636363</c:v>
                </c:pt>
                <c:pt idx="71" formatCode="_(* #,##0.0000_);_(* \(#,##0.0000\);_(* &quot;-&quot;??_);_(@_)">
                  <c:v>147.27272727272725</c:v>
                </c:pt>
                <c:pt idx="72" formatCode="_(* #,##0.0000_);_(* \(#,##0.0000\);_(* &quot;-&quot;??_);_(@_)">
                  <c:v>166.90909090909088</c:v>
                </c:pt>
                <c:pt idx="73" formatCode="_(* #,##0.0000_);_(* \(#,##0.0000\);_(* &quot;-&quot;??_);_(@_)">
                  <c:v>90.818181818181813</c:v>
                </c:pt>
              </c:numCache>
            </c:numRef>
          </c:val>
          <c:smooth val="0"/>
        </c:ser>
        <c:ser>
          <c:idx val="13"/>
          <c:order val="9"/>
          <c:tx>
            <c:strRef>
              <c:f>'Wheat (Adjusted)'!$O$6</c:f>
              <c:strCache>
                <c:ptCount val="1"/>
                <c:pt idx="0">
                  <c:v>Palestine, Imports, in d/bushel</c:v>
                </c:pt>
              </c:strCache>
            </c:strRef>
          </c:tx>
          <c:spPr>
            <a:ln w="15875" cap="rnd">
              <a:solidFill>
                <a:schemeClr val="accent2">
                  <a:lumMod val="80000"/>
                  <a:lumOff val="20000"/>
                </a:schemeClr>
              </a:solidFill>
              <a:round/>
            </a:ln>
            <a:effectLst/>
          </c:spPr>
          <c:marker>
            <c:symbol val="circle"/>
            <c:size val="3"/>
            <c:spPr>
              <a:solidFill>
                <a:schemeClr val="accent2">
                  <a:lumMod val="80000"/>
                  <a:lumOff val="20000"/>
                </a:schemeClr>
              </a:solidFill>
              <a:ln w="9525">
                <a:solidFill>
                  <a:schemeClr val="accent2">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(Adjusted)'!$O$7:$O$107</c:f>
              <c:numCache>
                <c:formatCode>0.0000</c:formatCode>
                <c:ptCount val="101"/>
                <c:pt idx="37">
                  <c:v>76.502732240437197</c:v>
                </c:pt>
                <c:pt idx="39">
                  <c:v>70.214375788146299</c:v>
                </c:pt>
                <c:pt idx="62">
                  <c:v>75.089465253399752</c:v>
                </c:pt>
                <c:pt idx="67">
                  <c:v>38.571428571428591</c:v>
                </c:pt>
                <c:pt idx="70">
                  <c:v>62.655279503105518</c:v>
                </c:pt>
                <c:pt idx="72">
                  <c:v>66.758241758241752</c:v>
                </c:pt>
              </c:numCache>
            </c:numRef>
          </c:val>
          <c:smooth val="0"/>
        </c:ser>
        <c:ser>
          <c:idx val="14"/>
          <c:order val="10"/>
          <c:tx>
            <c:strRef>
              <c:f>'Wheat (Adjusted)'!$P$6</c:f>
              <c:strCache>
                <c:ptCount val="1"/>
                <c:pt idx="0">
                  <c:v>Palestine, Exports, in d/bushel</c:v>
                </c:pt>
              </c:strCache>
            </c:strRef>
          </c:tx>
          <c:spPr>
            <a:ln w="15875" cap="rnd">
              <a:solidFill>
                <a:schemeClr val="accent3">
                  <a:lumMod val="80000"/>
                  <a:lumOff val="20000"/>
                </a:schemeClr>
              </a:solidFill>
              <a:round/>
            </a:ln>
            <a:effectLst/>
          </c:spPr>
          <c:marker>
            <c:symbol val="circle"/>
            <c:size val="3"/>
            <c:spPr>
              <a:solidFill>
                <a:schemeClr val="accent3">
                  <a:lumMod val="80000"/>
                  <a:lumOff val="20000"/>
                </a:schemeClr>
              </a:solidFill>
              <a:ln w="9525">
                <a:solidFill>
                  <a:schemeClr val="accent3">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(Adjusted)'!$P$7:$P$107</c:f>
              <c:numCache>
                <c:formatCode>0.0000</c:formatCode>
                <c:ptCount val="101"/>
                <c:pt idx="16">
                  <c:v>59.937216602720547</c:v>
                </c:pt>
                <c:pt idx="17">
                  <c:v>45.706313219393088</c:v>
                </c:pt>
                <c:pt idx="18">
                  <c:v>32.581952505952849</c:v>
                </c:pt>
                <c:pt idx="19">
                  <c:v>49.381020230589215</c:v>
                </c:pt>
                <c:pt idx="20">
                  <c:v>75.540885403201784</c:v>
                </c:pt>
                <c:pt idx="21">
                  <c:v>59.016293153288352</c:v>
                </c:pt>
                <c:pt idx="22">
                  <c:v>41.867618205257564</c:v>
                </c:pt>
                <c:pt idx="23">
                  <c:v>40.213675047501212</c:v>
                </c:pt>
                <c:pt idx="33">
                  <c:v>56.206088992974237</c:v>
                </c:pt>
                <c:pt idx="34">
                  <c:v>42.611241217798657</c:v>
                </c:pt>
                <c:pt idx="35">
                  <c:v>38.360655737704946</c:v>
                </c:pt>
                <c:pt idx="36">
                  <c:v>37.888132454659292</c:v>
                </c:pt>
                <c:pt idx="37">
                  <c:v>59.016393442622878</c:v>
                </c:pt>
                <c:pt idx="38">
                  <c:v>57.330210772833695</c:v>
                </c:pt>
                <c:pt idx="39">
                  <c:v>67.576023025904149</c:v>
                </c:pt>
                <c:pt idx="40">
                  <c:v>53.099737204354845</c:v>
                </c:pt>
                <c:pt idx="41">
                  <c:v>43.715846994535589</c:v>
                </c:pt>
                <c:pt idx="42">
                  <c:v>35.62841219064768</c:v>
                </c:pt>
                <c:pt idx="43">
                  <c:v>34.843627124795809</c:v>
                </c:pt>
                <c:pt idx="44">
                  <c:v>31.243972999035741</c:v>
                </c:pt>
                <c:pt idx="45">
                  <c:v>58.108448928121057</c:v>
                </c:pt>
                <c:pt idx="46">
                  <c:v>63.556116015132424</c:v>
                </c:pt>
                <c:pt idx="47">
                  <c:v>43.581336696090865</c:v>
                </c:pt>
                <c:pt idx="48">
                  <c:v>45.324590163934459</c:v>
                </c:pt>
                <c:pt idx="49">
                  <c:v>43.565915133211824</c:v>
                </c:pt>
                <c:pt idx="50">
                  <c:v>34.772900223749467</c:v>
                </c:pt>
                <c:pt idx="51">
                  <c:v>44.470751730704933</c:v>
                </c:pt>
                <c:pt idx="55">
                  <c:v>26.014345848102529</c:v>
                </c:pt>
                <c:pt idx="56">
                  <c:v>63.913967656961766</c:v>
                </c:pt>
                <c:pt idx="58">
                  <c:v>50.84489281210589</c:v>
                </c:pt>
                <c:pt idx="66">
                  <c:v>68.571428571428541</c:v>
                </c:pt>
                <c:pt idx="68">
                  <c:v>55.076893310024928</c:v>
                </c:pt>
                <c:pt idx="69">
                  <c:v>80.357142857142819</c:v>
                </c:pt>
                <c:pt idx="71">
                  <c:v>55.498458376156179</c:v>
                </c:pt>
                <c:pt idx="72">
                  <c:v>53.912337662337698</c:v>
                </c:pt>
              </c:numCache>
            </c:numRef>
          </c:val>
          <c:smooth val="0"/>
        </c:ser>
        <c:ser>
          <c:idx val="16"/>
          <c:order val="11"/>
          <c:tx>
            <c:strRef>
              <c:f>'Wheat (Adjusted)'!$R$6</c:f>
              <c:strCache>
                <c:ptCount val="1"/>
                <c:pt idx="0">
                  <c:v>Damascus, Imports, in d/bushel</c:v>
                </c:pt>
              </c:strCache>
            </c:strRef>
          </c:tx>
          <c:spPr>
            <a:ln w="15875" cap="rnd">
              <a:solidFill>
                <a:schemeClr val="accent5">
                  <a:lumMod val="80000"/>
                  <a:lumOff val="20000"/>
                </a:schemeClr>
              </a:solidFill>
              <a:round/>
            </a:ln>
            <a:effectLst/>
          </c:spPr>
          <c:marker>
            <c:symbol val="circle"/>
            <c:size val="3"/>
            <c:spPr>
              <a:solidFill>
                <a:schemeClr val="accent5">
                  <a:lumMod val="80000"/>
                  <a:lumOff val="20000"/>
                </a:schemeClr>
              </a:solidFill>
              <a:ln w="9525">
                <a:solidFill>
                  <a:schemeClr val="accent5">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(Adjusted)'!$R$7:$R$107</c:f>
              <c:numCache>
                <c:formatCode>0.0000</c:formatCode>
                <c:ptCount val="101"/>
                <c:pt idx="9" formatCode="_(* #,##0.0000_);_(* \(#,##0.0000\);_(* &quot;-&quot;??_);_(@_)">
                  <c:v>23.563636363636359</c:v>
                </c:pt>
                <c:pt idx="23" formatCode="_(* #,##0.0000_);_(* \(#,##0.0000\);_(* &quot;-&quot;??_);_(@_)">
                  <c:v>43.199999999999996</c:v>
                </c:pt>
                <c:pt idx="26" formatCode="_(* #,##0.0000_);_(* \(#,##0.0000\);_(* &quot;-&quot;??_);_(@_)">
                  <c:v>47.127272727272718</c:v>
                </c:pt>
                <c:pt idx="31" formatCode="_(* #,##0.0000_);_(* \(#,##0.0000\);_(* &quot;-&quot;??_);_(@_)">
                  <c:v>157.09090909090909</c:v>
                </c:pt>
                <c:pt idx="34" formatCode="_(* #,##0.0000_);_(* \(#,##0.0000\);_(* &quot;-&quot;??_);_(@_)">
                  <c:v>62.836363636363636</c:v>
                </c:pt>
                <c:pt idx="36" formatCode="_(* #,##0.0000_);_(* \(#,##0.0000\);_(* &quot;-&quot;??_);_(@_)">
                  <c:v>41.236363636363635</c:v>
                </c:pt>
                <c:pt idx="38" formatCode="_(* #,##0.0000_);_(* \(#,##0.0000\);_(* &quot;-&quot;??_);_(@_)">
                  <c:v>64.8</c:v>
                </c:pt>
                <c:pt idx="39" formatCode="_(* #,##0.0000_);_(* \(#,##0.0000\);_(* &quot;-&quot;??_);_(@_)">
                  <c:v>127.63636363636363</c:v>
                </c:pt>
                <c:pt idx="40" formatCode="_(* #,##0.0000_);_(* \(#,##0.0000\);_(* &quot;-&quot;??_);_(@_)">
                  <c:v>62.836363636363636</c:v>
                </c:pt>
                <c:pt idx="42" formatCode="_(* #,##0.0000_);_(* \(#,##0.0000\);_(* &quot;-&quot;??_);_(@_)">
                  <c:v>64.8</c:v>
                </c:pt>
                <c:pt idx="44" formatCode="_(* #,##0.0000_);_(* \(#,##0.0000\);_(* &quot;-&quot;??_);_(@_)">
                  <c:v>37.309090909090905</c:v>
                </c:pt>
                <c:pt idx="45" formatCode="_(* #,##0.0000_);_(* \(#,##0.0000\);_(* &quot;-&quot;??_);_(@_)">
                  <c:v>64.8</c:v>
                </c:pt>
                <c:pt idx="46" formatCode="_(* #,##0.0000_);_(* \(#,##0.0000\);_(* &quot;-&quot;??_);_(@_)">
                  <c:v>68.727272727272734</c:v>
                </c:pt>
                <c:pt idx="47" formatCode="_(* #,##0.0000_);_(* \(#,##0.0000\);_(* &quot;-&quot;??_);_(@_)">
                  <c:v>39.272727272727273</c:v>
                </c:pt>
                <c:pt idx="48" formatCode="_(* #,##0.0000_);_(* \(#,##0.0000\);_(* &quot;-&quot;??_);_(@_)">
                  <c:v>39.272727272727273</c:v>
                </c:pt>
                <c:pt idx="49" formatCode="_(* #,##0.0000_);_(* \(#,##0.0000\);_(* &quot;-&quot;??_);_(@_)">
                  <c:v>31.418181818181818</c:v>
                </c:pt>
                <c:pt idx="58" formatCode="_(* #,##0.0000_);_(* \(#,##0.0000\);_(* &quot;-&quot;??_);_(@_)">
                  <c:v>51.054545454545455</c:v>
                </c:pt>
                <c:pt idx="60" formatCode="_(* #,##0.0000_);_(* \(#,##0.0000\);_(* &quot;-&quot;??_);_(@_)">
                  <c:v>132.54545454545453</c:v>
                </c:pt>
                <c:pt idx="61" formatCode="_(* #,##0.0000_);_(* \(#,##0.0000\);_(* &quot;-&quot;??_);_(@_)">
                  <c:v>59.890909090909098</c:v>
                </c:pt>
                <c:pt idx="63" formatCode="_(* #,##0.0000_);_(* \(#,##0.0000\);_(* &quot;-&quot;??_);_(@_)">
                  <c:v>49.090909090909086</c:v>
                </c:pt>
                <c:pt idx="66" formatCode="_(* #,##0.0000_);_(* \(#,##0.0000\);_(* &quot;-&quot;??_);_(@_)">
                  <c:v>67.25454545454545</c:v>
                </c:pt>
                <c:pt idx="71" formatCode="_(* #,##0.0000_);_(* \(#,##0.0000\);_(* &quot;-&quot;??_);_(@_)">
                  <c:v>71.181818181818173</c:v>
                </c:pt>
              </c:numCache>
            </c:numRef>
          </c:val>
          <c:smooth val="0"/>
        </c:ser>
        <c:ser>
          <c:idx val="17"/>
          <c:order val="12"/>
          <c:tx>
            <c:strRef>
              <c:f>'Wheat (Adjusted)'!$S$6</c:f>
              <c:strCache>
                <c:ptCount val="1"/>
                <c:pt idx="0">
                  <c:v>Damascus, Exports, in d/bushel</c:v>
                </c:pt>
              </c:strCache>
            </c:strRef>
          </c:tx>
          <c:spPr>
            <a:ln w="15875" cap="rnd">
              <a:solidFill>
                <a:schemeClr val="accent6">
                  <a:lumMod val="80000"/>
                  <a:lumOff val="20000"/>
                </a:schemeClr>
              </a:solidFill>
              <a:round/>
            </a:ln>
            <a:effectLst/>
          </c:spPr>
          <c:marker>
            <c:symbol val="circle"/>
            <c:size val="3"/>
            <c:spPr>
              <a:solidFill>
                <a:schemeClr val="accent6">
                  <a:lumMod val="80000"/>
                  <a:lumOff val="20000"/>
                </a:schemeClr>
              </a:solidFill>
              <a:ln w="9525">
                <a:solidFill>
                  <a:schemeClr val="accent6">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(Adjusted)'!$S$7:$S$107</c:f>
              <c:numCache>
                <c:formatCode>0.0000</c:formatCode>
                <c:ptCount val="101"/>
                <c:pt idx="44" formatCode="_(* #,##0.0000_);_(* \(#,##0.0000\);_(* &quot;-&quot;??_);_(@_)">
                  <c:v>53.436246750000002</c:v>
                </c:pt>
                <c:pt idx="62" formatCode="_(* #,##0.0000_);_(* \(#,##0.0000\);_(* &quot;-&quot;??_);_(@_)">
                  <c:v>35.835428571428572</c:v>
                </c:pt>
                <c:pt idx="63" formatCode="_(* #,##0.0000_);_(* \(#,##0.0000\);_(* &quot;-&quot;??_);_(@_)">
                  <c:v>36.000000000000007</c:v>
                </c:pt>
                <c:pt idx="64" formatCode="_(* #,##0.0000_);_(* \(#,##0.0000\);_(* &quot;-&quot;??_);_(@_)">
                  <c:v>39</c:v>
                </c:pt>
                <c:pt idx="65" formatCode="_(* #,##0.0000_);_(* \(#,##0.0000\);_(* &quot;-&quot;??_);_(@_)">
                  <c:v>44</c:v>
                </c:pt>
                <c:pt idx="66" formatCode="_(* #,##0.0000_);_(* \(#,##0.0000\);_(* &quot;-&quot;??_);_(@_)">
                  <c:v>41.6</c:v>
                </c:pt>
                <c:pt idx="68" formatCode="_(* #,##0.0000_);_(* \(#,##0.0000\);_(* &quot;-&quot;??_);_(@_)">
                  <c:v>64</c:v>
                </c:pt>
                <c:pt idx="69" formatCode="_(* #,##0.0000_);_(* \(#,##0.0000\);_(* &quot;-&quot;??_);_(@_)">
                  <c:v>72.000000000000014</c:v>
                </c:pt>
                <c:pt idx="70" formatCode="_(* #,##0.0000_);_(* \(#,##0.0000\);_(* &quot;-&quot;??_);_(@_)">
                  <c:v>80.533333333333346</c:v>
                </c:pt>
                <c:pt idx="71" formatCode="_(* #,##0.0000_);_(* \(#,##0.0000\);_(* &quot;-&quot;??_);_(@_)">
                  <c:v>78</c:v>
                </c:pt>
              </c:numCache>
            </c:numRef>
          </c:val>
          <c:smooth val="0"/>
        </c:ser>
        <c:ser>
          <c:idx val="18"/>
          <c:order val="13"/>
          <c:tx>
            <c:strRef>
              <c:f>'Wheat (Adjusted)'!$T$6</c:f>
              <c:strCache>
                <c:ptCount val="1"/>
                <c:pt idx="0">
                  <c:v>Beirut, Exports, in d/bushel</c:v>
                </c:pt>
              </c:strCache>
            </c:strRef>
          </c:tx>
          <c:spPr>
            <a:ln w="15875" cap="rnd">
              <a:solidFill>
                <a:schemeClr val="accent1">
                  <a:lumMod val="80000"/>
                </a:schemeClr>
              </a:solidFill>
              <a:round/>
            </a:ln>
            <a:effectLst/>
          </c:spPr>
          <c:marker>
            <c:symbol val="circle"/>
            <c:size val="3"/>
            <c:spPr>
              <a:solidFill>
                <a:schemeClr val="accent1">
                  <a:lumMod val="80000"/>
                </a:schemeClr>
              </a:solidFill>
              <a:ln w="9525">
                <a:solidFill>
                  <a:schemeClr val="accent1">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(Adjusted)'!$T$7:$T$107</c:f>
              <c:numCache>
                <c:formatCode>0.0000</c:formatCode>
                <c:ptCount val="101"/>
                <c:pt idx="32">
                  <c:v>66.036585365853654</c:v>
                </c:pt>
                <c:pt idx="34">
                  <c:v>34.49939024390244</c:v>
                </c:pt>
                <c:pt idx="35">
                  <c:v>51.707317073170721</c:v>
                </c:pt>
                <c:pt idx="36">
                  <c:v>46.829268292682926</c:v>
                </c:pt>
                <c:pt idx="37">
                  <c:v>97.457857142857137</c:v>
                </c:pt>
                <c:pt idx="38">
                  <c:v>52.545921787709496</c:v>
                </c:pt>
                <c:pt idx="39">
                  <c:v>72.980446927374274</c:v>
                </c:pt>
                <c:pt idx="43">
                  <c:v>39.272727272727266</c:v>
                </c:pt>
                <c:pt idx="48">
                  <c:v>60</c:v>
                </c:pt>
                <c:pt idx="59">
                  <c:v>44.634146341463413</c:v>
                </c:pt>
                <c:pt idx="60">
                  <c:v>32.926829268292686</c:v>
                </c:pt>
                <c:pt idx="61">
                  <c:v>34.390243902439032</c:v>
                </c:pt>
              </c:numCache>
            </c:numRef>
          </c:val>
          <c:smooth val="0"/>
        </c:ser>
        <c:ser>
          <c:idx val="19"/>
          <c:order val="14"/>
          <c:tx>
            <c:strRef>
              <c:f>'Wheat (Adjusted)'!$U$6</c:f>
              <c:strCache>
                <c:ptCount val="1"/>
                <c:pt idx="0">
                  <c:v>Alexandria, Exports, in d/bushel</c:v>
                </c:pt>
              </c:strCache>
            </c:strRef>
          </c:tx>
          <c:spPr>
            <a:ln w="15875" cap="rnd">
              <a:solidFill>
                <a:schemeClr val="accent2">
                  <a:lumMod val="80000"/>
                </a:schemeClr>
              </a:solidFill>
              <a:round/>
            </a:ln>
            <a:effectLst/>
          </c:spPr>
          <c:marker>
            <c:symbol val="circle"/>
            <c:size val="3"/>
            <c:spPr>
              <a:solidFill>
                <a:schemeClr val="accent2">
                  <a:lumMod val="80000"/>
                </a:schemeClr>
              </a:solidFill>
              <a:ln w="9525">
                <a:solidFill>
                  <a:schemeClr val="accent2">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(Adjusted)'!$U$7:$U$107</c:f>
              <c:numCache>
                <c:formatCode>0.0000</c:formatCode>
                <c:ptCount val="101"/>
                <c:pt idx="8" formatCode="_(* #,##0.0000_);_(* \(#,##0.0000\);_(* &quot;-&quot;??_);_(@_)">
                  <c:v>23.321149090909095</c:v>
                </c:pt>
                <c:pt idx="9" formatCode="_(* #,##0.0000_);_(* \(#,##0.0000\);_(* &quot;-&quot;??_);_(@_)">
                  <c:v>17.490861818181816</c:v>
                </c:pt>
                <c:pt idx="10" formatCode="_(* #,##0.0000_);_(* \(#,##0.0000\);_(* &quot;-&quot;??_);_(@_)">
                  <c:v>20.822454545454544</c:v>
                </c:pt>
                <c:pt idx="12" formatCode="_(* #,##0.0000_);_(* \(#,##0.0000\);_(* &quot;-&quot;??_);_(@_)">
                  <c:v>27.48564</c:v>
                </c:pt>
                <c:pt idx="19" formatCode="_(* #,##0.0000_);_(* \(#,##0.0000\);_(* &quot;-&quot;??_);_(@_)">
                  <c:v>30.817232727272724</c:v>
                </c:pt>
                <c:pt idx="26" formatCode="_(* #,##0.0000_);_(* \(#,##0.0000\);_(* &quot;-&quot;??_);_(@_)">
                  <c:v>52.889034545454543</c:v>
                </c:pt>
                <c:pt idx="27" formatCode="_(* #,##0.0000_);_(* \(#,##0.0000\);_(* &quot;-&quot;??_);_(@_)">
                  <c:v>50.806789090909092</c:v>
                </c:pt>
                <c:pt idx="28" formatCode="_(* #,##0.0000_);_(* \(#,##0.0000\);_(* &quot;-&quot;??_);_(@_)">
                  <c:v>47.891645454545447</c:v>
                </c:pt>
                <c:pt idx="29" formatCode="_(* #,##0.0000_);_(* \(#,##0.0000\);_(* &quot;-&quot;??_);_(@_)">
                  <c:v>36.647519999999993</c:v>
                </c:pt>
                <c:pt idx="30" formatCode="_(* #,##0.0000_);_(* \(#,##0.0000\);_(* &quot;-&quot;??_);_(@_)">
                  <c:v>42.477807272727276</c:v>
                </c:pt>
                <c:pt idx="31" formatCode="_(* #,##0.0000_);_(* \(#,##0.0000\);_(* &quot;-&quot;??_);_(@_)">
                  <c:v>51.223238181818182</c:v>
                </c:pt>
                <c:pt idx="32" formatCode="_(* #,##0.0000_);_(* \(#,##0.0000\);_(* &quot;-&quot;??_);_(@_)">
                  <c:v>43.310705454545456</c:v>
                </c:pt>
                <c:pt idx="33" formatCode="_(* #,##0.0000_);_(* \(#,##0.0000\);_(* &quot;-&quot;??_);_(@_)">
                  <c:v>49.557441818181815</c:v>
                </c:pt>
                <c:pt idx="39" formatCode="_(* #,##0.0000_);_(* \(#,##0.0000\);_(* &quot;-&quot;??_);_(@_)">
                  <c:v>48.724543636363627</c:v>
                </c:pt>
                <c:pt idx="40" formatCode="_(* #,##0.0000_);_(* \(#,##0.0000\);_(* &quot;-&quot;??_);_(@_)">
                  <c:v>45.892689818181815</c:v>
                </c:pt>
                <c:pt idx="41" formatCode="_(* #,##0.0000_);_(* \(#,##0.0000\);_(* &quot;-&quot;??_);_(@_)">
                  <c:v>45.892689818181815</c:v>
                </c:pt>
                <c:pt idx="42" formatCode="_(* #,##0.0000_);_(* \(#,##0.0000\);_(* &quot;-&quot;??_);_(@_)">
                  <c:v>45.892689818181815</c:v>
                </c:pt>
                <c:pt idx="43" formatCode="_(* #,##0.0000_);_(* \(#,##0.0000\);_(* &quot;-&quot;??_);_(@_)">
                  <c:v>45.892689818181815</c:v>
                </c:pt>
                <c:pt idx="44" formatCode="_(* #,##0.0000_);_(* \(#,##0.0000\);_(* &quot;-&quot;??_);_(@_)">
                  <c:v>45.892689818181815</c:v>
                </c:pt>
                <c:pt idx="45" formatCode="_(* #,##0.0000_);_(* \(#,##0.0000\);_(* &quot;-&quot;??_);_(@_)">
                  <c:v>41.603264181818176</c:v>
                </c:pt>
                <c:pt idx="46" formatCode="_(* #,##0.0000_);_(* \(#,##0.0000\);_(* &quot;-&quot;??_);_(@_)">
                  <c:v>41.603264181818176</c:v>
                </c:pt>
                <c:pt idx="47" formatCode="_(* #,##0.0000_);_(* \(#,##0.0000\);_(* &quot;-&quot;??_);_(@_)">
                  <c:v>41.603264181818176</c:v>
                </c:pt>
                <c:pt idx="48" formatCode="_(* #,##0.0000_);_(* \(#,##0.0000\);_(* &quot;-&quot;??_);_(@_)">
                  <c:v>41.603264181818176</c:v>
                </c:pt>
                <c:pt idx="49" formatCode="_(* #,##0.0000_);_(* \(#,##0.0000\);_(* &quot;-&quot;??_);_(@_)">
                  <c:v>33.202946102699642</c:v>
                </c:pt>
                <c:pt idx="50" formatCode="_(* #,##0.0000_);_(* \(#,##0.0000\);_(* &quot;-&quot;??_);_(@_)">
                  <c:v>34.81952245791976</c:v>
                </c:pt>
                <c:pt idx="51" formatCode="_(* #,##0.0000_);_(* \(#,##0.0000\);_(* &quot;-&quot;??_);_(@_)">
                  <c:v>35.057253867846221</c:v>
                </c:pt>
                <c:pt idx="52" formatCode="_(* #,##0.0000_);_(* \(#,##0.0000\);_(* &quot;-&quot;??_);_(@_)">
                  <c:v>35.877747990918046</c:v>
                </c:pt>
                <c:pt idx="53" formatCode="_(* #,##0.0000_);_(* \(#,##0.0000\);_(* &quot;-&quot;??_);_(@_)">
                  <c:v>33.398418221047145</c:v>
                </c:pt>
                <c:pt idx="54" formatCode="_(* #,##0.0000_);_(* \(#,##0.0000\);_(* &quot;-&quot;??_);_(@_)">
                  <c:v>25.708735164284665</c:v>
                </c:pt>
                <c:pt idx="55" formatCode="_(* #,##0.0000_);_(* \(#,##0.0000\);_(* &quot;-&quot;??_);_(@_)">
                  <c:v>24.796916768236322</c:v>
                </c:pt>
                <c:pt idx="56" formatCode="_(* #,##0.0000_);_(* \(#,##0.0000\);_(* &quot;-&quot;??_);_(@_)">
                  <c:v>30.084854890071522</c:v>
                </c:pt>
                <c:pt idx="57" formatCode="_(* #,##0.0000_);_(* \(#,##0.0000\);_(* &quot;-&quot;??_);_(@_)">
                  <c:v>36.074435601630746</c:v>
                </c:pt>
                <c:pt idx="58" formatCode="_(* #,##0.0000_);_(* \(#,##0.0000\);_(* &quot;-&quot;??_);_(@_)">
                  <c:v>37.25513941916801</c:v>
                </c:pt>
                <c:pt idx="59" formatCode="_(* #,##0.0000_);_(* \(#,##0.0000\);_(* &quot;-&quot;??_);_(@_)">
                  <c:v>34.164308071157301</c:v>
                </c:pt>
                <c:pt idx="60" formatCode="_(* #,##0.0000_);_(* \(#,##0.0000\);_(* &quot;-&quot;??_);_(@_)">
                  <c:v>38.084223599999994</c:v>
                </c:pt>
                <c:pt idx="61" formatCode="_(* #,##0.0000_);_(* \(#,##0.0000\);_(* &quot;-&quot;??_);_(@_)">
                  <c:v>38.981104729411761</c:v>
                </c:pt>
                <c:pt idx="62" formatCode="_(* #,##0.0000_);_(* \(#,##0.0000\);_(* &quot;-&quot;??_);_(@_)">
                  <c:v>38.263024498353225</c:v>
                </c:pt>
                <c:pt idx="63" formatCode="_(* #,##0.0000_);_(* \(#,##0.0000\);_(* &quot;-&quot;??_);_(@_)">
                  <c:v>35.200877040158495</c:v>
                </c:pt>
                <c:pt idx="64" formatCode="_(* #,##0.0000_);_(* \(#,##0.0000\);_(* &quot;-&quot;??_);_(@_)">
                  <c:v>34.791789569410952</c:v>
                </c:pt>
                <c:pt idx="65" formatCode="_(* #,##0.0000_);_(* \(#,##0.0000\);_(* &quot;-&quot;??_);_(@_)">
                  <c:v>39.827412709786003</c:v>
                </c:pt>
                <c:pt idx="66" formatCode="_(* #,##0.0000_);_(* \(#,##0.0000\);_(* &quot;-&quot;??_);_(@_)">
                  <c:v>41.311385941994509</c:v>
                </c:pt>
                <c:pt idx="67" formatCode="_(* #,##0.0000_);_(* \(#,##0.0000\);_(* &quot;-&quot;??_);_(@_)">
                  <c:v>39.419525394354466</c:v>
                </c:pt>
                <c:pt idx="68" formatCode="_(* #,##0.0000_);_(* \(#,##0.0000\);_(* &quot;-&quot;??_);_(@_)">
                  <c:v>49.907019001544001</c:v>
                </c:pt>
                <c:pt idx="69" formatCode="_(* #,##0.0000_);_(* \(#,##0.0000\);_(* &quot;-&quot;??_);_(@_)">
                  <c:v>48.018477444191348</c:v>
                </c:pt>
                <c:pt idx="70" formatCode="_(* #,##0.0000_);_(* \(#,##0.0000\);_(* &quot;-&quot;??_);_(@_)">
                  <c:v>41.103727623995347</c:v>
                </c:pt>
                <c:pt idx="71" formatCode="_(* #,##0.0000_);_(* \(#,##0.0000\);_(* &quot;-&quot;??_);_(@_)">
                  <c:v>44.032328963579133</c:v>
                </c:pt>
              </c:numCache>
            </c:numRef>
          </c:val>
          <c:smooth val="0"/>
        </c:ser>
        <c:ser>
          <c:idx val="20"/>
          <c:order val="15"/>
          <c:tx>
            <c:strRef>
              <c:f>'Wheat (Adjusted)'!$V$6</c:f>
              <c:strCache>
                <c:ptCount val="1"/>
                <c:pt idx="0">
                  <c:v>Istanbul (Rumeli), , in d/bushel</c:v>
                </c:pt>
              </c:strCache>
            </c:strRef>
          </c:tx>
          <c:spPr>
            <a:ln w="15875" cap="rnd">
              <a:solidFill>
                <a:schemeClr val="accent3">
                  <a:lumMod val="80000"/>
                </a:schemeClr>
              </a:solidFill>
              <a:round/>
            </a:ln>
            <a:effectLst/>
          </c:spPr>
          <c:marker>
            <c:symbol val="circle"/>
            <c:size val="3"/>
            <c:spPr>
              <a:solidFill>
                <a:schemeClr val="accent3">
                  <a:lumMod val="80000"/>
                </a:schemeClr>
              </a:solidFill>
              <a:ln w="9525">
                <a:solidFill>
                  <a:schemeClr val="accent3">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(Adjusted)'!$V$7:$V$107</c:f>
              <c:numCache>
                <c:formatCode>0.0000</c:formatCode>
                <c:ptCount val="101"/>
                <c:pt idx="36" formatCode="_(* #,##0.0000_);_(* \(#,##0.0000\);_(* &quot;-&quot;??_);_(@_)">
                  <c:v>52.458233215547715</c:v>
                </c:pt>
                <c:pt idx="37" formatCode="_(* #,##0.0000_);_(* \(#,##0.0000\);_(* &quot;-&quot;??_);_(@_)">
                  <c:v>64.399293286219077</c:v>
                </c:pt>
                <c:pt idx="38" formatCode="_(* #,##0.0000_);_(* \(#,##0.0000\);_(* &quot;-&quot;??_);_(@_)">
                  <c:v>59.338939929328617</c:v>
                </c:pt>
                <c:pt idx="39" formatCode="_(* #,##0.0000_);_(* \(#,##0.0000\);_(* &quot;-&quot;??_);_(@_)">
                  <c:v>50.592084805653712</c:v>
                </c:pt>
                <c:pt idx="40" formatCode="_(* #,##0.0000_);_(* \(#,##0.0000\);_(* &quot;-&quot;??_);_(@_)">
                  <c:v>63.094134275618373</c:v>
                </c:pt>
                <c:pt idx="41" formatCode="_(* #,##0.0000_);_(* \(#,##0.0000\);_(* &quot;-&quot;??_);_(@_)">
                  <c:v>61.525653710247347</c:v>
                </c:pt>
                <c:pt idx="42" formatCode="_(* #,##0.0000_);_(* \(#,##0.0000\);_(* &quot;-&quot;??_);_(@_)">
                  <c:v>64.239010600706706</c:v>
                </c:pt>
                <c:pt idx="45" formatCode="_(* #,##0.0000_);_(* \(#,##0.0000\);_(* &quot;-&quot;??_);_(@_)">
                  <c:v>42.268833922261479</c:v>
                </c:pt>
                <c:pt idx="46" formatCode="_(* #,##0.0000_);_(* \(#,##0.0000\);_(* &quot;-&quot;??_);_(@_)">
                  <c:v>41.570459363957603</c:v>
                </c:pt>
                <c:pt idx="47" formatCode="_(* #,##0.0000_);_(* \(#,##0.0000\);_(* &quot;-&quot;??_);_(@_)">
                  <c:v>45.085229681978802</c:v>
                </c:pt>
                <c:pt idx="48" formatCode="_(* #,##0.0000_);_(* \(#,##0.0000\);_(* &quot;-&quot;??_);_(@_)">
                  <c:v>41.982614840989399</c:v>
                </c:pt>
                <c:pt idx="49" formatCode="_(* #,##0.0000_);_(* \(#,##0.0000\);_(* &quot;-&quot;??_);_(@_)">
                  <c:v>42.463462897526512</c:v>
                </c:pt>
                <c:pt idx="52" formatCode="_(* #,##0.0000_);_(* \(#,##0.0000\);_(* &quot;-&quot;??_);_(@_)">
                  <c:v>49.802120141342755</c:v>
                </c:pt>
                <c:pt idx="53" formatCode="_(* #,##0.0000_);_(* \(#,##0.0000\);_(* &quot;-&quot;??_);_(@_)">
                  <c:v>42.93286219081272</c:v>
                </c:pt>
                <c:pt idx="54" formatCode="_(* #,##0.0000_);_(* \(#,##0.0000\);_(* &quot;-&quot;??_);_(@_)">
                  <c:v>27.282402826855126</c:v>
                </c:pt>
                <c:pt idx="55" formatCode="_(* #,##0.0000_);_(* \(#,##0.0000\);_(* &quot;-&quot;??_);_(@_)">
                  <c:v>28.049469964664311</c:v>
                </c:pt>
                <c:pt idx="56" formatCode="_(* #,##0.0000_);_(* \(#,##0.0000\);_(* &quot;-&quot;??_);_(@_)">
                  <c:v>31.552791519434631</c:v>
                </c:pt>
                <c:pt idx="57" formatCode="_(* #,##0.0000_);_(* \(#,##0.0000\);_(* &quot;-&quot;??_);_(@_)">
                  <c:v>33.201413427561839</c:v>
                </c:pt>
                <c:pt idx="58" formatCode="_(* #,##0.0000_);_(* \(#,##0.0000\);_(* &quot;-&quot;??_);_(@_)">
                  <c:v>46.367491166077741</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46.081272084805654</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21"/>
          <c:order val="16"/>
          <c:tx>
            <c:strRef>
              <c:f>'Wheat (Adjusted)'!$W$6</c:f>
              <c:strCache>
                <c:ptCount val="1"/>
                <c:pt idx="0">
                  <c:v>Istanbul (Anatolia), , in d/bushel</c:v>
                </c:pt>
              </c:strCache>
            </c:strRef>
          </c:tx>
          <c:spPr>
            <a:ln w="15875" cap="rnd">
              <a:solidFill>
                <a:schemeClr val="accent4">
                  <a:lumMod val="80000"/>
                </a:schemeClr>
              </a:solidFill>
              <a:round/>
            </a:ln>
            <a:effectLst/>
          </c:spPr>
          <c:marker>
            <c:symbol val="circle"/>
            <c:size val="3"/>
            <c:spPr>
              <a:solidFill>
                <a:schemeClr val="accent4">
                  <a:lumMod val="80000"/>
                </a:schemeClr>
              </a:solidFill>
              <a:ln w="9525">
                <a:solidFill>
                  <a:schemeClr val="accent4">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(Adjusted)'!$W$7:$W$107</c:f>
              <c:numCache>
                <c:formatCode>0.0000</c:formatCode>
                <c:ptCount val="101"/>
                <c:pt idx="46" formatCode="_(* #,##0.0000_);_(* \(#,##0.0000\);_(* &quot;-&quot;??_);_(@_)">
                  <c:v>41.570459363957603</c:v>
                </c:pt>
                <c:pt idx="47" formatCode="_(* #,##0.0000_);_(* \(#,##0.0000\);_(* &quot;-&quot;??_);_(@_)">
                  <c:v>45.096678445229678</c:v>
                </c:pt>
                <c:pt idx="56" formatCode="_(* #,##0.0000_);_(* \(#,##0.0000\);_(* &quot;-&quot;??_);_(@_)">
                  <c:v>30.94600706713781</c:v>
                </c:pt>
                <c:pt idx="57" formatCode="_(* #,##0.0000_);_(* \(#,##0.0000\);_(* &quot;-&quot;??_);_(@_)">
                  <c:v>38.937243816254416</c:v>
                </c:pt>
                <c:pt idx="58" formatCode="_(* #,##0.0000_);_(* \(#,##0.0000\);_(* &quot;-&quot;??_);_(@_)">
                  <c:v>49.092296819787997</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42.646643109540641</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22"/>
          <c:order val="17"/>
          <c:tx>
            <c:strRef>
              <c:f>'Wheat (Adjusted)'!$X$6</c:f>
              <c:strCache>
                <c:ptCount val="1"/>
                <c:pt idx="0">
                  <c:v>Turkey &amp; Constantinople, Imports, in d/bushel</c:v>
                </c:pt>
              </c:strCache>
            </c:strRef>
          </c:tx>
          <c:spPr>
            <a:ln w="15875" cap="rnd">
              <a:solidFill>
                <a:schemeClr val="accent5">
                  <a:lumMod val="80000"/>
                </a:schemeClr>
              </a:solidFill>
              <a:round/>
            </a:ln>
            <a:effectLst/>
          </c:spPr>
          <c:marker>
            <c:symbol val="circle"/>
            <c:size val="3"/>
            <c:spPr>
              <a:solidFill>
                <a:schemeClr val="accent5">
                  <a:lumMod val="80000"/>
                </a:schemeClr>
              </a:solidFill>
              <a:ln w="9525">
                <a:solidFill>
                  <a:schemeClr val="accent5">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(Adjusted)'!$X$7:$X$107</c:f>
              <c:numCache>
                <c:formatCode>0.0000</c:formatCode>
                <c:ptCount val="101"/>
                <c:pt idx="49">
                  <c:v>98.157671753255343</c:v>
                </c:pt>
                <c:pt idx="50">
                  <c:v>126.17116438830043</c:v>
                </c:pt>
                <c:pt idx="67">
                  <c:v>57.208375534591028</c:v>
                </c:pt>
                <c:pt idx="70">
                  <c:v>47.458576737058046</c:v>
                </c:pt>
                <c:pt idx="71">
                  <c:v>44.990941421190342</c:v>
                </c:pt>
              </c:numCache>
            </c:numRef>
          </c:val>
          <c:smooth val="0"/>
        </c:ser>
        <c:ser>
          <c:idx val="23"/>
          <c:order val="18"/>
          <c:tx>
            <c:strRef>
              <c:f>'Wheat (Adjusted)'!$Y$6</c:f>
              <c:strCache>
                <c:ptCount val="1"/>
                <c:pt idx="0">
                  <c:v>Turkey &amp; Constantinople, Exports, in d/bushel</c:v>
                </c:pt>
              </c:strCache>
            </c:strRef>
          </c:tx>
          <c:spPr>
            <a:ln w="15875" cap="rnd">
              <a:solidFill>
                <a:schemeClr val="accent6">
                  <a:lumMod val="80000"/>
                </a:schemeClr>
              </a:solidFill>
              <a:round/>
            </a:ln>
            <a:effectLst/>
          </c:spPr>
          <c:marker>
            <c:symbol val="circle"/>
            <c:size val="3"/>
            <c:spPr>
              <a:solidFill>
                <a:schemeClr val="accent6">
                  <a:lumMod val="80000"/>
                </a:schemeClr>
              </a:solidFill>
              <a:ln w="9525">
                <a:solidFill>
                  <a:schemeClr val="accent6">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(Adjusted)'!$Y$7:$Y$107</c:f>
              <c:numCache>
                <c:formatCode>0.0000</c:formatCode>
                <c:ptCount val="101"/>
                <c:pt idx="6">
                  <c:v>39.433092993825618</c:v>
                </c:pt>
                <c:pt idx="22">
                  <c:v>43.285714285714256</c:v>
                </c:pt>
                <c:pt idx="32">
                  <c:v>59.142857142857132</c:v>
                </c:pt>
                <c:pt idx="44">
                  <c:v>89.772367558462705</c:v>
                </c:pt>
                <c:pt idx="45">
                  <c:v>85.760074394249131</c:v>
                </c:pt>
                <c:pt idx="49">
                  <c:v>85.196111759747993</c:v>
                </c:pt>
                <c:pt idx="50">
                  <c:v>88.019877485057776</c:v>
                </c:pt>
                <c:pt idx="52">
                  <c:v>36.657359173582904</c:v>
                </c:pt>
                <c:pt idx="53">
                  <c:v>32.1276175948312</c:v>
                </c:pt>
                <c:pt idx="54">
                  <c:v>32.797219393052416</c:v>
                </c:pt>
                <c:pt idx="55">
                  <c:v>40.260826771653534</c:v>
                </c:pt>
                <c:pt idx="56">
                  <c:v>41.710256968641104</c:v>
                </c:pt>
                <c:pt idx="60">
                  <c:v>37.763428008998886</c:v>
                </c:pt>
                <c:pt idx="61">
                  <c:v>38.898694533163813</c:v>
                </c:pt>
                <c:pt idx="71">
                  <c:v>30.14521129549173</c:v>
                </c:pt>
              </c:numCache>
            </c:numRef>
          </c:val>
          <c:smooth val="0"/>
        </c:ser>
        <c:ser>
          <c:idx val="24"/>
          <c:order val="19"/>
          <c:tx>
            <c:strRef>
              <c:f>'Wheat (Adjusted)'!$Z$6</c:f>
              <c:strCache>
                <c:ptCount val="1"/>
                <c:pt idx="0">
                  <c:v>Trebizond (Anatolia), Exports, in d/bushel</c:v>
                </c:pt>
              </c:strCache>
            </c:strRef>
          </c:tx>
          <c:spPr>
            <a:ln w="15875" cap="rnd">
              <a:solidFill>
                <a:schemeClr val="accent1">
                  <a:lumMod val="60000"/>
                  <a:lumOff val="40000"/>
                </a:schemeClr>
              </a:solidFill>
              <a:round/>
            </a:ln>
            <a:effectLst/>
          </c:spPr>
          <c:marker>
            <c:symbol val="circle"/>
            <c:size val="3"/>
            <c:spPr>
              <a:solidFill>
                <a:schemeClr val="accent1">
                  <a:lumMod val="60000"/>
                  <a:lumOff val="40000"/>
                </a:schemeClr>
              </a:solidFill>
              <a:ln w="9525">
                <a:solidFill>
                  <a:schemeClr val="accent1">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(Adjusted)'!$Z$7:$Z$107</c:f>
              <c:numCache>
                <c:formatCode>0.0000</c:formatCode>
                <c:ptCount val="101"/>
                <c:pt idx="29">
                  <c:v>60</c:v>
                </c:pt>
                <c:pt idx="30">
                  <c:v>60</c:v>
                </c:pt>
                <c:pt idx="31">
                  <c:v>60</c:v>
                </c:pt>
                <c:pt idx="32">
                  <c:v>60</c:v>
                </c:pt>
                <c:pt idx="33">
                  <c:v>60</c:v>
                </c:pt>
                <c:pt idx="35">
                  <c:v>48</c:v>
                </c:pt>
                <c:pt idx="44">
                  <c:v>45</c:v>
                </c:pt>
              </c:numCache>
            </c:numRef>
          </c:val>
          <c:smooth val="0"/>
        </c:ser>
        <c:ser>
          <c:idx val="25"/>
          <c:order val="20"/>
          <c:tx>
            <c:strRef>
              <c:f>'Wheat (Adjusted)'!$AA$6</c:f>
              <c:strCache>
                <c:ptCount val="1"/>
                <c:pt idx="0">
                  <c:v>Izmir, Exports, in d/bushel</c:v>
                </c:pt>
              </c:strCache>
            </c:strRef>
          </c:tx>
          <c:spPr>
            <a:ln w="15875" cap="rnd">
              <a:solidFill>
                <a:schemeClr val="accent2">
                  <a:lumMod val="60000"/>
                  <a:lumOff val="40000"/>
                </a:schemeClr>
              </a:solidFill>
              <a:round/>
            </a:ln>
            <a:effectLst/>
          </c:spPr>
          <c:marker>
            <c:symbol val="circle"/>
            <c:size val="3"/>
            <c:spPr>
              <a:solidFill>
                <a:schemeClr val="accent2">
                  <a:lumMod val="60000"/>
                  <a:lumOff val="40000"/>
                </a:schemeClr>
              </a:solidFill>
              <a:ln w="9525">
                <a:solidFill>
                  <a:schemeClr val="accent2">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(Adjusted)'!$AA$7:$AA$107</c:f>
              <c:numCache>
                <c:formatCode>0.0000</c:formatCode>
                <c:ptCount val="101"/>
                <c:pt idx="49" formatCode="_(* #,##0.0000_);_(* \(#,##0.0000\);_(* &quot;-&quot;??_);_(@_)">
                  <c:v>58.831988913438529</c:v>
                </c:pt>
                <c:pt idx="50" formatCode="_(* #,##0.0000_);_(* \(#,##0.0000\);_(* &quot;-&quot;??_);_(@_)">
                  <c:v>72.949870247768914</c:v>
                </c:pt>
                <c:pt idx="51" formatCode="_(* #,##0.0000_);_(* \(#,##0.0000\);_(* &quot;-&quot;??_);_(@_)">
                  <c:v>58.831988913438529</c:v>
                </c:pt>
                <c:pt idx="52" formatCode="_(* #,##0.0000_);_(* \(#,##0.0000\);_(* &quot;-&quot;??_);_(@_)">
                  <c:v>58.831988913438529</c:v>
                </c:pt>
                <c:pt idx="54" formatCode="_(* #,##0.0000_);_(* \(#,##0.0000\);_(* &quot;-&quot;??_);_(@_)">
                  <c:v>58.831988913438529</c:v>
                </c:pt>
                <c:pt idx="61" formatCode="_(* #,##0.0000_);_(* \(#,##0.0000\);_(* &quot;-&quot;??_);_(@_)">
                  <c:v>22.678826166700631</c:v>
                </c:pt>
                <c:pt idx="67" formatCode="_(* #,##0.0000_);_(* \(#,##0.0000\);_(* &quot;-&quot;??_);_(@_)">
                  <c:v>7.5348999534667298</c:v>
                </c:pt>
              </c:numCache>
            </c:numRef>
          </c:val>
          <c:smooth val="0"/>
        </c:ser>
        <c:ser>
          <c:idx val="26"/>
          <c:order val="21"/>
          <c:tx>
            <c:strRef>
              <c:f>'Wheat (Adjusted)'!$AB$6</c:f>
              <c:strCache>
                <c:ptCount val="1"/>
                <c:pt idx="0">
                  <c:v>Alexandretta, Imports, in d/bushel</c:v>
                </c:pt>
              </c:strCache>
            </c:strRef>
          </c:tx>
          <c:spPr>
            <a:ln w="15875" cap="rnd">
              <a:solidFill>
                <a:schemeClr val="accent3">
                  <a:lumMod val="60000"/>
                  <a:lumOff val="40000"/>
                </a:schemeClr>
              </a:solidFill>
              <a:round/>
            </a:ln>
            <a:effectLst/>
          </c:spPr>
          <c:marker>
            <c:symbol val="circle"/>
            <c:size val="3"/>
            <c:spPr>
              <a:solidFill>
                <a:schemeClr val="accent3">
                  <a:lumMod val="60000"/>
                  <a:lumOff val="40000"/>
                </a:schemeClr>
              </a:solidFill>
              <a:ln w="9525">
                <a:solidFill>
                  <a:schemeClr val="accent3">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(Adjusted)'!$AB$7:$AB$107</c:f>
              <c:numCache>
                <c:formatCode>0.0000</c:formatCode>
                <c:ptCount val="101"/>
                <c:pt idx="40" formatCode="_(* #,##0.0000_);_(* \(#,##0.0000\);_(* &quot;-&quot;??_);_(@_)">
                  <c:v>63.080540858318656</c:v>
                </c:pt>
              </c:numCache>
            </c:numRef>
          </c:val>
          <c:smooth val="0"/>
        </c:ser>
        <c:ser>
          <c:idx val="27"/>
          <c:order val="22"/>
          <c:tx>
            <c:strRef>
              <c:f>'Wheat (Adjusted)'!$AC$6</c:f>
              <c:strCache>
                <c:ptCount val="1"/>
                <c:pt idx="0">
                  <c:v>Alexandretta, Exports, in d/bushel</c:v>
                </c:pt>
              </c:strCache>
            </c:strRef>
          </c:tx>
          <c:spPr>
            <a:ln w="15875" cap="rnd">
              <a:solidFill>
                <a:schemeClr val="accent4">
                  <a:lumMod val="60000"/>
                  <a:lumOff val="40000"/>
                </a:schemeClr>
              </a:solidFill>
              <a:round/>
            </a:ln>
            <a:effectLst/>
          </c:spPr>
          <c:marker>
            <c:symbol val="circle"/>
            <c:size val="3"/>
            <c:spPr>
              <a:solidFill>
                <a:schemeClr val="accent4">
                  <a:lumMod val="60000"/>
                  <a:lumOff val="40000"/>
                </a:schemeClr>
              </a:solidFill>
              <a:ln w="9525">
                <a:solidFill>
                  <a:schemeClr val="accent4">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(Adjusted)'!$AC$7:$AC$107</c:f>
              <c:numCache>
                <c:formatCode>0.0000</c:formatCode>
                <c:ptCount val="101"/>
                <c:pt idx="38">
                  <c:v>64.816864855354282</c:v>
                </c:pt>
                <c:pt idx="39">
                  <c:v>64.285714285714207</c:v>
                </c:pt>
                <c:pt idx="40">
                  <c:v>58.731167180976549</c:v>
                </c:pt>
                <c:pt idx="41">
                  <c:v>51.42857142857136</c:v>
                </c:pt>
                <c:pt idx="42">
                  <c:v>51.42857142857136</c:v>
                </c:pt>
                <c:pt idx="43">
                  <c:v>51.430959811476967</c:v>
                </c:pt>
                <c:pt idx="45">
                  <c:v>48.821043389941345</c:v>
                </c:pt>
                <c:pt idx="46">
                  <c:v>48.9197641340592</c:v>
                </c:pt>
                <c:pt idx="47">
                  <c:v>50.808964091965841</c:v>
                </c:pt>
                <c:pt idx="48">
                  <c:v>46.215744836076766</c:v>
                </c:pt>
                <c:pt idx="49">
                  <c:v>44.325220600957302</c:v>
                </c:pt>
                <c:pt idx="50">
                  <c:v>36.886106198919784</c:v>
                </c:pt>
                <c:pt idx="51">
                  <c:v>37.261709361627233</c:v>
                </c:pt>
                <c:pt idx="52">
                  <c:v>32.726697595951045</c:v>
                </c:pt>
                <c:pt idx="53">
                  <c:v>27.811493018259938</c:v>
                </c:pt>
                <c:pt idx="54">
                  <c:v>31.58718330849473</c:v>
                </c:pt>
                <c:pt idx="55">
                  <c:v>31.922474472092759</c:v>
                </c:pt>
                <c:pt idx="56">
                  <c:v>35.664391878599567</c:v>
                </c:pt>
                <c:pt idx="57">
                  <c:v>30.997105660355977</c:v>
                </c:pt>
                <c:pt idx="58">
                  <c:v>31.422996752144979</c:v>
                </c:pt>
                <c:pt idx="59">
                  <c:v>28.909653096096964</c:v>
                </c:pt>
                <c:pt idx="60">
                  <c:v>30.976555455365141</c:v>
                </c:pt>
                <c:pt idx="61">
                  <c:v>31.827580314422395</c:v>
                </c:pt>
                <c:pt idx="62">
                  <c:v>29.398170208710532</c:v>
                </c:pt>
                <c:pt idx="63">
                  <c:v>28.813684834123197</c:v>
                </c:pt>
                <c:pt idx="64">
                  <c:v>29.455160320641273</c:v>
                </c:pt>
                <c:pt idx="65">
                  <c:v>32.281322474023455</c:v>
                </c:pt>
                <c:pt idx="66">
                  <c:v>31.624464032682493</c:v>
                </c:pt>
                <c:pt idx="67">
                  <c:v>36.48818125516101</c:v>
                </c:pt>
                <c:pt idx="68">
                  <c:v>37.425654242664493</c:v>
                </c:pt>
                <c:pt idx="69">
                  <c:v>38.657950394154938</c:v>
                </c:pt>
                <c:pt idx="70">
                  <c:v>41.781035558328107</c:v>
                </c:pt>
                <c:pt idx="71">
                  <c:v>45.565314063368525</c:v>
                </c:pt>
                <c:pt idx="72">
                  <c:v>37.635048231511242</c:v>
                </c:pt>
                <c:pt idx="73">
                  <c:v>39.455036994877645</c:v>
                </c:pt>
              </c:numCache>
            </c:numRef>
          </c:val>
          <c:smooth val="0"/>
        </c:ser>
        <c:dLbls>
          <c:showLegendKey val="0"/>
          <c:showVal val="0"/>
          <c:showCatName val="0"/>
          <c:showSerName val="0"/>
          <c:showPercent val="0"/>
          <c:showBubbleSize val="0"/>
        </c:dLbls>
        <c:marker val="1"/>
        <c:smooth val="0"/>
        <c:axId val="721415056"/>
        <c:axId val="721432416"/>
      </c:lineChart>
      <c:catAx>
        <c:axId val="72141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32416"/>
        <c:crosses val="autoZero"/>
        <c:auto val="1"/>
        <c:lblAlgn val="ctr"/>
        <c:lblOffset val="100"/>
        <c:noMultiLvlLbl val="0"/>
      </c:catAx>
      <c:valAx>
        <c:axId val="721432416"/>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15056"/>
        <c:crosses val="autoZero"/>
        <c:crossBetween val="between"/>
      </c:valAx>
      <c:spPr>
        <a:noFill/>
        <a:ln>
          <a:noFill/>
        </a:ln>
        <a:effectLst/>
      </c:spPr>
    </c:plotArea>
    <c:legend>
      <c:legendPos val="r"/>
      <c:layout>
        <c:manualLayout>
          <c:xMode val="edge"/>
          <c:yMode val="edge"/>
          <c:x val="0.77524004883752207"/>
          <c:y val="8.0022075055187644E-2"/>
          <c:w val="0.22475995116247788"/>
          <c:h val="0.81788079470198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Mosul,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(All)'!$L$7:$L$107</c:f>
              <c:numCache>
                <c:formatCode>0.0000</c:formatCode>
                <c:ptCount val="101"/>
                <c:pt idx="44">
                  <c:v>16.363636363636392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(All)'!$L$7:$L$107</c:f>
              <c:numCache>
                <c:formatCode>0.0000</c:formatCode>
                <c:ptCount val="101"/>
                <c:pt idx="44">
                  <c:v>16.363636363636392</c:v>
                </c:pt>
              </c:numCache>
            </c:numRef>
          </c:yVal>
          <c:smooth val="0"/>
        </c:ser>
        <c:dLbls>
          <c:showLegendKey val="0"/>
          <c:showVal val="0"/>
          <c:showCatName val="0"/>
          <c:showSerName val="0"/>
          <c:showPercent val="0"/>
          <c:showBubbleSize val="0"/>
        </c:dLbls>
        <c:axId val="698830704"/>
        <c:axId val="698826224"/>
      </c:scatterChart>
      <c:valAx>
        <c:axId val="6988307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26224"/>
        <c:crosses val="autoZero"/>
        <c:crossBetween val="midCat"/>
        <c:majorUnit val="5"/>
      </c:valAx>
      <c:valAx>
        <c:axId val="698826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307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tx1"/>
                </a:solidFill>
                <a:effectLst/>
                <a:latin typeface="+mn-lt"/>
                <a:ea typeface="+mn-ea"/>
                <a:cs typeface="+mn-cs"/>
              </a:defRPr>
            </a:pPr>
            <a:r>
              <a:rPr lang="en-US" sz="1400" b="1" i="0" u="none" strike="noStrike" kern="1200" spc="0" baseline="0">
                <a:solidFill>
                  <a:schemeClr val="tx1"/>
                </a:solidFill>
                <a:effectLst/>
                <a:latin typeface="+mn-lt"/>
                <a:ea typeface="+mn-ea"/>
                <a:cs typeface="+mn-cs"/>
              </a:rPr>
              <a:t>Wheat, UK, Black Sea, Mediterranean Sea, Caspian Sea &amp; Persian Gulf, in d/bushel</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tx1"/>
              </a:solidFill>
              <a:effectLst/>
              <a:latin typeface="+mn-lt"/>
              <a:ea typeface="+mn-ea"/>
              <a:cs typeface="+mn-cs"/>
            </a:defRPr>
          </a:pPr>
          <a:endParaRPr lang="en-US"/>
        </a:p>
      </c:txPr>
    </c:title>
    <c:autoTitleDeleted val="0"/>
    <c:plotArea>
      <c:layout/>
      <c:lineChart>
        <c:grouping val="standard"/>
        <c:varyColors val="0"/>
        <c:ser>
          <c:idx val="2"/>
          <c:order val="0"/>
          <c:tx>
            <c:strRef>
              <c:f>'Wheat (Adjusted)'!$C$6</c:f>
              <c:strCache>
                <c:ptCount val="1"/>
                <c:pt idx="0">
                  <c:v>UK, Imports, in d/bushel</c:v>
                </c:pt>
              </c:strCache>
            </c:strRef>
          </c:tx>
          <c:spPr>
            <a:ln w="15875" cap="rnd">
              <a:solidFill>
                <a:schemeClr val="accent3"/>
              </a:solidFill>
              <a:round/>
            </a:ln>
            <a:effectLst/>
          </c:spPr>
          <c:marker>
            <c:symbol val="circle"/>
            <c:size val="3"/>
            <c:spPr>
              <a:solidFill>
                <a:schemeClr val="accent3"/>
              </a:solidFill>
              <a:ln w="9525">
                <a:solidFill>
                  <a:schemeClr val="accent3"/>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(Adjusted)'!$C$7:$C$107</c:f>
              <c:numCache>
                <c:formatCode>_(* #,##0.0000_);_(* \(#,##0.0000\);_(* "-"??_);_(@_)</c:formatCode>
                <c:ptCount val="101"/>
                <c:pt idx="14">
                  <c:v>101.11748352598057</c:v>
                </c:pt>
                <c:pt idx="15">
                  <c:v>107.65680361962106</c:v>
                </c:pt>
                <c:pt idx="16">
                  <c:v>92.637794634095499</c:v>
                </c:pt>
                <c:pt idx="17">
                  <c:v>82.531658671533947</c:v>
                </c:pt>
                <c:pt idx="18">
                  <c:v>63.306962208059012</c:v>
                </c:pt>
                <c:pt idx="19">
                  <c:v>64.61844596378468</c:v>
                </c:pt>
                <c:pt idx="20">
                  <c:v>83.517873520683509</c:v>
                </c:pt>
                <c:pt idx="21">
                  <c:v>81.770336873240723</c:v>
                </c:pt>
                <c:pt idx="22">
                  <c:v>72.705118894814177</c:v>
                </c:pt>
                <c:pt idx="23">
                  <c:v>63.404024118624264</c:v>
                </c:pt>
                <c:pt idx="24">
                  <c:v>59.165945413031949</c:v>
                </c:pt>
                <c:pt idx="25">
                  <c:v>59.978571428571428</c:v>
                </c:pt>
                <c:pt idx="26">
                  <c:v>72.064285714285731</c:v>
                </c:pt>
                <c:pt idx="27">
                  <c:v>92.7</c:v>
                </c:pt>
                <c:pt idx="28">
                  <c:v>86.914285714285711</c:v>
                </c:pt>
                <c:pt idx="29">
                  <c:v>66.535714285714278</c:v>
                </c:pt>
                <c:pt idx="30">
                  <c:v>67.692857142857136</c:v>
                </c:pt>
                <c:pt idx="31">
                  <c:v>76.114285714285728</c:v>
                </c:pt>
                <c:pt idx="32">
                  <c:v>79.842857142857142</c:v>
                </c:pt>
                <c:pt idx="33">
                  <c:v>83.635714285714272</c:v>
                </c:pt>
                <c:pt idx="34">
                  <c:v>78.107142857142861</c:v>
                </c:pt>
                <c:pt idx="35">
                  <c:v>68.207142857142856</c:v>
                </c:pt>
                <c:pt idx="36">
                  <c:v>67.050000000000011</c:v>
                </c:pt>
                <c:pt idx="37">
                  <c:v>80.292857142857144</c:v>
                </c:pt>
                <c:pt idx="38">
                  <c:v>70.650000000000006</c:v>
                </c:pt>
                <c:pt idx="39">
                  <c:v>67.885714285714286</c:v>
                </c:pt>
                <c:pt idx="40">
                  <c:v>71.228571428571428</c:v>
                </c:pt>
                <c:pt idx="41">
                  <c:v>70.971428571428561</c:v>
                </c:pt>
                <c:pt idx="42">
                  <c:v>68.592857142857142</c:v>
                </c:pt>
                <c:pt idx="43">
                  <c:v>63.064285714285717</c:v>
                </c:pt>
                <c:pt idx="44">
                  <c:v>54.064285714285717</c:v>
                </c:pt>
                <c:pt idx="45">
                  <c:v>50.335714285714289</c:v>
                </c:pt>
                <c:pt idx="46">
                  <c:v>48.535714285714278</c:v>
                </c:pt>
                <c:pt idx="47">
                  <c:v>49.178571428571438</c:v>
                </c:pt>
                <c:pt idx="48">
                  <c:v>49.371428571428581</c:v>
                </c:pt>
                <c:pt idx="49">
                  <c:v>49.435714285714283</c:v>
                </c:pt>
                <c:pt idx="50">
                  <c:v>50.142857142857146</c:v>
                </c:pt>
                <c:pt idx="51">
                  <c:v>57.085714285714296</c:v>
                </c:pt>
                <c:pt idx="52">
                  <c:v>49.242857142857147</c:v>
                </c:pt>
                <c:pt idx="53">
                  <c:v>41.400000000000006</c:v>
                </c:pt>
                <c:pt idx="54">
                  <c:v>34.392857142857139</c:v>
                </c:pt>
                <c:pt idx="55">
                  <c:v>35.421428571428571</c:v>
                </c:pt>
                <c:pt idx="56">
                  <c:v>39.792857142857144</c:v>
                </c:pt>
                <c:pt idx="57">
                  <c:v>47.892857142857139</c:v>
                </c:pt>
                <c:pt idx="58">
                  <c:v>51.557142857142864</c:v>
                </c:pt>
                <c:pt idx="59">
                  <c:v>43.007142857142853</c:v>
                </c:pt>
                <c:pt idx="60">
                  <c:v>43.714285714285715</c:v>
                </c:pt>
                <c:pt idx="61">
                  <c:v>42.557142857142864</c:v>
                </c:pt>
                <c:pt idx="62">
                  <c:v>43.007142857142853</c:v>
                </c:pt>
                <c:pt idx="63">
                  <c:v>43.65</c:v>
                </c:pt>
                <c:pt idx="64">
                  <c:v>45.06428571428571</c:v>
                </c:pt>
                <c:pt idx="65">
                  <c:v>46.478571428571428</c:v>
                </c:pt>
                <c:pt idx="66">
                  <c:v>45.192857142857136</c:v>
                </c:pt>
                <c:pt idx="67">
                  <c:v>49.435714285714283</c:v>
                </c:pt>
                <c:pt idx="68">
                  <c:v>54</c:v>
                </c:pt>
                <c:pt idx="69">
                  <c:v>59.464285714285708</c:v>
                </c:pt>
                <c:pt idx="70">
                  <c:v>53.935714285714283</c:v>
                </c:pt>
                <c:pt idx="71">
                  <c:v>51.042857142857144</c:v>
                </c:pt>
                <c:pt idx="72">
                  <c:v>54.51428571428572</c:v>
                </c:pt>
                <c:pt idx="73">
                  <c:v>53.228571428571428</c:v>
                </c:pt>
                <c:pt idx="74">
                  <c:v>55.349999999999994</c:v>
                </c:pt>
                <c:pt idx="75">
                  <c:v>83.121428571428581</c:v>
                </c:pt>
                <c:pt idx="76">
                  <c:v>92.507142857142853</c:v>
                </c:pt>
                <c:pt idx="77">
                  <c:v>118.80000000000001</c:v>
                </c:pt>
                <c:pt idx="78">
                  <c:v>117.83571428571427</c:v>
                </c:pt>
                <c:pt idx="79">
                  <c:v>123.10714285714283</c:v>
                </c:pt>
                <c:pt idx="80">
                  <c:v>172.60714285714286</c:v>
                </c:pt>
              </c:numCache>
            </c:numRef>
          </c:val>
          <c:smooth val="0"/>
        </c:ser>
        <c:ser>
          <c:idx val="3"/>
          <c:order val="1"/>
          <c:tx>
            <c:strRef>
              <c:f>'Wheat (Adjusted)'!$D$6</c:f>
              <c:strCache>
                <c:ptCount val="1"/>
                <c:pt idx="0">
                  <c:v>UK (London), , in d/bushel</c:v>
                </c:pt>
              </c:strCache>
            </c:strRef>
          </c:tx>
          <c:spPr>
            <a:ln w="15875" cap="rnd">
              <a:solidFill>
                <a:schemeClr val="accent4"/>
              </a:solidFill>
              <a:round/>
            </a:ln>
            <a:effectLst/>
          </c:spPr>
          <c:marker>
            <c:symbol val="circle"/>
            <c:size val="3"/>
            <c:spPr>
              <a:solidFill>
                <a:schemeClr val="accent4"/>
              </a:solidFill>
              <a:ln w="9525">
                <a:solidFill>
                  <a:schemeClr val="accent4"/>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(Adjusted)'!$D$7:$D$107</c:f>
              <c:numCache>
                <c:formatCode>_(* #,##0.0000_);_(* \(#,##0.0000\);_(* "-"??_);_(@_)</c:formatCode>
                <c:ptCount val="101"/>
                <c:pt idx="0">
                  <c:v>99.5</c:v>
                </c:pt>
                <c:pt idx="1">
                  <c:v>96.5</c:v>
                </c:pt>
                <c:pt idx="2">
                  <c:v>85.875</c:v>
                </c:pt>
                <c:pt idx="3">
                  <c:v>75.125</c:v>
                </c:pt>
                <c:pt idx="4">
                  <c:v>76.875</c:v>
                </c:pt>
                <c:pt idx="5">
                  <c:v>76.25</c:v>
                </c:pt>
                <c:pt idx="6">
                  <c:v>82</c:v>
                </c:pt>
                <c:pt idx="7">
                  <c:v>104.625</c:v>
                </c:pt>
                <c:pt idx="8">
                  <c:v>75.75</c:v>
                </c:pt>
                <c:pt idx="9">
                  <c:v>66.375</c:v>
                </c:pt>
                <c:pt idx="10">
                  <c:v>60.375</c:v>
                </c:pt>
                <c:pt idx="11">
                  <c:v>57.75</c:v>
                </c:pt>
                <c:pt idx="12">
                  <c:v>61.125</c:v>
                </c:pt>
                <c:pt idx="13">
                  <c:v>79.875</c:v>
                </c:pt>
                <c:pt idx="14">
                  <c:v>108.625</c:v>
                </c:pt>
                <c:pt idx="15">
                  <c:v>112</c:v>
                </c:pt>
                <c:pt idx="16">
                  <c:v>103.75</c:v>
                </c:pt>
                <c:pt idx="17">
                  <c:v>84.5</c:v>
                </c:pt>
                <c:pt idx="18">
                  <c:v>66.25</c:v>
                </c:pt>
                <c:pt idx="19">
                  <c:v>65.625</c:v>
                </c:pt>
                <c:pt idx="20">
                  <c:v>79.875</c:v>
                </c:pt>
                <c:pt idx="21">
                  <c:v>83</c:v>
                </c:pt>
                <c:pt idx="22">
                  <c:v>83.125</c:v>
                </c:pt>
                <c:pt idx="23">
                  <c:v>67.125</c:v>
                </c:pt>
                <c:pt idx="24">
                  <c:v>60.25</c:v>
                </c:pt>
                <c:pt idx="25">
                  <c:v>62.75</c:v>
                </c:pt>
                <c:pt idx="26">
                  <c:v>74.875</c:v>
                </c:pt>
                <c:pt idx="27">
                  <c:v>96.625</c:v>
                </c:pt>
                <c:pt idx="28">
                  <c:v>95.625</c:v>
                </c:pt>
                <c:pt idx="29">
                  <c:v>72.25</c:v>
                </c:pt>
                <c:pt idx="30">
                  <c:v>70.375</c:v>
                </c:pt>
                <c:pt idx="31">
                  <c:v>85</c:v>
                </c:pt>
                <c:pt idx="32">
                  <c:v>85.5</c:v>
                </c:pt>
                <c:pt idx="33">
                  <c:v>88</c:v>
                </c:pt>
                <c:pt idx="34">
                  <c:v>83.625</c:v>
                </c:pt>
                <c:pt idx="35">
                  <c:v>67.75</c:v>
                </c:pt>
                <c:pt idx="36">
                  <c:v>69.25</c:v>
                </c:pt>
                <c:pt idx="37">
                  <c:v>85.125</c:v>
                </c:pt>
                <c:pt idx="38">
                  <c:v>69.625</c:v>
                </c:pt>
                <c:pt idx="39">
                  <c:v>65.75</c:v>
                </c:pt>
                <c:pt idx="40">
                  <c:v>66.5</c:v>
                </c:pt>
                <c:pt idx="41">
                  <c:v>68</c:v>
                </c:pt>
                <c:pt idx="42">
                  <c:v>67.625</c:v>
                </c:pt>
                <c:pt idx="43">
                  <c:v>62.375</c:v>
                </c:pt>
                <c:pt idx="44">
                  <c:v>53.5</c:v>
                </c:pt>
                <c:pt idx="45">
                  <c:v>49.25</c:v>
                </c:pt>
                <c:pt idx="46">
                  <c:v>46.5</c:v>
                </c:pt>
                <c:pt idx="47">
                  <c:v>48.75</c:v>
                </c:pt>
                <c:pt idx="48">
                  <c:v>47.75</c:v>
                </c:pt>
                <c:pt idx="49">
                  <c:v>44.625</c:v>
                </c:pt>
                <c:pt idx="50">
                  <c:v>47.875</c:v>
                </c:pt>
                <c:pt idx="51">
                  <c:v>55.5</c:v>
                </c:pt>
                <c:pt idx="52">
                  <c:v>45.375</c:v>
                </c:pt>
                <c:pt idx="53">
                  <c:v>39.5</c:v>
                </c:pt>
                <c:pt idx="54">
                  <c:v>34.25</c:v>
                </c:pt>
                <c:pt idx="55">
                  <c:v>34.625</c:v>
                </c:pt>
                <c:pt idx="56">
                  <c:v>39.25</c:v>
                </c:pt>
                <c:pt idx="57">
                  <c:v>45.25</c:v>
                </c:pt>
                <c:pt idx="58">
                  <c:v>51</c:v>
                </c:pt>
                <c:pt idx="59">
                  <c:v>38.5</c:v>
                </c:pt>
                <c:pt idx="60">
                  <c:v>40.375</c:v>
                </c:pt>
                <c:pt idx="61">
                  <c:v>40.125</c:v>
                </c:pt>
                <c:pt idx="62">
                  <c:v>42.125</c:v>
                </c:pt>
                <c:pt idx="63">
                  <c:v>40.125</c:v>
                </c:pt>
                <c:pt idx="64">
                  <c:v>42.5</c:v>
                </c:pt>
                <c:pt idx="65">
                  <c:v>44.5</c:v>
                </c:pt>
                <c:pt idx="66">
                  <c:v>42.375</c:v>
                </c:pt>
                <c:pt idx="67">
                  <c:v>45.875</c:v>
                </c:pt>
                <c:pt idx="68">
                  <c:v>48</c:v>
                </c:pt>
                <c:pt idx="69">
                  <c:v>55.375</c:v>
                </c:pt>
                <c:pt idx="70">
                  <c:v>47.5</c:v>
                </c:pt>
                <c:pt idx="71">
                  <c:v>47.5</c:v>
                </c:pt>
                <c:pt idx="72">
                  <c:v>52.125</c:v>
                </c:pt>
                <c:pt idx="73">
                  <c:v>47.5</c:v>
                </c:pt>
                <c:pt idx="74">
                  <c:v>52.375</c:v>
                </c:pt>
                <c:pt idx="75">
                  <c:v>79.25</c:v>
                </c:pt>
                <c:pt idx="76">
                  <c:v>87.625</c:v>
                </c:pt>
                <c:pt idx="77">
                  <c:v>113.625</c:v>
                </c:pt>
                <c:pt idx="78">
                  <c:v>109.25</c:v>
                </c:pt>
                <c:pt idx="79">
                  <c:v>109.375</c:v>
                </c:pt>
                <c:pt idx="80">
                  <c:v>121.25</c:v>
                </c:pt>
                <c:pt idx="81">
                  <c:v>107.25</c:v>
                </c:pt>
                <c:pt idx="82">
                  <c:v>71.75</c:v>
                </c:pt>
                <c:pt idx="83">
                  <c:v>63.214285714285715</c:v>
                </c:pt>
                <c:pt idx="84">
                  <c:v>73.928571428571431</c:v>
                </c:pt>
                <c:pt idx="85">
                  <c:v>78.214285714285708</c:v>
                </c:pt>
                <c:pt idx="86">
                  <c:v>79.821428571428569</c:v>
                </c:pt>
                <c:pt idx="87">
                  <c:v>73.928571428571431</c:v>
                </c:pt>
                <c:pt idx="88">
                  <c:v>64.285714285714292</c:v>
                </c:pt>
                <c:pt idx="89">
                  <c:v>63.214285714285715</c:v>
                </c:pt>
                <c:pt idx="90">
                  <c:v>51.428571428571431</c:v>
                </c:pt>
                <c:pt idx="91">
                  <c:v>36.964285714285715</c:v>
                </c:pt>
                <c:pt idx="92">
                  <c:v>38.035714285714285</c:v>
                </c:pt>
                <c:pt idx="93">
                  <c:v>34.285714285714285</c:v>
                </c:pt>
                <c:pt idx="94">
                  <c:v>31.071428571428573</c:v>
                </c:pt>
                <c:pt idx="95">
                  <c:v>33.214285714285715</c:v>
                </c:pt>
                <c:pt idx="96">
                  <c:v>46.071428571428569</c:v>
                </c:pt>
                <c:pt idx="97">
                  <c:v>60</c:v>
                </c:pt>
                <c:pt idx="98">
                  <c:v>43.392857142857146</c:v>
                </c:pt>
                <c:pt idx="99">
                  <c:v>32.142857142857146</c:v>
                </c:pt>
                <c:pt idx="100">
                  <c:v>64.285714285714292</c:v>
                </c:pt>
              </c:numCache>
            </c:numRef>
          </c:val>
          <c:smooth val="0"/>
        </c:ser>
        <c:ser>
          <c:idx val="4"/>
          <c:order val="2"/>
          <c:tx>
            <c:strRef>
              <c:f>'Wheat (Adjusted)'!$N$6</c:f>
              <c:strCache>
                <c:ptCount val="1"/>
                <c:pt idx="0">
                  <c:v>Aleppo, , in d/bushel</c:v>
                </c:pt>
              </c:strCache>
            </c:strRef>
          </c:tx>
          <c:spPr>
            <a:ln w="15875" cap="rnd">
              <a:solidFill>
                <a:schemeClr val="accent5"/>
              </a:solidFill>
              <a:round/>
            </a:ln>
            <a:effectLst/>
          </c:spPr>
          <c:marker>
            <c:symbol val="circle"/>
            <c:size val="3"/>
            <c:spPr>
              <a:solidFill>
                <a:schemeClr val="accent5"/>
              </a:solidFill>
              <a:ln w="9525">
                <a:solidFill>
                  <a:schemeClr val="accent5"/>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(Adjusted)'!$N$7:$N$107</c:f>
              <c:numCache>
                <c:formatCode>0.0000</c:formatCode>
                <c:ptCount val="101"/>
                <c:pt idx="5" formatCode="_(* #,##0.0000_);_(* \(#,##0.0000\);_(* &quot;-&quot;??_);_(@_)">
                  <c:v>24.545454545454543</c:v>
                </c:pt>
                <c:pt idx="6" formatCode="_(* #,##0.0000_);_(* \(#,##0.0000\);_(* &quot;-&quot;??_);_(@_)">
                  <c:v>53.999999999999993</c:v>
                </c:pt>
                <c:pt idx="7" formatCode="_(* #,##0.0000_);_(* \(#,##0.0000\);_(* &quot;-&quot;??_);_(@_)">
                  <c:v>53.999999999999993</c:v>
                </c:pt>
                <c:pt idx="8" formatCode="_(* #,##0.0000_);_(* \(#,##0.0000\);_(* &quot;-&quot;??_);_(@_)">
                  <c:v>24.545454545454543</c:v>
                </c:pt>
                <c:pt idx="10" formatCode="_(* #,##0.0000_);_(* \(#,##0.0000\);_(* &quot;-&quot;??_);_(@_)">
                  <c:v>15.709090909090909</c:v>
                </c:pt>
                <c:pt idx="15" formatCode="_(* #,##0.0000_);_(* \(#,##0.0000\);_(* &quot;-&quot;??_);_(@_)">
                  <c:v>29.45454545454545</c:v>
                </c:pt>
                <c:pt idx="16" formatCode="_(* #,##0.0000_);_(* \(#,##0.0000\);_(* &quot;-&quot;??_);_(@_)">
                  <c:v>23.563636363636359</c:v>
                </c:pt>
                <c:pt idx="17" formatCode="_(* #,##0.0000_);_(* \(#,##0.0000\);_(* &quot;-&quot;??_);_(@_)">
                  <c:v>39.272727272727273</c:v>
                </c:pt>
                <c:pt idx="19" formatCode="_(* #,##0.0000_);_(* \(#,##0.0000\);_(* &quot;-&quot;??_);_(@_)">
                  <c:v>110.45454545454544</c:v>
                </c:pt>
                <c:pt idx="20" formatCode="_(* #,##0.0000_);_(* \(#,##0.0000\);_(* &quot;-&quot;??_);_(@_)">
                  <c:v>166.90909090909088</c:v>
                </c:pt>
                <c:pt idx="21" formatCode="_(* #,##0.0000_);_(* \(#,##0.0000\);_(* &quot;-&quot;??_);_(@_)">
                  <c:v>49.090909090909086</c:v>
                </c:pt>
                <c:pt idx="31" formatCode="_(* #,##0.0000_);_(* \(#,##0.0000\);_(* &quot;-&quot;??_);_(@_)">
                  <c:v>147.27272727272725</c:v>
                </c:pt>
                <c:pt idx="34" formatCode="_(* #,##0.0000_);_(* \(#,##0.0000\);_(* &quot;-&quot;??_);_(@_)">
                  <c:v>53.999999999999993</c:v>
                </c:pt>
                <c:pt idx="39" formatCode="_(* #,##0.0000_);_(* \(#,##0.0000\);_(* &quot;-&quot;??_);_(@_)">
                  <c:v>56.945454545454538</c:v>
                </c:pt>
                <c:pt idx="53" formatCode="_(* #,##0.0000_);_(* \(#,##0.0000\);_(* &quot;-&quot;??_);_(@_)">
                  <c:v>60.872727272727275</c:v>
                </c:pt>
                <c:pt idx="63" formatCode="_(* #,##0.0000_);_(* \(#,##0.0000\);_(* &quot;-&quot;??_);_(@_)">
                  <c:v>78.545454545454547</c:v>
                </c:pt>
                <c:pt idx="68" formatCode="_(* #,##0.0000_);_(* \(#,##0.0000\);_(* &quot;-&quot;??_);_(@_)">
                  <c:v>107.99999999999999</c:v>
                </c:pt>
                <c:pt idx="69" formatCode="_(* #,##0.0000_);_(* \(#,##0.0000\);_(* &quot;-&quot;??_);_(@_)">
                  <c:v>162</c:v>
                </c:pt>
                <c:pt idx="70" formatCode="_(* #,##0.0000_);_(* \(#,##0.0000\);_(* &quot;-&quot;??_);_(@_)">
                  <c:v>127.63636363636363</c:v>
                </c:pt>
                <c:pt idx="71" formatCode="_(* #,##0.0000_);_(* \(#,##0.0000\);_(* &quot;-&quot;??_);_(@_)">
                  <c:v>147.27272727272725</c:v>
                </c:pt>
                <c:pt idx="72" formatCode="_(* #,##0.0000_);_(* \(#,##0.0000\);_(* &quot;-&quot;??_);_(@_)">
                  <c:v>166.90909090909088</c:v>
                </c:pt>
                <c:pt idx="73" formatCode="_(* #,##0.0000_);_(* \(#,##0.0000\);_(* &quot;-&quot;??_);_(@_)">
                  <c:v>90.818181818181813</c:v>
                </c:pt>
              </c:numCache>
            </c:numRef>
          </c:val>
          <c:smooth val="0"/>
        </c:ser>
        <c:ser>
          <c:idx val="5"/>
          <c:order val="3"/>
          <c:tx>
            <c:strRef>
              <c:f>'Wheat (Adjusted)'!$O$6</c:f>
              <c:strCache>
                <c:ptCount val="1"/>
                <c:pt idx="0">
                  <c:v>Palestine, Imports, in d/bushel</c:v>
                </c:pt>
              </c:strCache>
            </c:strRef>
          </c:tx>
          <c:spPr>
            <a:ln w="15875" cap="rnd">
              <a:solidFill>
                <a:schemeClr val="accent6"/>
              </a:solidFill>
              <a:round/>
            </a:ln>
            <a:effectLst/>
          </c:spPr>
          <c:marker>
            <c:symbol val="circle"/>
            <c:size val="3"/>
            <c:spPr>
              <a:solidFill>
                <a:schemeClr val="accent6"/>
              </a:solidFill>
              <a:ln w="9525">
                <a:solidFill>
                  <a:schemeClr val="accent6"/>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(Adjusted)'!$O$7:$O$107</c:f>
              <c:numCache>
                <c:formatCode>0.0000</c:formatCode>
                <c:ptCount val="101"/>
                <c:pt idx="37">
                  <c:v>76.502732240437197</c:v>
                </c:pt>
                <c:pt idx="39">
                  <c:v>70.214375788146299</c:v>
                </c:pt>
                <c:pt idx="62">
                  <c:v>75.089465253399752</c:v>
                </c:pt>
                <c:pt idx="67">
                  <c:v>38.571428571428591</c:v>
                </c:pt>
                <c:pt idx="70">
                  <c:v>62.655279503105518</c:v>
                </c:pt>
                <c:pt idx="72">
                  <c:v>66.758241758241752</c:v>
                </c:pt>
              </c:numCache>
            </c:numRef>
          </c:val>
          <c:smooth val="0"/>
        </c:ser>
        <c:ser>
          <c:idx val="6"/>
          <c:order val="4"/>
          <c:tx>
            <c:strRef>
              <c:f>'Wheat (Adjusted)'!$P$6</c:f>
              <c:strCache>
                <c:ptCount val="1"/>
                <c:pt idx="0">
                  <c:v>Palestine, Exports, in d/bushel</c:v>
                </c:pt>
              </c:strCache>
            </c:strRef>
          </c:tx>
          <c:spPr>
            <a:ln w="15875" cap="rnd">
              <a:solidFill>
                <a:schemeClr val="accent1">
                  <a:lumMod val="60000"/>
                </a:schemeClr>
              </a:solidFill>
              <a:round/>
            </a:ln>
            <a:effectLst/>
          </c:spPr>
          <c:marker>
            <c:symbol val="circle"/>
            <c:size val="3"/>
            <c:spPr>
              <a:solidFill>
                <a:schemeClr val="accent1">
                  <a:lumMod val="60000"/>
                </a:schemeClr>
              </a:solidFill>
              <a:ln w="9525">
                <a:solidFill>
                  <a:schemeClr val="accent1">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(Adjusted)'!$P$7:$P$107</c:f>
              <c:numCache>
                <c:formatCode>0.0000</c:formatCode>
                <c:ptCount val="101"/>
                <c:pt idx="16">
                  <c:v>59.937216602720547</c:v>
                </c:pt>
                <c:pt idx="17">
                  <c:v>45.706313219393088</c:v>
                </c:pt>
                <c:pt idx="18">
                  <c:v>32.581952505952849</c:v>
                </c:pt>
                <c:pt idx="19">
                  <c:v>49.381020230589215</c:v>
                </c:pt>
                <c:pt idx="20">
                  <c:v>75.540885403201784</c:v>
                </c:pt>
                <c:pt idx="21">
                  <c:v>59.016293153288352</c:v>
                </c:pt>
                <c:pt idx="22">
                  <c:v>41.867618205257564</c:v>
                </c:pt>
                <c:pt idx="23">
                  <c:v>40.213675047501212</c:v>
                </c:pt>
                <c:pt idx="33">
                  <c:v>56.206088992974237</c:v>
                </c:pt>
                <c:pt idx="34">
                  <c:v>42.611241217798657</c:v>
                </c:pt>
                <c:pt idx="35">
                  <c:v>38.360655737704946</c:v>
                </c:pt>
                <c:pt idx="36">
                  <c:v>37.888132454659292</c:v>
                </c:pt>
                <c:pt idx="37">
                  <c:v>59.016393442622878</c:v>
                </c:pt>
                <c:pt idx="38">
                  <c:v>57.330210772833695</c:v>
                </c:pt>
                <c:pt idx="39">
                  <c:v>67.576023025904149</c:v>
                </c:pt>
                <c:pt idx="40">
                  <c:v>53.099737204354845</c:v>
                </c:pt>
                <c:pt idx="41">
                  <c:v>43.715846994535589</c:v>
                </c:pt>
                <c:pt idx="42">
                  <c:v>35.62841219064768</c:v>
                </c:pt>
                <c:pt idx="43">
                  <c:v>34.843627124795809</c:v>
                </c:pt>
                <c:pt idx="44">
                  <c:v>31.243972999035741</c:v>
                </c:pt>
                <c:pt idx="45">
                  <c:v>58.108448928121057</c:v>
                </c:pt>
                <c:pt idx="46">
                  <c:v>63.556116015132424</c:v>
                </c:pt>
                <c:pt idx="47">
                  <c:v>43.581336696090865</c:v>
                </c:pt>
                <c:pt idx="48">
                  <c:v>45.324590163934459</c:v>
                </c:pt>
                <c:pt idx="49">
                  <c:v>43.565915133211824</c:v>
                </c:pt>
                <c:pt idx="50">
                  <c:v>34.772900223749467</c:v>
                </c:pt>
                <c:pt idx="51">
                  <c:v>44.470751730704933</c:v>
                </c:pt>
                <c:pt idx="55">
                  <c:v>26.014345848102529</c:v>
                </c:pt>
                <c:pt idx="56">
                  <c:v>63.913967656961766</c:v>
                </c:pt>
                <c:pt idx="58">
                  <c:v>50.84489281210589</c:v>
                </c:pt>
                <c:pt idx="66">
                  <c:v>68.571428571428541</c:v>
                </c:pt>
                <c:pt idx="68">
                  <c:v>55.076893310024928</c:v>
                </c:pt>
                <c:pt idx="69">
                  <c:v>80.357142857142819</c:v>
                </c:pt>
                <c:pt idx="71">
                  <c:v>55.498458376156179</c:v>
                </c:pt>
                <c:pt idx="72">
                  <c:v>53.912337662337698</c:v>
                </c:pt>
              </c:numCache>
            </c:numRef>
          </c:val>
          <c:smooth val="0"/>
        </c:ser>
        <c:ser>
          <c:idx val="8"/>
          <c:order val="5"/>
          <c:tx>
            <c:strRef>
              <c:f>'Wheat (Adjusted)'!$R$6</c:f>
              <c:strCache>
                <c:ptCount val="1"/>
                <c:pt idx="0">
                  <c:v>Damascus, Imports, in d/bushel</c:v>
                </c:pt>
              </c:strCache>
            </c:strRef>
          </c:tx>
          <c:spPr>
            <a:ln w="15875" cap="rnd">
              <a:solidFill>
                <a:schemeClr val="accent3">
                  <a:lumMod val="60000"/>
                </a:schemeClr>
              </a:solidFill>
              <a:round/>
            </a:ln>
            <a:effectLst/>
          </c:spPr>
          <c:marker>
            <c:symbol val="circle"/>
            <c:size val="3"/>
            <c:spPr>
              <a:solidFill>
                <a:schemeClr val="accent3">
                  <a:lumMod val="60000"/>
                </a:schemeClr>
              </a:solidFill>
              <a:ln w="9525">
                <a:solidFill>
                  <a:schemeClr val="accent3">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(Adjusted)'!$R$7:$R$107</c:f>
              <c:numCache>
                <c:formatCode>0.0000</c:formatCode>
                <c:ptCount val="101"/>
                <c:pt idx="9" formatCode="_(* #,##0.0000_);_(* \(#,##0.0000\);_(* &quot;-&quot;??_);_(@_)">
                  <c:v>23.563636363636359</c:v>
                </c:pt>
                <c:pt idx="23" formatCode="_(* #,##0.0000_);_(* \(#,##0.0000\);_(* &quot;-&quot;??_);_(@_)">
                  <c:v>43.199999999999996</c:v>
                </c:pt>
                <c:pt idx="26" formatCode="_(* #,##0.0000_);_(* \(#,##0.0000\);_(* &quot;-&quot;??_);_(@_)">
                  <c:v>47.127272727272718</c:v>
                </c:pt>
                <c:pt idx="31" formatCode="_(* #,##0.0000_);_(* \(#,##0.0000\);_(* &quot;-&quot;??_);_(@_)">
                  <c:v>157.09090909090909</c:v>
                </c:pt>
                <c:pt idx="34" formatCode="_(* #,##0.0000_);_(* \(#,##0.0000\);_(* &quot;-&quot;??_);_(@_)">
                  <c:v>62.836363636363636</c:v>
                </c:pt>
                <c:pt idx="36" formatCode="_(* #,##0.0000_);_(* \(#,##0.0000\);_(* &quot;-&quot;??_);_(@_)">
                  <c:v>41.236363636363635</c:v>
                </c:pt>
                <c:pt idx="38" formatCode="_(* #,##0.0000_);_(* \(#,##0.0000\);_(* &quot;-&quot;??_);_(@_)">
                  <c:v>64.8</c:v>
                </c:pt>
                <c:pt idx="39" formatCode="_(* #,##0.0000_);_(* \(#,##0.0000\);_(* &quot;-&quot;??_);_(@_)">
                  <c:v>127.63636363636363</c:v>
                </c:pt>
                <c:pt idx="40" formatCode="_(* #,##0.0000_);_(* \(#,##0.0000\);_(* &quot;-&quot;??_);_(@_)">
                  <c:v>62.836363636363636</c:v>
                </c:pt>
                <c:pt idx="42" formatCode="_(* #,##0.0000_);_(* \(#,##0.0000\);_(* &quot;-&quot;??_);_(@_)">
                  <c:v>64.8</c:v>
                </c:pt>
                <c:pt idx="44" formatCode="_(* #,##0.0000_);_(* \(#,##0.0000\);_(* &quot;-&quot;??_);_(@_)">
                  <c:v>37.309090909090905</c:v>
                </c:pt>
                <c:pt idx="45" formatCode="_(* #,##0.0000_);_(* \(#,##0.0000\);_(* &quot;-&quot;??_);_(@_)">
                  <c:v>64.8</c:v>
                </c:pt>
                <c:pt idx="46" formatCode="_(* #,##0.0000_);_(* \(#,##0.0000\);_(* &quot;-&quot;??_);_(@_)">
                  <c:v>68.727272727272734</c:v>
                </c:pt>
                <c:pt idx="47" formatCode="_(* #,##0.0000_);_(* \(#,##0.0000\);_(* &quot;-&quot;??_);_(@_)">
                  <c:v>39.272727272727273</c:v>
                </c:pt>
                <c:pt idx="48" formatCode="_(* #,##0.0000_);_(* \(#,##0.0000\);_(* &quot;-&quot;??_);_(@_)">
                  <c:v>39.272727272727273</c:v>
                </c:pt>
                <c:pt idx="49" formatCode="_(* #,##0.0000_);_(* \(#,##0.0000\);_(* &quot;-&quot;??_);_(@_)">
                  <c:v>31.418181818181818</c:v>
                </c:pt>
                <c:pt idx="58" formatCode="_(* #,##0.0000_);_(* \(#,##0.0000\);_(* &quot;-&quot;??_);_(@_)">
                  <c:v>51.054545454545455</c:v>
                </c:pt>
                <c:pt idx="60" formatCode="_(* #,##0.0000_);_(* \(#,##0.0000\);_(* &quot;-&quot;??_);_(@_)">
                  <c:v>132.54545454545453</c:v>
                </c:pt>
                <c:pt idx="61" formatCode="_(* #,##0.0000_);_(* \(#,##0.0000\);_(* &quot;-&quot;??_);_(@_)">
                  <c:v>59.890909090909098</c:v>
                </c:pt>
                <c:pt idx="63" formatCode="_(* #,##0.0000_);_(* \(#,##0.0000\);_(* &quot;-&quot;??_);_(@_)">
                  <c:v>49.090909090909086</c:v>
                </c:pt>
                <c:pt idx="66" formatCode="_(* #,##0.0000_);_(* \(#,##0.0000\);_(* &quot;-&quot;??_);_(@_)">
                  <c:v>67.25454545454545</c:v>
                </c:pt>
                <c:pt idx="71" formatCode="_(* #,##0.0000_);_(* \(#,##0.0000\);_(* &quot;-&quot;??_);_(@_)">
                  <c:v>71.181818181818173</c:v>
                </c:pt>
              </c:numCache>
            </c:numRef>
          </c:val>
          <c:smooth val="0"/>
        </c:ser>
        <c:ser>
          <c:idx val="9"/>
          <c:order val="6"/>
          <c:tx>
            <c:strRef>
              <c:f>'Wheat (Adjusted)'!$S$6</c:f>
              <c:strCache>
                <c:ptCount val="1"/>
                <c:pt idx="0">
                  <c:v>Damascus, Exports, in d/bushel</c:v>
                </c:pt>
              </c:strCache>
            </c:strRef>
          </c:tx>
          <c:spPr>
            <a:ln w="15875" cap="rnd">
              <a:solidFill>
                <a:schemeClr val="accent4">
                  <a:lumMod val="60000"/>
                </a:schemeClr>
              </a:solidFill>
              <a:round/>
            </a:ln>
            <a:effectLst/>
          </c:spPr>
          <c:marker>
            <c:symbol val="circle"/>
            <c:size val="3"/>
            <c:spPr>
              <a:solidFill>
                <a:schemeClr val="accent4">
                  <a:lumMod val="60000"/>
                </a:schemeClr>
              </a:solidFill>
              <a:ln w="9525">
                <a:solidFill>
                  <a:schemeClr val="accent4">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(Adjusted)'!$S$7:$S$107</c:f>
              <c:numCache>
                <c:formatCode>0.0000</c:formatCode>
                <c:ptCount val="101"/>
                <c:pt idx="44" formatCode="_(* #,##0.0000_);_(* \(#,##0.0000\);_(* &quot;-&quot;??_);_(@_)">
                  <c:v>53.436246750000002</c:v>
                </c:pt>
                <c:pt idx="62" formatCode="_(* #,##0.0000_);_(* \(#,##0.0000\);_(* &quot;-&quot;??_);_(@_)">
                  <c:v>35.835428571428572</c:v>
                </c:pt>
                <c:pt idx="63" formatCode="_(* #,##0.0000_);_(* \(#,##0.0000\);_(* &quot;-&quot;??_);_(@_)">
                  <c:v>36.000000000000007</c:v>
                </c:pt>
                <c:pt idx="64" formatCode="_(* #,##0.0000_);_(* \(#,##0.0000\);_(* &quot;-&quot;??_);_(@_)">
                  <c:v>39</c:v>
                </c:pt>
                <c:pt idx="65" formatCode="_(* #,##0.0000_);_(* \(#,##0.0000\);_(* &quot;-&quot;??_);_(@_)">
                  <c:v>44</c:v>
                </c:pt>
                <c:pt idx="66" formatCode="_(* #,##0.0000_);_(* \(#,##0.0000\);_(* &quot;-&quot;??_);_(@_)">
                  <c:v>41.6</c:v>
                </c:pt>
                <c:pt idx="68" formatCode="_(* #,##0.0000_);_(* \(#,##0.0000\);_(* &quot;-&quot;??_);_(@_)">
                  <c:v>64</c:v>
                </c:pt>
                <c:pt idx="69" formatCode="_(* #,##0.0000_);_(* \(#,##0.0000\);_(* &quot;-&quot;??_);_(@_)">
                  <c:v>72.000000000000014</c:v>
                </c:pt>
                <c:pt idx="70" formatCode="_(* #,##0.0000_);_(* \(#,##0.0000\);_(* &quot;-&quot;??_);_(@_)">
                  <c:v>80.533333333333346</c:v>
                </c:pt>
                <c:pt idx="71" formatCode="_(* #,##0.0000_);_(* \(#,##0.0000\);_(* &quot;-&quot;??_);_(@_)">
                  <c:v>78</c:v>
                </c:pt>
              </c:numCache>
            </c:numRef>
          </c:val>
          <c:smooth val="0"/>
        </c:ser>
        <c:ser>
          <c:idx val="10"/>
          <c:order val="7"/>
          <c:tx>
            <c:strRef>
              <c:f>'Wheat (Adjusted)'!$T$6</c:f>
              <c:strCache>
                <c:ptCount val="1"/>
                <c:pt idx="0">
                  <c:v>Beirut, Exports, in d/bushel</c:v>
                </c:pt>
              </c:strCache>
            </c:strRef>
          </c:tx>
          <c:spPr>
            <a:ln w="15875" cap="rnd">
              <a:solidFill>
                <a:schemeClr val="accent5">
                  <a:lumMod val="60000"/>
                </a:schemeClr>
              </a:solidFill>
              <a:round/>
            </a:ln>
            <a:effectLst/>
          </c:spPr>
          <c:marker>
            <c:symbol val="circle"/>
            <c:size val="3"/>
            <c:spPr>
              <a:solidFill>
                <a:schemeClr val="accent5">
                  <a:lumMod val="60000"/>
                </a:schemeClr>
              </a:solidFill>
              <a:ln w="9525">
                <a:solidFill>
                  <a:schemeClr val="accent5">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(Adjusted)'!$T$7:$T$107</c:f>
              <c:numCache>
                <c:formatCode>0.0000</c:formatCode>
                <c:ptCount val="101"/>
                <c:pt idx="32">
                  <c:v>66.036585365853654</c:v>
                </c:pt>
                <c:pt idx="34">
                  <c:v>34.49939024390244</c:v>
                </c:pt>
                <c:pt idx="35">
                  <c:v>51.707317073170721</c:v>
                </c:pt>
                <c:pt idx="36">
                  <c:v>46.829268292682926</c:v>
                </c:pt>
                <c:pt idx="37">
                  <c:v>97.457857142857137</c:v>
                </c:pt>
                <c:pt idx="38">
                  <c:v>52.545921787709496</c:v>
                </c:pt>
                <c:pt idx="39">
                  <c:v>72.980446927374274</c:v>
                </c:pt>
                <c:pt idx="43">
                  <c:v>39.272727272727266</c:v>
                </c:pt>
                <c:pt idx="48">
                  <c:v>60</c:v>
                </c:pt>
                <c:pt idx="59">
                  <c:v>44.634146341463413</c:v>
                </c:pt>
                <c:pt idx="60">
                  <c:v>32.926829268292686</c:v>
                </c:pt>
                <c:pt idx="61">
                  <c:v>34.390243902439032</c:v>
                </c:pt>
              </c:numCache>
            </c:numRef>
          </c:val>
          <c:smooth val="0"/>
        </c:ser>
        <c:ser>
          <c:idx val="11"/>
          <c:order val="8"/>
          <c:tx>
            <c:strRef>
              <c:f>'Wheat (Adjusted)'!$U$6</c:f>
              <c:strCache>
                <c:ptCount val="1"/>
                <c:pt idx="0">
                  <c:v>Alexandria, Exports, in d/bushel</c:v>
                </c:pt>
              </c:strCache>
            </c:strRef>
          </c:tx>
          <c:spPr>
            <a:ln w="15875" cap="rnd">
              <a:solidFill>
                <a:schemeClr val="accent6">
                  <a:lumMod val="60000"/>
                </a:schemeClr>
              </a:solidFill>
              <a:round/>
            </a:ln>
            <a:effectLst/>
          </c:spPr>
          <c:marker>
            <c:symbol val="circle"/>
            <c:size val="3"/>
            <c:spPr>
              <a:solidFill>
                <a:schemeClr val="accent6">
                  <a:lumMod val="60000"/>
                </a:schemeClr>
              </a:solidFill>
              <a:ln w="9525">
                <a:solidFill>
                  <a:schemeClr val="accent6">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(Adjusted)'!$U$7:$U$107</c:f>
              <c:numCache>
                <c:formatCode>0.0000</c:formatCode>
                <c:ptCount val="101"/>
                <c:pt idx="8" formatCode="_(* #,##0.0000_);_(* \(#,##0.0000\);_(* &quot;-&quot;??_);_(@_)">
                  <c:v>23.321149090909095</c:v>
                </c:pt>
                <c:pt idx="9" formatCode="_(* #,##0.0000_);_(* \(#,##0.0000\);_(* &quot;-&quot;??_);_(@_)">
                  <c:v>17.490861818181816</c:v>
                </c:pt>
                <c:pt idx="10" formatCode="_(* #,##0.0000_);_(* \(#,##0.0000\);_(* &quot;-&quot;??_);_(@_)">
                  <c:v>20.822454545454544</c:v>
                </c:pt>
                <c:pt idx="12" formatCode="_(* #,##0.0000_);_(* \(#,##0.0000\);_(* &quot;-&quot;??_);_(@_)">
                  <c:v>27.48564</c:v>
                </c:pt>
                <c:pt idx="19" formatCode="_(* #,##0.0000_);_(* \(#,##0.0000\);_(* &quot;-&quot;??_);_(@_)">
                  <c:v>30.817232727272724</c:v>
                </c:pt>
                <c:pt idx="26" formatCode="_(* #,##0.0000_);_(* \(#,##0.0000\);_(* &quot;-&quot;??_);_(@_)">
                  <c:v>52.889034545454543</c:v>
                </c:pt>
                <c:pt idx="27" formatCode="_(* #,##0.0000_);_(* \(#,##0.0000\);_(* &quot;-&quot;??_);_(@_)">
                  <c:v>50.806789090909092</c:v>
                </c:pt>
                <c:pt idx="28" formatCode="_(* #,##0.0000_);_(* \(#,##0.0000\);_(* &quot;-&quot;??_);_(@_)">
                  <c:v>47.891645454545447</c:v>
                </c:pt>
                <c:pt idx="29" formatCode="_(* #,##0.0000_);_(* \(#,##0.0000\);_(* &quot;-&quot;??_);_(@_)">
                  <c:v>36.647519999999993</c:v>
                </c:pt>
                <c:pt idx="30" formatCode="_(* #,##0.0000_);_(* \(#,##0.0000\);_(* &quot;-&quot;??_);_(@_)">
                  <c:v>42.477807272727276</c:v>
                </c:pt>
                <c:pt idx="31" formatCode="_(* #,##0.0000_);_(* \(#,##0.0000\);_(* &quot;-&quot;??_);_(@_)">
                  <c:v>51.223238181818182</c:v>
                </c:pt>
                <c:pt idx="32" formatCode="_(* #,##0.0000_);_(* \(#,##0.0000\);_(* &quot;-&quot;??_);_(@_)">
                  <c:v>43.310705454545456</c:v>
                </c:pt>
                <c:pt idx="33" formatCode="_(* #,##0.0000_);_(* \(#,##0.0000\);_(* &quot;-&quot;??_);_(@_)">
                  <c:v>49.557441818181815</c:v>
                </c:pt>
                <c:pt idx="39" formatCode="_(* #,##0.0000_);_(* \(#,##0.0000\);_(* &quot;-&quot;??_);_(@_)">
                  <c:v>48.724543636363627</c:v>
                </c:pt>
                <c:pt idx="40" formatCode="_(* #,##0.0000_);_(* \(#,##0.0000\);_(* &quot;-&quot;??_);_(@_)">
                  <c:v>45.892689818181815</c:v>
                </c:pt>
                <c:pt idx="41" formatCode="_(* #,##0.0000_);_(* \(#,##0.0000\);_(* &quot;-&quot;??_);_(@_)">
                  <c:v>45.892689818181815</c:v>
                </c:pt>
                <c:pt idx="42" formatCode="_(* #,##0.0000_);_(* \(#,##0.0000\);_(* &quot;-&quot;??_);_(@_)">
                  <c:v>45.892689818181815</c:v>
                </c:pt>
                <c:pt idx="43" formatCode="_(* #,##0.0000_);_(* \(#,##0.0000\);_(* &quot;-&quot;??_);_(@_)">
                  <c:v>45.892689818181815</c:v>
                </c:pt>
                <c:pt idx="44" formatCode="_(* #,##0.0000_);_(* \(#,##0.0000\);_(* &quot;-&quot;??_);_(@_)">
                  <c:v>45.892689818181815</c:v>
                </c:pt>
                <c:pt idx="45" formatCode="_(* #,##0.0000_);_(* \(#,##0.0000\);_(* &quot;-&quot;??_);_(@_)">
                  <c:v>41.603264181818176</c:v>
                </c:pt>
                <c:pt idx="46" formatCode="_(* #,##0.0000_);_(* \(#,##0.0000\);_(* &quot;-&quot;??_);_(@_)">
                  <c:v>41.603264181818176</c:v>
                </c:pt>
                <c:pt idx="47" formatCode="_(* #,##0.0000_);_(* \(#,##0.0000\);_(* &quot;-&quot;??_);_(@_)">
                  <c:v>41.603264181818176</c:v>
                </c:pt>
                <c:pt idx="48" formatCode="_(* #,##0.0000_);_(* \(#,##0.0000\);_(* &quot;-&quot;??_);_(@_)">
                  <c:v>41.603264181818176</c:v>
                </c:pt>
                <c:pt idx="49" formatCode="_(* #,##0.0000_);_(* \(#,##0.0000\);_(* &quot;-&quot;??_);_(@_)">
                  <c:v>33.202946102699642</c:v>
                </c:pt>
                <c:pt idx="50" formatCode="_(* #,##0.0000_);_(* \(#,##0.0000\);_(* &quot;-&quot;??_);_(@_)">
                  <c:v>34.81952245791976</c:v>
                </c:pt>
                <c:pt idx="51" formatCode="_(* #,##0.0000_);_(* \(#,##0.0000\);_(* &quot;-&quot;??_);_(@_)">
                  <c:v>35.057253867846221</c:v>
                </c:pt>
                <c:pt idx="52" formatCode="_(* #,##0.0000_);_(* \(#,##0.0000\);_(* &quot;-&quot;??_);_(@_)">
                  <c:v>35.877747990918046</c:v>
                </c:pt>
                <c:pt idx="53" formatCode="_(* #,##0.0000_);_(* \(#,##0.0000\);_(* &quot;-&quot;??_);_(@_)">
                  <c:v>33.398418221047145</c:v>
                </c:pt>
                <c:pt idx="54" formatCode="_(* #,##0.0000_);_(* \(#,##0.0000\);_(* &quot;-&quot;??_);_(@_)">
                  <c:v>25.708735164284665</c:v>
                </c:pt>
                <c:pt idx="55" formatCode="_(* #,##0.0000_);_(* \(#,##0.0000\);_(* &quot;-&quot;??_);_(@_)">
                  <c:v>24.796916768236322</c:v>
                </c:pt>
                <c:pt idx="56" formatCode="_(* #,##0.0000_);_(* \(#,##0.0000\);_(* &quot;-&quot;??_);_(@_)">
                  <c:v>30.084854890071522</c:v>
                </c:pt>
                <c:pt idx="57" formatCode="_(* #,##0.0000_);_(* \(#,##0.0000\);_(* &quot;-&quot;??_);_(@_)">
                  <c:v>36.074435601630746</c:v>
                </c:pt>
                <c:pt idx="58" formatCode="_(* #,##0.0000_);_(* \(#,##0.0000\);_(* &quot;-&quot;??_);_(@_)">
                  <c:v>37.25513941916801</c:v>
                </c:pt>
                <c:pt idx="59" formatCode="_(* #,##0.0000_);_(* \(#,##0.0000\);_(* &quot;-&quot;??_);_(@_)">
                  <c:v>34.164308071157301</c:v>
                </c:pt>
                <c:pt idx="60" formatCode="_(* #,##0.0000_);_(* \(#,##0.0000\);_(* &quot;-&quot;??_);_(@_)">
                  <c:v>38.084223599999994</c:v>
                </c:pt>
                <c:pt idx="61" formatCode="_(* #,##0.0000_);_(* \(#,##0.0000\);_(* &quot;-&quot;??_);_(@_)">
                  <c:v>38.981104729411761</c:v>
                </c:pt>
                <c:pt idx="62" formatCode="_(* #,##0.0000_);_(* \(#,##0.0000\);_(* &quot;-&quot;??_);_(@_)">
                  <c:v>38.263024498353225</c:v>
                </c:pt>
                <c:pt idx="63" formatCode="_(* #,##0.0000_);_(* \(#,##0.0000\);_(* &quot;-&quot;??_);_(@_)">
                  <c:v>35.200877040158495</c:v>
                </c:pt>
                <c:pt idx="64" formatCode="_(* #,##0.0000_);_(* \(#,##0.0000\);_(* &quot;-&quot;??_);_(@_)">
                  <c:v>34.791789569410952</c:v>
                </c:pt>
                <c:pt idx="65" formatCode="_(* #,##0.0000_);_(* \(#,##0.0000\);_(* &quot;-&quot;??_);_(@_)">
                  <c:v>39.827412709786003</c:v>
                </c:pt>
                <c:pt idx="66" formatCode="_(* #,##0.0000_);_(* \(#,##0.0000\);_(* &quot;-&quot;??_);_(@_)">
                  <c:v>41.311385941994509</c:v>
                </c:pt>
                <c:pt idx="67" formatCode="_(* #,##0.0000_);_(* \(#,##0.0000\);_(* &quot;-&quot;??_);_(@_)">
                  <c:v>39.419525394354466</c:v>
                </c:pt>
                <c:pt idx="68" formatCode="_(* #,##0.0000_);_(* \(#,##0.0000\);_(* &quot;-&quot;??_);_(@_)">
                  <c:v>49.907019001544001</c:v>
                </c:pt>
                <c:pt idx="69" formatCode="_(* #,##0.0000_);_(* \(#,##0.0000\);_(* &quot;-&quot;??_);_(@_)">
                  <c:v>48.018477444191348</c:v>
                </c:pt>
                <c:pt idx="70" formatCode="_(* #,##0.0000_);_(* \(#,##0.0000\);_(* &quot;-&quot;??_);_(@_)">
                  <c:v>41.103727623995347</c:v>
                </c:pt>
                <c:pt idx="71" formatCode="_(* #,##0.0000_);_(* \(#,##0.0000\);_(* &quot;-&quot;??_);_(@_)">
                  <c:v>44.032328963579133</c:v>
                </c:pt>
              </c:numCache>
            </c:numRef>
          </c:val>
          <c:smooth val="0"/>
        </c:ser>
        <c:ser>
          <c:idx val="12"/>
          <c:order val="9"/>
          <c:tx>
            <c:strRef>
              <c:f>'Wheat (Adjusted)'!$V$6</c:f>
              <c:strCache>
                <c:ptCount val="1"/>
                <c:pt idx="0">
                  <c:v>Istanbul (Rumeli), , in d/bushel</c:v>
                </c:pt>
              </c:strCache>
            </c:strRef>
          </c:tx>
          <c:spPr>
            <a:ln w="15875" cap="rnd">
              <a:solidFill>
                <a:schemeClr val="accent1">
                  <a:lumMod val="80000"/>
                  <a:lumOff val="20000"/>
                </a:schemeClr>
              </a:solidFill>
              <a:round/>
            </a:ln>
            <a:effectLst/>
          </c:spPr>
          <c:marker>
            <c:symbol val="circle"/>
            <c:size val="3"/>
            <c:spPr>
              <a:solidFill>
                <a:schemeClr val="accent1">
                  <a:lumMod val="80000"/>
                  <a:lumOff val="20000"/>
                </a:schemeClr>
              </a:solidFill>
              <a:ln w="9525">
                <a:solidFill>
                  <a:schemeClr val="accent1">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(Adjusted)'!$V$7:$V$107</c:f>
              <c:numCache>
                <c:formatCode>0.0000</c:formatCode>
                <c:ptCount val="101"/>
                <c:pt idx="36" formatCode="_(* #,##0.0000_);_(* \(#,##0.0000\);_(* &quot;-&quot;??_);_(@_)">
                  <c:v>52.458233215547715</c:v>
                </c:pt>
                <c:pt idx="37" formatCode="_(* #,##0.0000_);_(* \(#,##0.0000\);_(* &quot;-&quot;??_);_(@_)">
                  <c:v>64.399293286219077</c:v>
                </c:pt>
                <c:pt idx="38" formatCode="_(* #,##0.0000_);_(* \(#,##0.0000\);_(* &quot;-&quot;??_);_(@_)">
                  <c:v>59.338939929328617</c:v>
                </c:pt>
                <c:pt idx="39" formatCode="_(* #,##0.0000_);_(* \(#,##0.0000\);_(* &quot;-&quot;??_);_(@_)">
                  <c:v>50.592084805653712</c:v>
                </c:pt>
                <c:pt idx="40" formatCode="_(* #,##0.0000_);_(* \(#,##0.0000\);_(* &quot;-&quot;??_);_(@_)">
                  <c:v>63.094134275618373</c:v>
                </c:pt>
                <c:pt idx="41" formatCode="_(* #,##0.0000_);_(* \(#,##0.0000\);_(* &quot;-&quot;??_);_(@_)">
                  <c:v>61.525653710247347</c:v>
                </c:pt>
                <c:pt idx="42" formatCode="_(* #,##0.0000_);_(* \(#,##0.0000\);_(* &quot;-&quot;??_);_(@_)">
                  <c:v>64.239010600706706</c:v>
                </c:pt>
                <c:pt idx="45" formatCode="_(* #,##0.0000_);_(* \(#,##0.0000\);_(* &quot;-&quot;??_);_(@_)">
                  <c:v>42.268833922261479</c:v>
                </c:pt>
                <c:pt idx="46" formatCode="_(* #,##0.0000_);_(* \(#,##0.0000\);_(* &quot;-&quot;??_);_(@_)">
                  <c:v>41.570459363957603</c:v>
                </c:pt>
                <c:pt idx="47" formatCode="_(* #,##0.0000_);_(* \(#,##0.0000\);_(* &quot;-&quot;??_);_(@_)">
                  <c:v>45.085229681978802</c:v>
                </c:pt>
                <c:pt idx="48" formatCode="_(* #,##0.0000_);_(* \(#,##0.0000\);_(* &quot;-&quot;??_);_(@_)">
                  <c:v>41.982614840989399</c:v>
                </c:pt>
                <c:pt idx="49" formatCode="_(* #,##0.0000_);_(* \(#,##0.0000\);_(* &quot;-&quot;??_);_(@_)">
                  <c:v>42.463462897526512</c:v>
                </c:pt>
                <c:pt idx="52" formatCode="_(* #,##0.0000_);_(* \(#,##0.0000\);_(* &quot;-&quot;??_);_(@_)">
                  <c:v>49.802120141342755</c:v>
                </c:pt>
                <c:pt idx="53" formatCode="_(* #,##0.0000_);_(* \(#,##0.0000\);_(* &quot;-&quot;??_);_(@_)">
                  <c:v>42.93286219081272</c:v>
                </c:pt>
                <c:pt idx="54" formatCode="_(* #,##0.0000_);_(* \(#,##0.0000\);_(* &quot;-&quot;??_);_(@_)">
                  <c:v>27.282402826855126</c:v>
                </c:pt>
                <c:pt idx="55" formatCode="_(* #,##0.0000_);_(* \(#,##0.0000\);_(* &quot;-&quot;??_);_(@_)">
                  <c:v>28.049469964664311</c:v>
                </c:pt>
                <c:pt idx="56" formatCode="_(* #,##0.0000_);_(* \(#,##0.0000\);_(* &quot;-&quot;??_);_(@_)">
                  <c:v>31.552791519434631</c:v>
                </c:pt>
                <c:pt idx="57" formatCode="_(* #,##0.0000_);_(* \(#,##0.0000\);_(* &quot;-&quot;??_);_(@_)">
                  <c:v>33.201413427561839</c:v>
                </c:pt>
                <c:pt idx="58" formatCode="_(* #,##0.0000_);_(* \(#,##0.0000\);_(* &quot;-&quot;??_);_(@_)">
                  <c:v>46.367491166077741</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46.081272084805654</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13"/>
          <c:order val="10"/>
          <c:tx>
            <c:strRef>
              <c:f>'Wheat (Adjusted)'!$W$6</c:f>
              <c:strCache>
                <c:ptCount val="1"/>
                <c:pt idx="0">
                  <c:v>Istanbul (Anatolia), , in d/bushel</c:v>
                </c:pt>
              </c:strCache>
            </c:strRef>
          </c:tx>
          <c:spPr>
            <a:ln w="15875" cap="rnd">
              <a:solidFill>
                <a:schemeClr val="accent2">
                  <a:lumMod val="80000"/>
                  <a:lumOff val="20000"/>
                </a:schemeClr>
              </a:solidFill>
              <a:round/>
            </a:ln>
            <a:effectLst/>
          </c:spPr>
          <c:marker>
            <c:symbol val="circle"/>
            <c:size val="3"/>
            <c:spPr>
              <a:solidFill>
                <a:schemeClr val="accent2">
                  <a:lumMod val="80000"/>
                  <a:lumOff val="20000"/>
                </a:schemeClr>
              </a:solidFill>
              <a:ln w="9525">
                <a:solidFill>
                  <a:schemeClr val="accent2">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(Adjusted)'!$W$7:$W$107</c:f>
              <c:numCache>
                <c:formatCode>0.0000</c:formatCode>
                <c:ptCount val="101"/>
                <c:pt idx="46" formatCode="_(* #,##0.0000_);_(* \(#,##0.0000\);_(* &quot;-&quot;??_);_(@_)">
                  <c:v>41.570459363957603</c:v>
                </c:pt>
                <c:pt idx="47" formatCode="_(* #,##0.0000_);_(* \(#,##0.0000\);_(* &quot;-&quot;??_);_(@_)">
                  <c:v>45.096678445229678</c:v>
                </c:pt>
                <c:pt idx="56" formatCode="_(* #,##0.0000_);_(* \(#,##0.0000\);_(* &quot;-&quot;??_);_(@_)">
                  <c:v>30.94600706713781</c:v>
                </c:pt>
                <c:pt idx="57" formatCode="_(* #,##0.0000_);_(* \(#,##0.0000\);_(* &quot;-&quot;??_);_(@_)">
                  <c:v>38.937243816254416</c:v>
                </c:pt>
                <c:pt idx="58" formatCode="_(* #,##0.0000_);_(* \(#,##0.0000\);_(* &quot;-&quot;??_);_(@_)">
                  <c:v>49.092296819787997</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42.646643109540641</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14"/>
          <c:order val="11"/>
          <c:tx>
            <c:strRef>
              <c:f>'Wheat (Adjusted)'!$X$6</c:f>
              <c:strCache>
                <c:ptCount val="1"/>
                <c:pt idx="0">
                  <c:v>Turkey &amp; Constantinople, Imports, in d/bushel</c:v>
                </c:pt>
              </c:strCache>
            </c:strRef>
          </c:tx>
          <c:spPr>
            <a:ln w="15875" cap="rnd">
              <a:solidFill>
                <a:schemeClr val="accent3">
                  <a:lumMod val="80000"/>
                  <a:lumOff val="20000"/>
                </a:schemeClr>
              </a:solidFill>
              <a:round/>
            </a:ln>
            <a:effectLst/>
          </c:spPr>
          <c:marker>
            <c:symbol val="circle"/>
            <c:size val="3"/>
            <c:spPr>
              <a:solidFill>
                <a:schemeClr val="accent3">
                  <a:lumMod val="80000"/>
                  <a:lumOff val="20000"/>
                </a:schemeClr>
              </a:solidFill>
              <a:ln w="9525">
                <a:solidFill>
                  <a:schemeClr val="accent3">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(Adjusted)'!$X$7:$X$107</c:f>
              <c:numCache>
                <c:formatCode>0.0000</c:formatCode>
                <c:ptCount val="101"/>
                <c:pt idx="49">
                  <c:v>98.157671753255343</c:v>
                </c:pt>
                <c:pt idx="50">
                  <c:v>126.17116438830043</c:v>
                </c:pt>
                <c:pt idx="67">
                  <c:v>57.208375534591028</c:v>
                </c:pt>
                <c:pt idx="70">
                  <c:v>47.458576737058046</c:v>
                </c:pt>
                <c:pt idx="71">
                  <c:v>44.990941421190342</c:v>
                </c:pt>
              </c:numCache>
            </c:numRef>
          </c:val>
          <c:smooth val="0"/>
        </c:ser>
        <c:ser>
          <c:idx val="15"/>
          <c:order val="12"/>
          <c:tx>
            <c:strRef>
              <c:f>'Wheat (Adjusted)'!$Y$6</c:f>
              <c:strCache>
                <c:ptCount val="1"/>
                <c:pt idx="0">
                  <c:v>Turkey &amp; Constantinople, Exports, in d/bushel</c:v>
                </c:pt>
              </c:strCache>
            </c:strRef>
          </c:tx>
          <c:spPr>
            <a:ln w="15875" cap="rnd">
              <a:solidFill>
                <a:schemeClr val="accent4">
                  <a:lumMod val="80000"/>
                  <a:lumOff val="20000"/>
                </a:schemeClr>
              </a:solidFill>
              <a:round/>
            </a:ln>
            <a:effectLst/>
          </c:spPr>
          <c:marker>
            <c:symbol val="circle"/>
            <c:size val="3"/>
            <c:spPr>
              <a:solidFill>
                <a:schemeClr val="accent4">
                  <a:lumMod val="80000"/>
                  <a:lumOff val="20000"/>
                </a:schemeClr>
              </a:solidFill>
              <a:ln w="9525">
                <a:solidFill>
                  <a:schemeClr val="accent4">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(Adjusted)'!$Y$7:$Y$107</c:f>
              <c:numCache>
                <c:formatCode>0.0000</c:formatCode>
                <c:ptCount val="101"/>
                <c:pt idx="6">
                  <c:v>39.433092993825618</c:v>
                </c:pt>
                <c:pt idx="22">
                  <c:v>43.285714285714256</c:v>
                </c:pt>
                <c:pt idx="32">
                  <c:v>59.142857142857132</c:v>
                </c:pt>
                <c:pt idx="44">
                  <c:v>89.772367558462705</c:v>
                </c:pt>
                <c:pt idx="45">
                  <c:v>85.760074394249131</c:v>
                </c:pt>
                <c:pt idx="49">
                  <c:v>85.196111759747993</c:v>
                </c:pt>
                <c:pt idx="50">
                  <c:v>88.019877485057776</c:v>
                </c:pt>
                <c:pt idx="52">
                  <c:v>36.657359173582904</c:v>
                </c:pt>
                <c:pt idx="53">
                  <c:v>32.1276175948312</c:v>
                </c:pt>
                <c:pt idx="54">
                  <c:v>32.797219393052416</c:v>
                </c:pt>
                <c:pt idx="55">
                  <c:v>40.260826771653534</c:v>
                </c:pt>
                <c:pt idx="56">
                  <c:v>41.710256968641104</c:v>
                </c:pt>
                <c:pt idx="60">
                  <c:v>37.763428008998886</c:v>
                </c:pt>
                <c:pt idx="61">
                  <c:v>38.898694533163813</c:v>
                </c:pt>
                <c:pt idx="71">
                  <c:v>30.14521129549173</c:v>
                </c:pt>
              </c:numCache>
            </c:numRef>
          </c:val>
          <c:smooth val="0"/>
        </c:ser>
        <c:ser>
          <c:idx val="16"/>
          <c:order val="13"/>
          <c:tx>
            <c:strRef>
              <c:f>'Wheat (Adjusted)'!$Z$6</c:f>
              <c:strCache>
                <c:ptCount val="1"/>
                <c:pt idx="0">
                  <c:v>Trebizond (Anatolia), Exports, in d/bushel</c:v>
                </c:pt>
              </c:strCache>
            </c:strRef>
          </c:tx>
          <c:spPr>
            <a:ln w="15875" cap="rnd">
              <a:solidFill>
                <a:schemeClr val="accent5">
                  <a:lumMod val="80000"/>
                  <a:lumOff val="20000"/>
                </a:schemeClr>
              </a:solidFill>
              <a:round/>
            </a:ln>
            <a:effectLst/>
          </c:spPr>
          <c:marker>
            <c:symbol val="circle"/>
            <c:size val="3"/>
            <c:spPr>
              <a:solidFill>
                <a:schemeClr val="accent5">
                  <a:lumMod val="80000"/>
                  <a:lumOff val="20000"/>
                </a:schemeClr>
              </a:solidFill>
              <a:ln w="9525">
                <a:solidFill>
                  <a:schemeClr val="accent5">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(Adjusted)'!$Z$7:$Z$107</c:f>
              <c:numCache>
                <c:formatCode>0.0000</c:formatCode>
                <c:ptCount val="101"/>
                <c:pt idx="29">
                  <c:v>60</c:v>
                </c:pt>
                <c:pt idx="30">
                  <c:v>60</c:v>
                </c:pt>
                <c:pt idx="31">
                  <c:v>60</c:v>
                </c:pt>
                <c:pt idx="32">
                  <c:v>60</c:v>
                </c:pt>
                <c:pt idx="33">
                  <c:v>60</c:v>
                </c:pt>
                <c:pt idx="35">
                  <c:v>48</c:v>
                </c:pt>
                <c:pt idx="44">
                  <c:v>45</c:v>
                </c:pt>
              </c:numCache>
            </c:numRef>
          </c:val>
          <c:smooth val="0"/>
        </c:ser>
        <c:ser>
          <c:idx val="17"/>
          <c:order val="14"/>
          <c:tx>
            <c:strRef>
              <c:f>'Wheat (Adjusted)'!$AA$6</c:f>
              <c:strCache>
                <c:ptCount val="1"/>
                <c:pt idx="0">
                  <c:v>Izmir, Exports, in d/bushel</c:v>
                </c:pt>
              </c:strCache>
            </c:strRef>
          </c:tx>
          <c:spPr>
            <a:ln w="15875" cap="rnd">
              <a:solidFill>
                <a:schemeClr val="accent6">
                  <a:lumMod val="80000"/>
                  <a:lumOff val="20000"/>
                </a:schemeClr>
              </a:solidFill>
              <a:round/>
            </a:ln>
            <a:effectLst/>
          </c:spPr>
          <c:marker>
            <c:symbol val="circle"/>
            <c:size val="3"/>
            <c:spPr>
              <a:solidFill>
                <a:schemeClr val="accent6">
                  <a:lumMod val="80000"/>
                  <a:lumOff val="20000"/>
                </a:schemeClr>
              </a:solidFill>
              <a:ln w="9525">
                <a:solidFill>
                  <a:schemeClr val="accent6">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(Adjusted)'!$AA$7:$AA$107</c:f>
              <c:numCache>
                <c:formatCode>0.0000</c:formatCode>
                <c:ptCount val="101"/>
                <c:pt idx="49" formatCode="_(* #,##0.0000_);_(* \(#,##0.0000\);_(* &quot;-&quot;??_);_(@_)">
                  <c:v>58.831988913438529</c:v>
                </c:pt>
                <c:pt idx="50" formatCode="_(* #,##0.0000_);_(* \(#,##0.0000\);_(* &quot;-&quot;??_);_(@_)">
                  <c:v>72.949870247768914</c:v>
                </c:pt>
                <c:pt idx="51" formatCode="_(* #,##0.0000_);_(* \(#,##0.0000\);_(* &quot;-&quot;??_);_(@_)">
                  <c:v>58.831988913438529</c:v>
                </c:pt>
                <c:pt idx="52" formatCode="_(* #,##0.0000_);_(* \(#,##0.0000\);_(* &quot;-&quot;??_);_(@_)">
                  <c:v>58.831988913438529</c:v>
                </c:pt>
                <c:pt idx="54" formatCode="_(* #,##0.0000_);_(* \(#,##0.0000\);_(* &quot;-&quot;??_);_(@_)">
                  <c:v>58.831988913438529</c:v>
                </c:pt>
                <c:pt idx="61" formatCode="_(* #,##0.0000_);_(* \(#,##0.0000\);_(* &quot;-&quot;??_);_(@_)">
                  <c:v>22.678826166700631</c:v>
                </c:pt>
                <c:pt idx="67" formatCode="_(* #,##0.0000_);_(* \(#,##0.0000\);_(* &quot;-&quot;??_);_(@_)">
                  <c:v>7.5348999534667298</c:v>
                </c:pt>
              </c:numCache>
            </c:numRef>
          </c:val>
          <c:smooth val="0"/>
        </c:ser>
        <c:ser>
          <c:idx val="18"/>
          <c:order val="15"/>
          <c:tx>
            <c:strRef>
              <c:f>'Wheat (Adjusted)'!$AB$6</c:f>
              <c:strCache>
                <c:ptCount val="1"/>
                <c:pt idx="0">
                  <c:v>Alexandretta, Imports, in d/bushel</c:v>
                </c:pt>
              </c:strCache>
            </c:strRef>
          </c:tx>
          <c:spPr>
            <a:ln w="15875" cap="rnd">
              <a:solidFill>
                <a:schemeClr val="accent1">
                  <a:lumMod val="80000"/>
                </a:schemeClr>
              </a:solidFill>
              <a:round/>
            </a:ln>
            <a:effectLst/>
          </c:spPr>
          <c:marker>
            <c:symbol val="circle"/>
            <c:size val="3"/>
            <c:spPr>
              <a:solidFill>
                <a:schemeClr val="accent1">
                  <a:lumMod val="80000"/>
                </a:schemeClr>
              </a:solidFill>
              <a:ln w="9525">
                <a:solidFill>
                  <a:schemeClr val="accent1">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(Adjusted)'!$AB$7:$AB$107</c:f>
              <c:numCache>
                <c:formatCode>0.0000</c:formatCode>
                <c:ptCount val="101"/>
                <c:pt idx="40" formatCode="_(* #,##0.0000_);_(* \(#,##0.0000\);_(* &quot;-&quot;??_);_(@_)">
                  <c:v>63.080540858318656</c:v>
                </c:pt>
              </c:numCache>
            </c:numRef>
          </c:val>
          <c:smooth val="0"/>
        </c:ser>
        <c:ser>
          <c:idx val="19"/>
          <c:order val="16"/>
          <c:tx>
            <c:strRef>
              <c:f>'Wheat (Adjusted)'!$AC$6</c:f>
              <c:strCache>
                <c:ptCount val="1"/>
                <c:pt idx="0">
                  <c:v>Alexandretta, Exports, in d/bushel</c:v>
                </c:pt>
              </c:strCache>
            </c:strRef>
          </c:tx>
          <c:spPr>
            <a:ln w="15875" cap="rnd">
              <a:solidFill>
                <a:schemeClr val="accent2">
                  <a:lumMod val="80000"/>
                </a:schemeClr>
              </a:solidFill>
              <a:round/>
            </a:ln>
            <a:effectLst/>
          </c:spPr>
          <c:marker>
            <c:symbol val="circle"/>
            <c:size val="3"/>
            <c:spPr>
              <a:solidFill>
                <a:schemeClr val="accent2">
                  <a:lumMod val="80000"/>
                </a:schemeClr>
              </a:solidFill>
              <a:ln w="9525">
                <a:solidFill>
                  <a:schemeClr val="accent2">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(Adjusted)'!$AC$7:$AC$107</c:f>
              <c:numCache>
                <c:formatCode>0.0000</c:formatCode>
                <c:ptCount val="101"/>
                <c:pt idx="38">
                  <c:v>64.816864855354282</c:v>
                </c:pt>
                <c:pt idx="39">
                  <c:v>64.285714285714207</c:v>
                </c:pt>
                <c:pt idx="40">
                  <c:v>58.731167180976549</c:v>
                </c:pt>
                <c:pt idx="41">
                  <c:v>51.42857142857136</c:v>
                </c:pt>
                <c:pt idx="42">
                  <c:v>51.42857142857136</c:v>
                </c:pt>
                <c:pt idx="43">
                  <c:v>51.430959811476967</c:v>
                </c:pt>
                <c:pt idx="45">
                  <c:v>48.821043389941345</c:v>
                </c:pt>
                <c:pt idx="46">
                  <c:v>48.9197641340592</c:v>
                </c:pt>
                <c:pt idx="47">
                  <c:v>50.808964091965841</c:v>
                </c:pt>
                <c:pt idx="48">
                  <c:v>46.215744836076766</c:v>
                </c:pt>
                <c:pt idx="49">
                  <c:v>44.325220600957302</c:v>
                </c:pt>
                <c:pt idx="50">
                  <c:v>36.886106198919784</c:v>
                </c:pt>
                <c:pt idx="51">
                  <c:v>37.261709361627233</c:v>
                </c:pt>
                <c:pt idx="52">
                  <c:v>32.726697595951045</c:v>
                </c:pt>
                <c:pt idx="53">
                  <c:v>27.811493018259938</c:v>
                </c:pt>
                <c:pt idx="54">
                  <c:v>31.58718330849473</c:v>
                </c:pt>
                <c:pt idx="55">
                  <c:v>31.922474472092759</c:v>
                </c:pt>
                <c:pt idx="56">
                  <c:v>35.664391878599567</c:v>
                </c:pt>
                <c:pt idx="57">
                  <c:v>30.997105660355977</c:v>
                </c:pt>
                <c:pt idx="58">
                  <c:v>31.422996752144979</c:v>
                </c:pt>
                <c:pt idx="59">
                  <c:v>28.909653096096964</c:v>
                </c:pt>
                <c:pt idx="60">
                  <c:v>30.976555455365141</c:v>
                </c:pt>
                <c:pt idx="61">
                  <c:v>31.827580314422395</c:v>
                </c:pt>
                <c:pt idx="62">
                  <c:v>29.398170208710532</c:v>
                </c:pt>
                <c:pt idx="63">
                  <c:v>28.813684834123197</c:v>
                </c:pt>
                <c:pt idx="64">
                  <c:v>29.455160320641273</c:v>
                </c:pt>
                <c:pt idx="65">
                  <c:v>32.281322474023455</c:v>
                </c:pt>
                <c:pt idx="66">
                  <c:v>31.624464032682493</c:v>
                </c:pt>
                <c:pt idx="67">
                  <c:v>36.48818125516101</c:v>
                </c:pt>
                <c:pt idx="68">
                  <c:v>37.425654242664493</c:v>
                </c:pt>
                <c:pt idx="69">
                  <c:v>38.657950394154938</c:v>
                </c:pt>
                <c:pt idx="70">
                  <c:v>41.781035558328107</c:v>
                </c:pt>
                <c:pt idx="71">
                  <c:v>45.565314063368525</c:v>
                </c:pt>
                <c:pt idx="72">
                  <c:v>37.635048231511242</c:v>
                </c:pt>
                <c:pt idx="73">
                  <c:v>39.455036994877645</c:v>
                </c:pt>
              </c:numCache>
            </c:numRef>
          </c:val>
          <c:smooth val="0"/>
        </c:ser>
        <c:ser>
          <c:idx val="20"/>
          <c:order val="17"/>
          <c:tx>
            <c:strRef>
              <c:f>'Wheat (Adjusted)'!$AD$6</c:f>
              <c:strCache>
                <c:ptCount val="1"/>
                <c:pt idx="0">
                  <c:v>Khorasan, Imports, in d/bushel</c:v>
                </c:pt>
              </c:strCache>
            </c:strRef>
          </c:tx>
          <c:spPr>
            <a:ln w="15875" cap="rnd">
              <a:solidFill>
                <a:schemeClr val="accent3">
                  <a:lumMod val="80000"/>
                </a:schemeClr>
              </a:solidFill>
              <a:round/>
            </a:ln>
            <a:effectLst/>
          </c:spPr>
          <c:marker>
            <c:symbol val="circle"/>
            <c:size val="3"/>
            <c:spPr>
              <a:solidFill>
                <a:schemeClr val="accent3">
                  <a:lumMod val="80000"/>
                </a:schemeClr>
              </a:solidFill>
              <a:ln w="9525">
                <a:solidFill>
                  <a:schemeClr val="accent3">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(Adjusted)'!$AP$7:$AP$107</c:f>
              <c:numCache>
                <c:formatCode>0.0000</c:formatCode>
                <c:ptCount val="101"/>
                <c:pt idx="56">
                  <c:v>34.745559845559846</c:v>
                </c:pt>
                <c:pt idx="57">
                  <c:v>44.597642755537493</c:v>
                </c:pt>
                <c:pt idx="58">
                  <c:v>41.653442959917783</c:v>
                </c:pt>
                <c:pt idx="61">
                  <c:v>47.141560406310781</c:v>
                </c:pt>
                <c:pt idx="62">
                  <c:v>42.896981459727257</c:v>
                </c:pt>
                <c:pt idx="63">
                  <c:v>34.285714285714285</c:v>
                </c:pt>
                <c:pt idx="64">
                  <c:v>46.886884446611404</c:v>
                </c:pt>
                <c:pt idx="65">
                  <c:v>38.465873291186739</c:v>
                </c:pt>
                <c:pt idx="66">
                  <c:v>40.734513230623321</c:v>
                </c:pt>
                <c:pt idx="67">
                  <c:v>51.428571428571431</c:v>
                </c:pt>
                <c:pt idx="68">
                  <c:v>67.263423524463775</c:v>
                </c:pt>
                <c:pt idx="69">
                  <c:v>81.246992681135566</c:v>
                </c:pt>
                <c:pt idx="70">
                  <c:v>48.920507751534707</c:v>
                </c:pt>
                <c:pt idx="71">
                  <c:v>57.14236076640524</c:v>
                </c:pt>
                <c:pt idx="72">
                  <c:v>56.819805194805191</c:v>
                </c:pt>
                <c:pt idx="73">
                  <c:v>59.934513703613874</c:v>
                </c:pt>
              </c:numCache>
            </c:numRef>
          </c:val>
          <c:smooth val="0"/>
        </c:ser>
        <c:ser>
          <c:idx val="21"/>
          <c:order val="18"/>
          <c:tx>
            <c:strRef>
              <c:f>'Wheat (Adjusted)'!$AQ$6</c:f>
              <c:strCache>
                <c:ptCount val="1"/>
                <c:pt idx="0">
                  <c:v>Bahrain, Exports, in d/bushel</c:v>
                </c:pt>
              </c:strCache>
            </c:strRef>
          </c:tx>
          <c:spPr>
            <a:ln w="15875" cap="rnd">
              <a:solidFill>
                <a:schemeClr val="accent4">
                  <a:lumMod val="80000"/>
                </a:schemeClr>
              </a:solidFill>
              <a:round/>
            </a:ln>
            <a:effectLst/>
          </c:spPr>
          <c:marker>
            <c:symbol val="circle"/>
            <c:size val="3"/>
            <c:spPr>
              <a:solidFill>
                <a:schemeClr val="accent4">
                  <a:lumMod val="80000"/>
                </a:schemeClr>
              </a:solidFill>
              <a:ln w="9525">
                <a:solidFill>
                  <a:schemeClr val="accent4">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(Adjusted)'!$AQ$7:$AQ$107</c:f>
              <c:numCache>
                <c:formatCode>0.0000</c:formatCode>
                <c:ptCount val="101"/>
                <c:pt idx="56">
                  <c:v>37.811688311688307</c:v>
                </c:pt>
                <c:pt idx="57">
                  <c:v>52.246153846153845</c:v>
                </c:pt>
                <c:pt idx="58">
                  <c:v>44.193277310924373</c:v>
                </c:pt>
                <c:pt idx="64">
                  <c:v>52.922554767047217</c:v>
                </c:pt>
                <c:pt idx="65">
                  <c:v>40.712727272727271</c:v>
                </c:pt>
                <c:pt idx="66">
                  <c:v>42.857142857142854</c:v>
                </c:pt>
                <c:pt idx="67">
                  <c:v>51.428571428571431</c:v>
                </c:pt>
                <c:pt idx="68">
                  <c:v>64.846416382252556</c:v>
                </c:pt>
                <c:pt idx="69">
                  <c:v>66.623376623376615</c:v>
                </c:pt>
                <c:pt idx="70">
                  <c:v>67.881355932203377</c:v>
                </c:pt>
                <c:pt idx="71">
                  <c:v>38.543838136112811</c:v>
                </c:pt>
                <c:pt idx="72">
                  <c:v>42.264437689969611</c:v>
                </c:pt>
                <c:pt idx="73">
                  <c:v>39.489795918367356</c:v>
                </c:pt>
              </c:numCache>
            </c:numRef>
          </c:val>
          <c:smooth val="0"/>
        </c:ser>
        <c:ser>
          <c:idx val="22"/>
          <c:order val="19"/>
          <c:tx>
            <c:strRef>
              <c:f>'Wheat (Adjusted)'!$AR$6</c:f>
              <c:strCache>
                <c:ptCount val="1"/>
                <c:pt idx="0">
                  <c:v>Muscat, Imports, in d/bushel</c:v>
                </c:pt>
              </c:strCache>
            </c:strRef>
          </c:tx>
          <c:spPr>
            <a:ln w="15875" cap="rnd">
              <a:solidFill>
                <a:schemeClr val="accent5">
                  <a:lumMod val="80000"/>
                </a:schemeClr>
              </a:solidFill>
              <a:round/>
            </a:ln>
            <a:effectLst/>
          </c:spPr>
          <c:marker>
            <c:symbol val="circle"/>
            <c:size val="3"/>
            <c:spPr>
              <a:solidFill>
                <a:schemeClr val="accent5">
                  <a:lumMod val="80000"/>
                </a:schemeClr>
              </a:solidFill>
              <a:ln w="9525">
                <a:solidFill>
                  <a:schemeClr val="accent5">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(Adjusted)'!$AR$7:$AR$107</c:f>
              <c:numCache>
                <c:formatCode>0.0000</c:formatCode>
                <c:ptCount val="101"/>
                <c:pt idx="34">
                  <c:v>42.341164703592888</c:v>
                </c:pt>
                <c:pt idx="35">
                  <c:v>33.939567286461134</c:v>
                </c:pt>
                <c:pt idx="36">
                  <c:v>27.980458891109294</c:v>
                </c:pt>
                <c:pt idx="37">
                  <c:v>51.840349219552238</c:v>
                </c:pt>
                <c:pt idx="38">
                  <c:v>49.712353128441762</c:v>
                </c:pt>
                <c:pt idx="39">
                  <c:v>48.471022075294023</c:v>
                </c:pt>
                <c:pt idx="40">
                  <c:v>34.154748671795609</c:v>
                </c:pt>
                <c:pt idx="41">
                  <c:v>39.147763339002985</c:v>
                </c:pt>
                <c:pt idx="42">
                  <c:v>32.53370442707314</c:v>
                </c:pt>
                <c:pt idx="43">
                  <c:v>35.26577398797312</c:v>
                </c:pt>
                <c:pt idx="44">
                  <c:v>33.862437798509568</c:v>
                </c:pt>
                <c:pt idx="45">
                  <c:v>29.946156591897381</c:v>
                </c:pt>
                <c:pt idx="46">
                  <c:v>36.299933321104284</c:v>
                </c:pt>
                <c:pt idx="47">
                  <c:v>34.377714629781678</c:v>
                </c:pt>
                <c:pt idx="48">
                  <c:v>30.488832884331252</c:v>
                </c:pt>
                <c:pt idx="49">
                  <c:v>31.919940390593311</c:v>
                </c:pt>
                <c:pt idx="50">
                  <c:v>41.007557182562607</c:v>
                </c:pt>
                <c:pt idx="51">
                  <c:v>35.460882574764554</c:v>
                </c:pt>
                <c:pt idx="52">
                  <c:v>37.271215008806529</c:v>
                </c:pt>
                <c:pt idx="53">
                  <c:v>30.291071585854237</c:v>
                </c:pt>
                <c:pt idx="54">
                  <c:v>25.207731474009552</c:v>
                </c:pt>
                <c:pt idx="55">
                  <c:v>25.969952296117928</c:v>
                </c:pt>
                <c:pt idx="56">
                  <c:v>26.841061807098811</c:v>
                </c:pt>
                <c:pt idx="57">
                  <c:v>41.789480199449265</c:v>
                </c:pt>
                <c:pt idx="58">
                  <c:v>38.457367629744979</c:v>
                </c:pt>
                <c:pt idx="59">
                  <c:v>52.092658831696063</c:v>
                </c:pt>
                <c:pt idx="60">
                  <c:v>27.44208647075391</c:v>
                </c:pt>
                <c:pt idx="61">
                  <c:v>30.430437807147555</c:v>
                </c:pt>
                <c:pt idx="62">
                  <c:v>17.923551406851342</c:v>
                </c:pt>
                <c:pt idx="63">
                  <c:v>22.50199998193127</c:v>
                </c:pt>
                <c:pt idx="64">
                  <c:v>29.844630768058714</c:v>
                </c:pt>
                <c:pt idx="65">
                  <c:v>35.454545454545482</c:v>
                </c:pt>
                <c:pt idx="66">
                  <c:v>32.914285714285711</c:v>
                </c:pt>
                <c:pt idx="67">
                  <c:v>33.75</c:v>
                </c:pt>
                <c:pt idx="68">
                  <c:v>38.626457614534665</c:v>
                </c:pt>
                <c:pt idx="69">
                  <c:v>39.730937773882495</c:v>
                </c:pt>
                <c:pt idx="70">
                  <c:v>48.400180261378964</c:v>
                </c:pt>
                <c:pt idx="71">
                  <c:v>32.10445468509981</c:v>
                </c:pt>
              </c:numCache>
            </c:numRef>
          </c:val>
          <c:smooth val="0"/>
        </c:ser>
        <c:ser>
          <c:idx val="23"/>
          <c:order val="20"/>
          <c:tx>
            <c:strRef>
              <c:f>'Wheat (Adjusted)'!$AS$6</c:f>
              <c:strCache>
                <c:ptCount val="1"/>
                <c:pt idx="0">
                  <c:v>Muscat, Exports, in d/bushel</c:v>
                </c:pt>
              </c:strCache>
            </c:strRef>
          </c:tx>
          <c:spPr>
            <a:ln w="15875" cap="rnd">
              <a:solidFill>
                <a:schemeClr val="accent6">
                  <a:lumMod val="80000"/>
                </a:schemeClr>
              </a:solidFill>
              <a:round/>
            </a:ln>
            <a:effectLst/>
          </c:spPr>
          <c:marker>
            <c:symbol val="circle"/>
            <c:size val="3"/>
            <c:spPr>
              <a:solidFill>
                <a:schemeClr val="accent6">
                  <a:lumMod val="80000"/>
                </a:schemeClr>
              </a:solidFill>
              <a:ln w="9525">
                <a:solidFill>
                  <a:schemeClr val="accent6">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(Adjusted)'!$AS$7:$AS$107</c:f>
              <c:numCache>
                <c:formatCode>0.0000</c:formatCode>
                <c:ptCount val="101"/>
                <c:pt idx="34">
                  <c:v>50.262882981378034</c:v>
                </c:pt>
                <c:pt idx="35">
                  <c:v>37.710630318290058</c:v>
                </c:pt>
                <c:pt idx="36">
                  <c:v>30.778504780220281</c:v>
                </c:pt>
                <c:pt idx="37">
                  <c:v>50.880342752523767</c:v>
                </c:pt>
                <c:pt idx="38">
                  <c:v>52.276879281893393</c:v>
                </c:pt>
                <c:pt idx="39">
                  <c:v>56.068662440270856</c:v>
                </c:pt>
                <c:pt idx="40">
                  <c:v>45.515471948751724</c:v>
                </c:pt>
                <c:pt idx="41">
                  <c:v>38.593262441849909</c:v>
                </c:pt>
                <c:pt idx="42">
                  <c:v>38.54659586090451</c:v>
                </c:pt>
                <c:pt idx="43">
                  <c:v>37.753263984832707</c:v>
                </c:pt>
                <c:pt idx="44">
                  <c:v>37.799930565778105</c:v>
                </c:pt>
                <c:pt idx="45">
                  <c:v>33.574012402388654</c:v>
                </c:pt>
                <c:pt idx="46">
                  <c:v>33.639654519794057</c:v>
                </c:pt>
                <c:pt idx="47">
                  <c:v>33.366605375964596</c:v>
                </c:pt>
                <c:pt idx="48">
                  <c:v>30.488832884331252</c:v>
                </c:pt>
                <c:pt idx="49">
                  <c:v>30.102537297616582</c:v>
                </c:pt>
                <c:pt idx="50">
                  <c:v>30.559943864819569</c:v>
                </c:pt>
                <c:pt idx="51">
                  <c:v>33.646604861636995</c:v>
                </c:pt>
                <c:pt idx="52">
                  <c:v>36.275488921561497</c:v>
                </c:pt>
                <c:pt idx="53">
                  <c:v>26.805284095040609</c:v>
                </c:pt>
                <c:pt idx="54">
                  <c:v>20.00613609048381</c:v>
                </c:pt>
                <c:pt idx="70">
                  <c:v>48.979591836734691</c:v>
                </c:pt>
                <c:pt idx="71">
                  <c:v>48.111483399329828</c:v>
                </c:pt>
              </c:numCache>
            </c:numRef>
          </c:val>
          <c:smooth val="0"/>
        </c:ser>
        <c:ser>
          <c:idx val="24"/>
          <c:order val="21"/>
          <c:tx>
            <c:strRef>
              <c:f>'Wheat (Adjusted)'!$AT$6</c:f>
              <c:strCache>
                <c:ptCount val="1"/>
                <c:pt idx="0">
                  <c:v>Mohammerah, Imports, in d/bushel</c:v>
                </c:pt>
              </c:strCache>
            </c:strRef>
          </c:tx>
          <c:spPr>
            <a:ln w="15875" cap="rnd">
              <a:solidFill>
                <a:schemeClr val="accent1">
                  <a:lumMod val="60000"/>
                  <a:lumOff val="40000"/>
                </a:schemeClr>
              </a:solidFill>
              <a:round/>
            </a:ln>
            <a:effectLst/>
          </c:spPr>
          <c:marker>
            <c:symbol val="circle"/>
            <c:size val="3"/>
            <c:spPr>
              <a:solidFill>
                <a:schemeClr val="accent1">
                  <a:lumMod val="60000"/>
                  <a:lumOff val="40000"/>
                </a:schemeClr>
              </a:solidFill>
              <a:ln w="9525">
                <a:solidFill>
                  <a:schemeClr val="accent1">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(Adjusted)'!$AT$7:$AT$107</c:f>
              <c:numCache>
                <c:formatCode>0.0000</c:formatCode>
                <c:ptCount val="101"/>
                <c:pt idx="57">
                  <c:v>43.43643037290574</c:v>
                </c:pt>
                <c:pt idx="61">
                  <c:v>52.13463007580652</c:v>
                </c:pt>
                <c:pt idx="62">
                  <c:v>32.803282893049456</c:v>
                </c:pt>
              </c:numCache>
            </c:numRef>
          </c:val>
          <c:smooth val="0"/>
        </c:ser>
        <c:ser>
          <c:idx val="25"/>
          <c:order val="22"/>
          <c:tx>
            <c:strRef>
              <c:f>'Wheat (Adjusted)'!$AU$6</c:f>
              <c:strCache>
                <c:ptCount val="1"/>
                <c:pt idx="0">
                  <c:v>Mohammerah, Exports, in d/bushel</c:v>
                </c:pt>
              </c:strCache>
            </c:strRef>
          </c:tx>
          <c:spPr>
            <a:ln w="15875" cap="rnd">
              <a:solidFill>
                <a:schemeClr val="accent2">
                  <a:lumMod val="60000"/>
                  <a:lumOff val="40000"/>
                </a:schemeClr>
              </a:solidFill>
              <a:round/>
            </a:ln>
            <a:effectLst/>
          </c:spPr>
          <c:marker>
            <c:symbol val="circle"/>
            <c:size val="3"/>
            <c:spPr>
              <a:solidFill>
                <a:schemeClr val="accent2">
                  <a:lumMod val="60000"/>
                  <a:lumOff val="40000"/>
                </a:schemeClr>
              </a:solidFill>
              <a:ln w="9525">
                <a:solidFill>
                  <a:schemeClr val="accent2">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(Adjusted)'!$AU$7:$AU$107</c:f>
              <c:numCache>
                <c:formatCode>0.0000</c:formatCode>
                <c:ptCount val="101"/>
                <c:pt idx="50">
                  <c:v>26.334405144694539</c:v>
                </c:pt>
                <c:pt idx="51">
                  <c:v>28.95226533789441</c:v>
                </c:pt>
                <c:pt idx="52">
                  <c:v>32.593392343814145</c:v>
                </c:pt>
                <c:pt idx="53">
                  <c:v>28.860405499883441</c:v>
                </c:pt>
                <c:pt idx="54">
                  <c:v>12.747438231266763</c:v>
                </c:pt>
                <c:pt idx="55">
                  <c:v>15.592681866502412</c:v>
                </c:pt>
                <c:pt idx="56">
                  <c:v>40.88681155709331</c:v>
                </c:pt>
                <c:pt idx="57">
                  <c:v>43.27192285092115</c:v>
                </c:pt>
                <c:pt idx="58">
                  <c:v>32.998160637645555</c:v>
                </c:pt>
                <c:pt idx="59">
                  <c:v>32.354124748490953</c:v>
                </c:pt>
                <c:pt idx="60">
                  <c:v>58.950155404627573</c:v>
                </c:pt>
              </c:numCache>
            </c:numRef>
          </c:val>
          <c:smooth val="0"/>
        </c:ser>
        <c:ser>
          <c:idx val="26"/>
          <c:order val="23"/>
          <c:tx>
            <c:strRef>
              <c:f>'Wheat (Adjusted)'!$AV$6</c:f>
              <c:strCache>
                <c:ptCount val="1"/>
                <c:pt idx="0">
                  <c:v>Lingah, Imports, in d/bushel</c:v>
                </c:pt>
              </c:strCache>
            </c:strRef>
          </c:tx>
          <c:spPr>
            <a:ln w="15875" cap="rnd">
              <a:solidFill>
                <a:schemeClr val="accent3">
                  <a:lumMod val="60000"/>
                  <a:lumOff val="40000"/>
                </a:schemeClr>
              </a:solidFill>
              <a:round/>
            </a:ln>
            <a:effectLst/>
          </c:spPr>
          <c:marker>
            <c:symbol val="circle"/>
            <c:size val="3"/>
            <c:spPr>
              <a:solidFill>
                <a:schemeClr val="accent3">
                  <a:lumMod val="60000"/>
                  <a:lumOff val="40000"/>
                </a:schemeClr>
              </a:solidFill>
              <a:ln w="9525">
                <a:solidFill>
                  <a:schemeClr val="accent3">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(Adjusted)'!$AV$7:$AV$107</c:f>
              <c:numCache>
                <c:formatCode>0.0000</c:formatCode>
                <c:ptCount val="101"/>
                <c:pt idx="56">
                  <c:v>39.17374517374521</c:v>
                </c:pt>
                <c:pt idx="57">
                  <c:v>56.251567944250837</c:v>
                </c:pt>
                <c:pt idx="58">
                  <c:v>40.326578073089735</c:v>
                </c:pt>
                <c:pt idx="59">
                  <c:v>42.857142857142804</c:v>
                </c:pt>
                <c:pt idx="67">
                  <c:v>33.819875776397566</c:v>
                </c:pt>
                <c:pt idx="68">
                  <c:v>48.936940197231465</c:v>
                </c:pt>
                <c:pt idx="69">
                  <c:v>66.704220993513459</c:v>
                </c:pt>
                <c:pt idx="70">
                  <c:v>65.819224319792255</c:v>
                </c:pt>
                <c:pt idx="71">
                  <c:v>41.157960981749476</c:v>
                </c:pt>
                <c:pt idx="72">
                  <c:v>56.741440377804032</c:v>
                </c:pt>
              </c:numCache>
            </c:numRef>
          </c:val>
          <c:smooth val="0"/>
        </c:ser>
        <c:ser>
          <c:idx val="27"/>
          <c:order val="24"/>
          <c:tx>
            <c:strRef>
              <c:f>'Wheat (Adjusted)'!$AW$6</c:f>
              <c:strCache>
                <c:ptCount val="1"/>
                <c:pt idx="0">
                  <c:v>Lingah, Exports, in d/bushel</c:v>
                </c:pt>
              </c:strCache>
            </c:strRef>
          </c:tx>
          <c:spPr>
            <a:ln w="15875" cap="rnd">
              <a:solidFill>
                <a:schemeClr val="accent4">
                  <a:lumMod val="60000"/>
                  <a:lumOff val="40000"/>
                </a:schemeClr>
              </a:solidFill>
              <a:round/>
            </a:ln>
            <a:effectLst/>
          </c:spPr>
          <c:marker>
            <c:symbol val="circle"/>
            <c:size val="3"/>
            <c:spPr>
              <a:solidFill>
                <a:schemeClr val="accent4">
                  <a:lumMod val="60000"/>
                  <a:lumOff val="40000"/>
                </a:schemeClr>
              </a:solidFill>
              <a:ln w="9525">
                <a:solidFill>
                  <a:schemeClr val="accent4">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(Adjusted)'!$AW$7:$AW$107</c:f>
              <c:numCache>
                <c:formatCode>0.0000</c:formatCode>
                <c:ptCount val="101"/>
                <c:pt idx="56">
                  <c:v>37.819047619047595</c:v>
                </c:pt>
                <c:pt idx="57">
                  <c:v>56.253061224489848</c:v>
                </c:pt>
                <c:pt idx="58">
                  <c:v>40.174904942965789</c:v>
                </c:pt>
                <c:pt idx="59">
                  <c:v>42.857142857142804</c:v>
                </c:pt>
                <c:pt idx="67">
                  <c:v>39.692731024994266</c:v>
                </c:pt>
                <c:pt idx="68">
                  <c:v>48.404555192242668</c:v>
                </c:pt>
                <c:pt idx="70">
                  <c:v>33.735521235521176</c:v>
                </c:pt>
                <c:pt idx="71">
                  <c:v>43.890480291021554</c:v>
                </c:pt>
                <c:pt idx="72">
                  <c:v>43.727717436365182</c:v>
                </c:pt>
              </c:numCache>
            </c:numRef>
          </c:val>
          <c:smooth val="0"/>
        </c:ser>
        <c:dLbls>
          <c:showLegendKey val="0"/>
          <c:showVal val="0"/>
          <c:showCatName val="0"/>
          <c:showSerName val="0"/>
          <c:showPercent val="0"/>
          <c:showBubbleSize val="0"/>
        </c:dLbls>
        <c:marker val="1"/>
        <c:smooth val="0"/>
        <c:axId val="721413376"/>
        <c:axId val="721412816"/>
      </c:lineChart>
      <c:catAx>
        <c:axId val="721413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12816"/>
        <c:crosses val="autoZero"/>
        <c:auto val="1"/>
        <c:lblAlgn val="ctr"/>
        <c:lblOffset val="100"/>
        <c:noMultiLvlLbl val="0"/>
      </c:catAx>
      <c:valAx>
        <c:axId val="721412816"/>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13376"/>
        <c:crosses val="autoZero"/>
        <c:crossBetween val="between"/>
      </c:valAx>
      <c:spPr>
        <a:noFill/>
        <a:ln>
          <a:noFill/>
        </a:ln>
        <a:effectLst/>
      </c:spPr>
    </c:plotArea>
    <c:legend>
      <c:legendPos val="r"/>
      <c:layout>
        <c:manualLayout>
          <c:xMode val="edge"/>
          <c:yMode val="edge"/>
          <c:x val="0.76886172589912749"/>
          <c:y val="9.5329778597495127E-2"/>
          <c:w val="0.22438151734411577"/>
          <c:h val="0.83709299851032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587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tx1"/>
                </a:solidFill>
                <a:effectLst/>
                <a:latin typeface="+mn-lt"/>
                <a:ea typeface="+mn-ea"/>
                <a:cs typeface="+mn-cs"/>
              </a:defRPr>
            </a:pPr>
            <a:r>
              <a:rPr lang="en-US" sz="1400" b="1" i="0" u="none" strike="noStrike" kern="1200" spc="0" baseline="0">
                <a:solidFill>
                  <a:schemeClr val="tx1"/>
                </a:solidFill>
                <a:effectLst/>
                <a:latin typeface="+mn-lt"/>
                <a:ea typeface="+mn-ea"/>
                <a:cs typeface="+mn-cs"/>
              </a:rPr>
              <a:t>Wheat, UK, Black Sea, Caspian Sea, Persia, Persian Gulf, in d/bushel </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tx1"/>
              </a:solidFill>
              <a:effectLst/>
              <a:latin typeface="+mn-lt"/>
              <a:ea typeface="+mn-ea"/>
              <a:cs typeface="+mn-cs"/>
            </a:defRPr>
          </a:pPr>
          <a:endParaRPr lang="en-US"/>
        </a:p>
      </c:txPr>
    </c:title>
    <c:autoTitleDeleted val="0"/>
    <c:plotArea>
      <c:layout/>
      <c:lineChart>
        <c:grouping val="standard"/>
        <c:varyColors val="0"/>
        <c:ser>
          <c:idx val="2"/>
          <c:order val="0"/>
          <c:tx>
            <c:strRef>
              <c:f>'Wheat (Adjusted)'!$C$6</c:f>
              <c:strCache>
                <c:ptCount val="1"/>
                <c:pt idx="0">
                  <c:v>UK, Imports, in d/bushel</c:v>
                </c:pt>
              </c:strCache>
            </c:strRef>
          </c:tx>
          <c:spPr>
            <a:ln w="15875" cap="rnd">
              <a:solidFill>
                <a:schemeClr val="accent3"/>
              </a:solidFill>
              <a:round/>
            </a:ln>
            <a:effectLst/>
          </c:spPr>
          <c:marker>
            <c:symbol val="circle"/>
            <c:size val="3"/>
            <c:spPr>
              <a:solidFill>
                <a:schemeClr val="accent3"/>
              </a:solidFill>
              <a:ln w="9525">
                <a:solidFill>
                  <a:schemeClr val="accent3"/>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(Adjusted)'!$C$7:$C$107</c:f>
              <c:numCache>
                <c:formatCode>_(* #,##0.0000_);_(* \(#,##0.0000\);_(* "-"??_);_(@_)</c:formatCode>
                <c:ptCount val="101"/>
                <c:pt idx="14">
                  <c:v>101.11748352598057</c:v>
                </c:pt>
                <c:pt idx="15">
                  <c:v>107.65680361962106</c:v>
                </c:pt>
                <c:pt idx="16">
                  <c:v>92.637794634095499</c:v>
                </c:pt>
                <c:pt idx="17">
                  <c:v>82.531658671533947</c:v>
                </c:pt>
                <c:pt idx="18">
                  <c:v>63.306962208059012</c:v>
                </c:pt>
                <c:pt idx="19">
                  <c:v>64.61844596378468</c:v>
                </c:pt>
                <c:pt idx="20">
                  <c:v>83.517873520683509</c:v>
                </c:pt>
                <c:pt idx="21">
                  <c:v>81.770336873240723</c:v>
                </c:pt>
                <c:pt idx="22">
                  <c:v>72.705118894814177</c:v>
                </c:pt>
                <c:pt idx="23">
                  <c:v>63.404024118624264</c:v>
                </c:pt>
                <c:pt idx="24">
                  <c:v>59.165945413031949</c:v>
                </c:pt>
                <c:pt idx="25">
                  <c:v>59.978571428571428</c:v>
                </c:pt>
                <c:pt idx="26">
                  <c:v>72.064285714285731</c:v>
                </c:pt>
                <c:pt idx="27">
                  <c:v>92.7</c:v>
                </c:pt>
                <c:pt idx="28">
                  <c:v>86.914285714285711</c:v>
                </c:pt>
                <c:pt idx="29">
                  <c:v>66.535714285714278</c:v>
                </c:pt>
                <c:pt idx="30">
                  <c:v>67.692857142857136</c:v>
                </c:pt>
                <c:pt idx="31">
                  <c:v>76.114285714285728</c:v>
                </c:pt>
                <c:pt idx="32">
                  <c:v>79.842857142857142</c:v>
                </c:pt>
                <c:pt idx="33">
                  <c:v>83.635714285714272</c:v>
                </c:pt>
                <c:pt idx="34">
                  <c:v>78.107142857142861</c:v>
                </c:pt>
                <c:pt idx="35">
                  <c:v>68.207142857142856</c:v>
                </c:pt>
                <c:pt idx="36">
                  <c:v>67.050000000000011</c:v>
                </c:pt>
                <c:pt idx="37">
                  <c:v>80.292857142857144</c:v>
                </c:pt>
                <c:pt idx="38">
                  <c:v>70.650000000000006</c:v>
                </c:pt>
                <c:pt idx="39">
                  <c:v>67.885714285714286</c:v>
                </c:pt>
                <c:pt idx="40">
                  <c:v>71.228571428571428</c:v>
                </c:pt>
                <c:pt idx="41">
                  <c:v>70.971428571428561</c:v>
                </c:pt>
                <c:pt idx="42">
                  <c:v>68.592857142857142</c:v>
                </c:pt>
                <c:pt idx="43">
                  <c:v>63.064285714285717</c:v>
                </c:pt>
                <c:pt idx="44">
                  <c:v>54.064285714285717</c:v>
                </c:pt>
                <c:pt idx="45">
                  <c:v>50.335714285714289</c:v>
                </c:pt>
                <c:pt idx="46">
                  <c:v>48.535714285714278</c:v>
                </c:pt>
                <c:pt idx="47">
                  <c:v>49.178571428571438</c:v>
                </c:pt>
                <c:pt idx="48">
                  <c:v>49.371428571428581</c:v>
                </c:pt>
                <c:pt idx="49">
                  <c:v>49.435714285714283</c:v>
                </c:pt>
                <c:pt idx="50">
                  <c:v>50.142857142857146</c:v>
                </c:pt>
                <c:pt idx="51">
                  <c:v>57.085714285714296</c:v>
                </c:pt>
                <c:pt idx="52">
                  <c:v>49.242857142857147</c:v>
                </c:pt>
                <c:pt idx="53">
                  <c:v>41.400000000000006</c:v>
                </c:pt>
                <c:pt idx="54">
                  <c:v>34.392857142857139</c:v>
                </c:pt>
                <c:pt idx="55">
                  <c:v>35.421428571428571</c:v>
                </c:pt>
                <c:pt idx="56">
                  <c:v>39.792857142857144</c:v>
                </c:pt>
                <c:pt idx="57">
                  <c:v>47.892857142857139</c:v>
                </c:pt>
                <c:pt idx="58">
                  <c:v>51.557142857142864</c:v>
                </c:pt>
                <c:pt idx="59">
                  <c:v>43.007142857142853</c:v>
                </c:pt>
                <c:pt idx="60">
                  <c:v>43.714285714285715</c:v>
                </c:pt>
                <c:pt idx="61">
                  <c:v>42.557142857142864</c:v>
                </c:pt>
                <c:pt idx="62">
                  <c:v>43.007142857142853</c:v>
                </c:pt>
                <c:pt idx="63">
                  <c:v>43.65</c:v>
                </c:pt>
                <c:pt idx="64">
                  <c:v>45.06428571428571</c:v>
                </c:pt>
                <c:pt idx="65">
                  <c:v>46.478571428571428</c:v>
                </c:pt>
                <c:pt idx="66">
                  <c:v>45.192857142857136</c:v>
                </c:pt>
                <c:pt idx="67">
                  <c:v>49.435714285714283</c:v>
                </c:pt>
                <c:pt idx="68">
                  <c:v>54</c:v>
                </c:pt>
                <c:pt idx="69">
                  <c:v>59.464285714285708</c:v>
                </c:pt>
                <c:pt idx="70">
                  <c:v>53.935714285714283</c:v>
                </c:pt>
                <c:pt idx="71">
                  <c:v>51.042857142857144</c:v>
                </c:pt>
                <c:pt idx="72">
                  <c:v>54.51428571428572</c:v>
                </c:pt>
                <c:pt idx="73">
                  <c:v>53.228571428571428</c:v>
                </c:pt>
                <c:pt idx="74">
                  <c:v>55.349999999999994</c:v>
                </c:pt>
                <c:pt idx="75">
                  <c:v>83.121428571428581</c:v>
                </c:pt>
                <c:pt idx="76">
                  <c:v>92.507142857142853</c:v>
                </c:pt>
                <c:pt idx="77">
                  <c:v>118.80000000000001</c:v>
                </c:pt>
                <c:pt idx="78">
                  <c:v>117.83571428571427</c:v>
                </c:pt>
                <c:pt idx="79">
                  <c:v>123.10714285714283</c:v>
                </c:pt>
                <c:pt idx="80">
                  <c:v>172.60714285714286</c:v>
                </c:pt>
              </c:numCache>
            </c:numRef>
          </c:val>
          <c:smooth val="0"/>
        </c:ser>
        <c:ser>
          <c:idx val="3"/>
          <c:order val="1"/>
          <c:tx>
            <c:strRef>
              <c:f>'Wheat (Adjusted)'!$D$6</c:f>
              <c:strCache>
                <c:ptCount val="1"/>
                <c:pt idx="0">
                  <c:v>UK (London), , in d/bushel</c:v>
                </c:pt>
              </c:strCache>
            </c:strRef>
          </c:tx>
          <c:spPr>
            <a:ln w="15875" cap="rnd">
              <a:solidFill>
                <a:schemeClr val="accent4"/>
              </a:solidFill>
              <a:round/>
            </a:ln>
            <a:effectLst/>
          </c:spPr>
          <c:marker>
            <c:symbol val="circle"/>
            <c:size val="3"/>
            <c:spPr>
              <a:solidFill>
                <a:schemeClr val="accent4"/>
              </a:solidFill>
              <a:ln w="9525">
                <a:solidFill>
                  <a:schemeClr val="accent4"/>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(Adjusted)'!$D$7:$D$107</c:f>
              <c:numCache>
                <c:formatCode>_(* #,##0.0000_);_(* \(#,##0.0000\);_(* "-"??_);_(@_)</c:formatCode>
                <c:ptCount val="101"/>
                <c:pt idx="0">
                  <c:v>99.5</c:v>
                </c:pt>
                <c:pt idx="1">
                  <c:v>96.5</c:v>
                </c:pt>
                <c:pt idx="2">
                  <c:v>85.875</c:v>
                </c:pt>
                <c:pt idx="3">
                  <c:v>75.125</c:v>
                </c:pt>
                <c:pt idx="4">
                  <c:v>76.875</c:v>
                </c:pt>
                <c:pt idx="5">
                  <c:v>76.25</c:v>
                </c:pt>
                <c:pt idx="6">
                  <c:v>82</c:v>
                </c:pt>
                <c:pt idx="7">
                  <c:v>104.625</c:v>
                </c:pt>
                <c:pt idx="8">
                  <c:v>75.75</c:v>
                </c:pt>
                <c:pt idx="9">
                  <c:v>66.375</c:v>
                </c:pt>
                <c:pt idx="10">
                  <c:v>60.375</c:v>
                </c:pt>
                <c:pt idx="11">
                  <c:v>57.75</c:v>
                </c:pt>
                <c:pt idx="12">
                  <c:v>61.125</c:v>
                </c:pt>
                <c:pt idx="13">
                  <c:v>79.875</c:v>
                </c:pt>
                <c:pt idx="14">
                  <c:v>108.625</c:v>
                </c:pt>
                <c:pt idx="15">
                  <c:v>112</c:v>
                </c:pt>
                <c:pt idx="16">
                  <c:v>103.75</c:v>
                </c:pt>
                <c:pt idx="17">
                  <c:v>84.5</c:v>
                </c:pt>
                <c:pt idx="18">
                  <c:v>66.25</c:v>
                </c:pt>
                <c:pt idx="19">
                  <c:v>65.625</c:v>
                </c:pt>
                <c:pt idx="20">
                  <c:v>79.875</c:v>
                </c:pt>
                <c:pt idx="21">
                  <c:v>83</c:v>
                </c:pt>
                <c:pt idx="22">
                  <c:v>83.125</c:v>
                </c:pt>
                <c:pt idx="23">
                  <c:v>67.125</c:v>
                </c:pt>
                <c:pt idx="24">
                  <c:v>60.25</c:v>
                </c:pt>
                <c:pt idx="25">
                  <c:v>62.75</c:v>
                </c:pt>
                <c:pt idx="26">
                  <c:v>74.875</c:v>
                </c:pt>
                <c:pt idx="27">
                  <c:v>96.625</c:v>
                </c:pt>
                <c:pt idx="28">
                  <c:v>95.625</c:v>
                </c:pt>
                <c:pt idx="29">
                  <c:v>72.25</c:v>
                </c:pt>
                <c:pt idx="30">
                  <c:v>70.375</c:v>
                </c:pt>
                <c:pt idx="31">
                  <c:v>85</c:v>
                </c:pt>
                <c:pt idx="32">
                  <c:v>85.5</c:v>
                </c:pt>
                <c:pt idx="33">
                  <c:v>88</c:v>
                </c:pt>
                <c:pt idx="34">
                  <c:v>83.625</c:v>
                </c:pt>
                <c:pt idx="35">
                  <c:v>67.75</c:v>
                </c:pt>
                <c:pt idx="36">
                  <c:v>69.25</c:v>
                </c:pt>
                <c:pt idx="37">
                  <c:v>85.125</c:v>
                </c:pt>
                <c:pt idx="38">
                  <c:v>69.625</c:v>
                </c:pt>
                <c:pt idx="39">
                  <c:v>65.75</c:v>
                </c:pt>
                <c:pt idx="40">
                  <c:v>66.5</c:v>
                </c:pt>
                <c:pt idx="41">
                  <c:v>68</c:v>
                </c:pt>
                <c:pt idx="42">
                  <c:v>67.625</c:v>
                </c:pt>
                <c:pt idx="43">
                  <c:v>62.375</c:v>
                </c:pt>
                <c:pt idx="44">
                  <c:v>53.5</c:v>
                </c:pt>
                <c:pt idx="45">
                  <c:v>49.25</c:v>
                </c:pt>
                <c:pt idx="46">
                  <c:v>46.5</c:v>
                </c:pt>
                <c:pt idx="47">
                  <c:v>48.75</c:v>
                </c:pt>
                <c:pt idx="48">
                  <c:v>47.75</c:v>
                </c:pt>
                <c:pt idx="49">
                  <c:v>44.625</c:v>
                </c:pt>
                <c:pt idx="50">
                  <c:v>47.875</c:v>
                </c:pt>
                <c:pt idx="51">
                  <c:v>55.5</c:v>
                </c:pt>
                <c:pt idx="52">
                  <c:v>45.375</c:v>
                </c:pt>
                <c:pt idx="53">
                  <c:v>39.5</c:v>
                </c:pt>
                <c:pt idx="54">
                  <c:v>34.25</c:v>
                </c:pt>
                <c:pt idx="55">
                  <c:v>34.625</c:v>
                </c:pt>
                <c:pt idx="56">
                  <c:v>39.25</c:v>
                </c:pt>
                <c:pt idx="57">
                  <c:v>45.25</c:v>
                </c:pt>
                <c:pt idx="58">
                  <c:v>51</c:v>
                </c:pt>
                <c:pt idx="59">
                  <c:v>38.5</c:v>
                </c:pt>
                <c:pt idx="60">
                  <c:v>40.375</c:v>
                </c:pt>
                <c:pt idx="61">
                  <c:v>40.125</c:v>
                </c:pt>
                <c:pt idx="62">
                  <c:v>42.125</c:v>
                </c:pt>
                <c:pt idx="63">
                  <c:v>40.125</c:v>
                </c:pt>
                <c:pt idx="64">
                  <c:v>42.5</c:v>
                </c:pt>
                <c:pt idx="65">
                  <c:v>44.5</c:v>
                </c:pt>
                <c:pt idx="66">
                  <c:v>42.375</c:v>
                </c:pt>
                <c:pt idx="67">
                  <c:v>45.875</c:v>
                </c:pt>
                <c:pt idx="68">
                  <c:v>48</c:v>
                </c:pt>
                <c:pt idx="69">
                  <c:v>55.375</c:v>
                </c:pt>
                <c:pt idx="70">
                  <c:v>47.5</c:v>
                </c:pt>
                <c:pt idx="71">
                  <c:v>47.5</c:v>
                </c:pt>
                <c:pt idx="72">
                  <c:v>52.125</c:v>
                </c:pt>
                <c:pt idx="73">
                  <c:v>47.5</c:v>
                </c:pt>
                <c:pt idx="74">
                  <c:v>52.375</c:v>
                </c:pt>
                <c:pt idx="75">
                  <c:v>79.25</c:v>
                </c:pt>
                <c:pt idx="76">
                  <c:v>87.625</c:v>
                </c:pt>
                <c:pt idx="77">
                  <c:v>113.625</c:v>
                </c:pt>
                <c:pt idx="78">
                  <c:v>109.25</c:v>
                </c:pt>
                <c:pt idx="79">
                  <c:v>109.375</c:v>
                </c:pt>
                <c:pt idx="80">
                  <c:v>121.25</c:v>
                </c:pt>
                <c:pt idx="81">
                  <c:v>107.25</c:v>
                </c:pt>
                <c:pt idx="82">
                  <c:v>71.75</c:v>
                </c:pt>
                <c:pt idx="83">
                  <c:v>63.214285714285715</c:v>
                </c:pt>
                <c:pt idx="84">
                  <c:v>73.928571428571431</c:v>
                </c:pt>
                <c:pt idx="85">
                  <c:v>78.214285714285708</c:v>
                </c:pt>
                <c:pt idx="86">
                  <c:v>79.821428571428569</c:v>
                </c:pt>
                <c:pt idx="87">
                  <c:v>73.928571428571431</c:v>
                </c:pt>
                <c:pt idx="88">
                  <c:v>64.285714285714292</c:v>
                </c:pt>
                <c:pt idx="89">
                  <c:v>63.214285714285715</c:v>
                </c:pt>
                <c:pt idx="90">
                  <c:v>51.428571428571431</c:v>
                </c:pt>
                <c:pt idx="91">
                  <c:v>36.964285714285715</c:v>
                </c:pt>
                <c:pt idx="92">
                  <c:v>38.035714285714285</c:v>
                </c:pt>
                <c:pt idx="93">
                  <c:v>34.285714285714285</c:v>
                </c:pt>
                <c:pt idx="94">
                  <c:v>31.071428571428573</c:v>
                </c:pt>
                <c:pt idx="95">
                  <c:v>33.214285714285715</c:v>
                </c:pt>
                <c:pt idx="96">
                  <c:v>46.071428571428569</c:v>
                </c:pt>
                <c:pt idx="97">
                  <c:v>60</c:v>
                </c:pt>
                <c:pt idx="98">
                  <c:v>43.392857142857146</c:v>
                </c:pt>
                <c:pt idx="99">
                  <c:v>32.142857142857146</c:v>
                </c:pt>
                <c:pt idx="100">
                  <c:v>64.285714285714292</c:v>
                </c:pt>
              </c:numCache>
            </c:numRef>
          </c:val>
          <c:smooth val="0"/>
        </c:ser>
        <c:ser>
          <c:idx val="4"/>
          <c:order val="2"/>
          <c:tx>
            <c:strRef>
              <c:f>'Wheat (Adjusted)'!$E$6</c:f>
              <c:strCache>
                <c:ptCount val="1"/>
                <c:pt idx="0">
                  <c:v>Odessa, , in d/bushel</c:v>
                </c:pt>
              </c:strCache>
            </c:strRef>
          </c:tx>
          <c:spPr>
            <a:ln w="15875" cap="rnd">
              <a:solidFill>
                <a:schemeClr val="accent5"/>
              </a:solidFill>
              <a:round/>
            </a:ln>
            <a:effectLst/>
          </c:spPr>
          <c:marker>
            <c:symbol val="circle"/>
            <c:size val="3"/>
            <c:spPr>
              <a:solidFill>
                <a:schemeClr val="accent5"/>
              </a:solidFill>
              <a:ln w="9525">
                <a:solidFill>
                  <a:schemeClr val="accent5"/>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(Adjusted)'!$E$7:$E$107</c:f>
              <c:numCache>
                <c:formatCode>0.0000</c:formatCode>
                <c:ptCount val="101"/>
                <c:pt idx="3" formatCode="_(* #,##0.0000_);_(* \(#,##0.0000\);_(* &quot;-&quot;??_);_(@_)">
                  <c:v>31.125</c:v>
                </c:pt>
                <c:pt idx="4" formatCode="_(* #,##0.0000_);_(* \(#,##0.0000\);_(* &quot;-&quot;??_);_(@_)">
                  <c:v>29</c:v>
                </c:pt>
                <c:pt idx="5" formatCode="_(* #,##0.0000_);_(* \(#,##0.0000\);_(* &quot;-&quot;??_);_(@_)">
                  <c:v>32.125</c:v>
                </c:pt>
                <c:pt idx="6" formatCode="_(* #,##0.0000_);_(* \(#,##0.0000\);_(* &quot;-&quot;??_);_(@_)">
                  <c:v>38.75</c:v>
                </c:pt>
                <c:pt idx="7" formatCode="_(* #,##0.0000_);_(* \(#,##0.0000\);_(* &quot;-&quot;??_);_(@_)">
                  <c:v>46</c:v>
                </c:pt>
                <c:pt idx="8" formatCode="_(* #,##0.0000_);_(* \(#,##0.0000\);_(* &quot;-&quot;??_);_(@_)">
                  <c:v>35.375</c:v>
                </c:pt>
                <c:pt idx="9" formatCode="_(* #,##0.0000_);_(* \(#,##0.0000\);_(* &quot;-&quot;??_);_(@_)">
                  <c:v>37.25</c:v>
                </c:pt>
                <c:pt idx="10" formatCode="_(* #,##0.0000_);_(* \(#,##0.0000\);_(* &quot;-&quot;??_);_(@_)">
                  <c:v>36.625</c:v>
                </c:pt>
                <c:pt idx="11" formatCode="_(* #,##0.0000_);_(* \(#,##0.0000\);_(* &quot;-&quot;??_);_(@_)">
                  <c:v>31.375</c:v>
                </c:pt>
                <c:pt idx="12" formatCode="_(* #,##0.0000_);_(* \(#,##0.0000\);_(* &quot;-&quot;??_);_(@_)">
                  <c:v>34.125</c:v>
                </c:pt>
                <c:pt idx="13" formatCode="_(* #,##0.0000_);_(* \(#,##0.0000\);_(* &quot;-&quot;??_);_(@_)">
                  <c:v>38</c:v>
                </c:pt>
                <c:pt idx="14" formatCode="_(* #,##0.0000_);_(* \(#,##0.0000\);_(* &quot;-&quot;??_);_(@_)">
                  <c:v>46.125</c:v>
                </c:pt>
                <c:pt idx="16" formatCode="_(* #,##0.0000_);_(* \(#,##0.0000\);_(* &quot;-&quot;??_);_(@_)">
                  <c:v>67.5</c:v>
                </c:pt>
                <c:pt idx="17" formatCode="_(* #,##0.0000_);_(* \(#,##0.0000\);_(* &quot;-&quot;??_);_(@_)">
                  <c:v>56.25</c:v>
                </c:pt>
                <c:pt idx="18" formatCode="_(* #,##0.0000_);_(* \(#,##0.0000\);_(* &quot;-&quot;??_);_(@_)">
                  <c:v>46.875</c:v>
                </c:pt>
                <c:pt idx="19" formatCode="_(* #,##0.0000_);_(* \(#,##0.0000\);_(* &quot;-&quot;??_);_(@_)">
                  <c:v>44.625</c:v>
                </c:pt>
                <c:pt idx="20" formatCode="_(* #,##0.0000_);_(* \(#,##0.0000\);_(* &quot;-&quot;??_);_(@_)">
                  <c:v>54.5</c:v>
                </c:pt>
                <c:pt idx="21" formatCode="_(* #,##0.0000_);_(* \(#,##0.0000\);_(* &quot;-&quot;??_);_(@_)">
                  <c:v>51.75</c:v>
                </c:pt>
                <c:pt idx="22" formatCode="_(* #,##0.0000_);_(* \(#,##0.0000\);_(* &quot;-&quot;??_);_(@_)">
                  <c:v>45.125</c:v>
                </c:pt>
                <c:pt idx="23" formatCode="_(* #,##0.0000_);_(* \(#,##0.0000\);_(* &quot;-&quot;??_);_(@_)">
                  <c:v>45.875</c:v>
                </c:pt>
                <c:pt idx="24" formatCode="_(* #,##0.0000_);_(* \(#,##0.0000\);_(* &quot;-&quot;??_);_(@_)">
                  <c:v>39</c:v>
                </c:pt>
                <c:pt idx="25" formatCode="_(* #,##0.0000_);_(* \(#,##0.0000\);_(* &quot;-&quot;??_);_(@_)">
                  <c:v>42.375</c:v>
                </c:pt>
                <c:pt idx="26" formatCode="_(* #,##0.0000_);_(* \(#,##0.0000\);_(* &quot;-&quot;??_);_(@_)">
                  <c:v>53.875</c:v>
                </c:pt>
                <c:pt idx="27" formatCode="_(* #,##0.0000_);_(* \(#,##0.0000\);_(* &quot;-&quot;??_);_(@_)">
                  <c:v>64.25</c:v>
                </c:pt>
                <c:pt idx="28" formatCode="_(* #,##0.0000_);_(* \(#,##0.0000\);_(* &quot;-&quot;??_);_(@_)">
                  <c:v>66.875</c:v>
                </c:pt>
                <c:pt idx="29" formatCode="_(* #,##0.0000_);_(* \(#,##0.0000\);_(* &quot;-&quot;??_);_(@_)">
                  <c:v>50.125</c:v>
                </c:pt>
                <c:pt idx="30" formatCode="_(* #,##0.0000_);_(* \(#,##0.0000\);_(* &quot;-&quot;??_);_(@_)">
                  <c:v>48.375</c:v>
                </c:pt>
                <c:pt idx="31" formatCode="_(* #,##0.0000_);_(* \(#,##0.0000\);_(* &quot;-&quot;??_);_(@_)">
                  <c:v>58.375</c:v>
                </c:pt>
                <c:pt idx="32" formatCode="_(* #,##0.0000_);_(* \(#,##0.0000\);_(* &quot;-&quot;??_);_(@_)">
                  <c:v>59.25</c:v>
                </c:pt>
                <c:pt idx="33" formatCode="_(* #,##0.0000_);_(* \(#,##0.0000\);_(* &quot;-&quot;??_);_(@_)">
                  <c:v>69.25</c:v>
                </c:pt>
                <c:pt idx="34" formatCode="_(* #,##0.0000_);_(* \(#,##0.0000\);_(* &quot;-&quot;??_);_(@_)">
                  <c:v>61</c:v>
                </c:pt>
                <c:pt idx="35" formatCode="_(* #,##0.0000_);_(* \(#,##0.0000\);_(* &quot;-&quot;??_);_(@_)">
                  <c:v>57.875</c:v>
                </c:pt>
                <c:pt idx="36" formatCode="_(* #,##0.0000_);_(* \(#,##0.0000\);_(* &quot;-&quot;??_);_(@_)">
                  <c:v>58.75</c:v>
                </c:pt>
                <c:pt idx="37" formatCode="_(* #,##0.0000_);_(* \(#,##0.0000\);_(* &quot;-&quot;??_);_(@_)">
                  <c:v>45.625</c:v>
                </c:pt>
                <c:pt idx="38" formatCode="_(* #,##0.0000_);_(* \(#,##0.0000\);_(* &quot;-&quot;??_);_(@_)">
                  <c:v>48.5</c:v>
                </c:pt>
                <c:pt idx="39" formatCode="_(* #,##0.0000_);_(* \(#,##0.0000\);_(* &quot;-&quot;??_);_(@_)">
                  <c:v>61.375</c:v>
                </c:pt>
                <c:pt idx="40" formatCode="_(* #,##0.0000_);_(* \(#,##0.0000\);_(* &quot;-&quot;??_);_(@_)">
                  <c:v>62.5</c:v>
                </c:pt>
                <c:pt idx="41" formatCode="_(* #,##0.0000_);_(* \(#,##0.0000\);_(* &quot;-&quot;??_);_(@_)">
                  <c:v>62.75</c:v>
                </c:pt>
                <c:pt idx="42" formatCode="_(* #,##0.0000_);_(* \(#,##0.0000\);_(* &quot;-&quot;??_);_(@_)">
                  <c:v>55.625</c:v>
                </c:pt>
                <c:pt idx="43" formatCode="_(* #,##0.0000_);_(* \(#,##0.0000\);_(* &quot;-&quot;??_);_(@_)">
                  <c:v>52.625</c:v>
                </c:pt>
                <c:pt idx="44" formatCode="_(* #,##0.0000_);_(* \(#,##0.0000\);_(* &quot;-&quot;??_);_(@_)">
                  <c:v>43</c:v>
                </c:pt>
                <c:pt idx="45" formatCode="_(* #,##0.0000_);_(* \(#,##0.0000\);_(* &quot;-&quot;??_);_(@_)">
                  <c:v>36.75</c:v>
                </c:pt>
                <c:pt idx="46" formatCode="_(* #,##0.0000_);_(* \(#,##0.0000\);_(* &quot;-&quot;??_);_(@_)">
                  <c:v>44.625</c:v>
                </c:pt>
                <c:pt idx="47" formatCode="_(* #,##0.0000_);_(* \(#,##0.0000\);_(* &quot;-&quot;??_);_(@_)">
                  <c:v>40.125</c:v>
                </c:pt>
                <c:pt idx="48" formatCode="_(* #,##0.0000_);_(* \(#,##0.0000\);_(* &quot;-&quot;??_);_(@_)">
                  <c:v>40</c:v>
                </c:pt>
                <c:pt idx="49" formatCode="_(* #,##0.0000_);_(* \(#,##0.0000\);_(* &quot;-&quot;??_);_(@_)">
                  <c:v>38.375</c:v>
                </c:pt>
                <c:pt idx="50" formatCode="_(* #,##0.0000_);_(* \(#,##0.0000\);_(* &quot;-&quot;??_);_(@_)">
                  <c:v>42.875</c:v>
                </c:pt>
                <c:pt idx="51" formatCode="_(* #,##0.0000_);_(* \(#,##0.0000\);_(* &quot;-&quot;??_);_(@_)">
                  <c:v>48.75</c:v>
                </c:pt>
                <c:pt idx="52" formatCode="_(* #,##0.0000_);_(* \(#,##0.0000\);_(* &quot;-&quot;??_);_(@_)">
                  <c:v>37.375</c:v>
                </c:pt>
                <c:pt idx="53" formatCode="_(* #,##0.0000_);_(* \(#,##0.0000\);_(* &quot;-&quot;??_);_(@_)">
                  <c:v>30.875</c:v>
                </c:pt>
                <c:pt idx="54" formatCode="_(* #,##0.0000_);_(* \(#,##0.0000\);_(* &quot;-&quot;??_);_(@_)">
                  <c:v>26.25</c:v>
                </c:pt>
                <c:pt idx="55" formatCode="_(* #,##0.0000_);_(* \(#,##0.0000\);_(* &quot;-&quot;??_);_(@_)">
                  <c:v>29.5</c:v>
                </c:pt>
                <c:pt idx="56" formatCode="_(* #,##0.0000_);_(* \(#,##0.0000\);_(* &quot;-&quot;??_);_(@_)">
                  <c:v>30.103499999999997</c:v>
                </c:pt>
                <c:pt idx="57" formatCode="_(* #,##0.0000_);_(* \(#,##0.0000\);_(* &quot;-&quot;??_);_(@_)">
                  <c:v>36.025500000000001</c:v>
                </c:pt>
                <c:pt idx="58" formatCode="_(* #,##0.0000_);_(* \(#,##0.0000\);_(* &quot;-&quot;??_);_(@_)">
                  <c:v>45.895499999999998</c:v>
                </c:pt>
                <c:pt idx="59" formatCode="_(* #,##0.0000_);_(* \(#,##0.0000\);_(* &quot;-&quot;??_);_(@_)">
                  <c:v>38.986499999999999</c:v>
                </c:pt>
                <c:pt idx="60" formatCode="_(* #,##0.0000_);_(* \(#,##0.0000\);_(* &quot;-&quot;??_);_(@_)">
                  <c:v>37.999499999999998</c:v>
                </c:pt>
                <c:pt idx="61" formatCode="_(* #,##0.0000_);_(* \(#,##0.0000\);_(* &quot;-&quot;??_);_(@_)">
                  <c:v>37.012499999999996</c:v>
                </c:pt>
                <c:pt idx="62" formatCode="_(* #,##0.0000_);_(* \(#,##0.0000\);_(* &quot;-&quot;??_);_(@_)">
                  <c:v>36.518999999999998</c:v>
                </c:pt>
                <c:pt idx="63" formatCode="_(* #,##0.0000_);_(* \(#,##0.0000\);_(* &quot;-&quot;??_);_(@_)">
                  <c:v>36.518999999999998</c:v>
                </c:pt>
                <c:pt idx="64" formatCode="_(* #,##0.0000_);_(* \(#,##0.0000\);_(* &quot;-&quot;??_);_(@_)">
                  <c:v>38.492999999999995</c:v>
                </c:pt>
                <c:pt idx="65" formatCode="_(* #,##0.0000_);_(* \(#,##0.0000\);_(* &quot;-&quot;??_);_(@_)">
                  <c:v>41.454000000000001</c:v>
                </c:pt>
                <c:pt idx="66" formatCode="_(* #,##0.0000_);_(* \(#,##0.0000\);_(* &quot;-&quot;??_);_(@_)">
                  <c:v>41.454000000000001</c:v>
                </c:pt>
              </c:numCache>
            </c:numRef>
          </c:val>
          <c:smooth val="0"/>
        </c:ser>
        <c:ser>
          <c:idx val="5"/>
          <c:order val="3"/>
          <c:tx>
            <c:strRef>
              <c:f>'Wheat (Adjusted)'!$AD$6</c:f>
              <c:strCache>
                <c:ptCount val="1"/>
                <c:pt idx="0">
                  <c:v>Khorasan, Imports, in d/bushel</c:v>
                </c:pt>
              </c:strCache>
            </c:strRef>
          </c:tx>
          <c:spPr>
            <a:ln w="15875" cap="rnd">
              <a:solidFill>
                <a:schemeClr val="accent6"/>
              </a:solidFill>
              <a:round/>
            </a:ln>
            <a:effectLst/>
          </c:spPr>
          <c:marker>
            <c:symbol val="circle"/>
            <c:size val="3"/>
            <c:spPr>
              <a:solidFill>
                <a:schemeClr val="accent6"/>
              </a:solidFill>
              <a:ln w="9525">
                <a:solidFill>
                  <a:schemeClr val="accent6"/>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(Adjusted)'!$AD$7:$AD$107</c:f>
              <c:numCache>
                <c:formatCode>0.0000</c:formatCode>
                <c:ptCount val="101"/>
                <c:pt idx="62">
                  <c:v>130.64224766611505</c:v>
                </c:pt>
                <c:pt idx="63">
                  <c:v>67.823154303878454</c:v>
                </c:pt>
                <c:pt idx="64">
                  <c:v>39.219942308341395</c:v>
                </c:pt>
                <c:pt idx="65">
                  <c:v>50.855782229486636</c:v>
                </c:pt>
                <c:pt idx="66">
                  <c:v>56.969658296908413</c:v>
                </c:pt>
                <c:pt idx="67">
                  <c:v>153.37278106508882</c:v>
                </c:pt>
                <c:pt idx="68">
                  <c:v>266.6666666666664</c:v>
                </c:pt>
                <c:pt idx="69">
                  <c:v>272.34042553191455</c:v>
                </c:pt>
                <c:pt idx="70">
                  <c:v>399.19977136324655</c:v>
                </c:pt>
                <c:pt idx="71">
                  <c:v>66.848505206583738</c:v>
                </c:pt>
                <c:pt idx="72">
                  <c:v>47.556476829568219</c:v>
                </c:pt>
              </c:numCache>
            </c:numRef>
          </c:val>
          <c:smooth val="0"/>
        </c:ser>
        <c:ser>
          <c:idx val="6"/>
          <c:order val="4"/>
          <c:tx>
            <c:strRef>
              <c:f>'Wheat (Adjusted)'!$AE$6</c:f>
              <c:strCache>
                <c:ptCount val="1"/>
                <c:pt idx="0">
                  <c:v>Khorasan, Exports, in d/bushel</c:v>
                </c:pt>
              </c:strCache>
            </c:strRef>
          </c:tx>
          <c:spPr>
            <a:ln w="15875" cap="rnd">
              <a:solidFill>
                <a:schemeClr val="accent1">
                  <a:lumMod val="60000"/>
                </a:schemeClr>
              </a:solidFill>
              <a:round/>
            </a:ln>
            <a:effectLst/>
          </c:spPr>
          <c:marker>
            <c:symbol val="circle"/>
            <c:size val="3"/>
            <c:spPr>
              <a:solidFill>
                <a:schemeClr val="accent1">
                  <a:lumMod val="60000"/>
                </a:schemeClr>
              </a:solidFill>
              <a:ln w="9525">
                <a:solidFill>
                  <a:schemeClr val="accent1">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(Adjusted)'!$AE$7:$AE$107</c:f>
              <c:numCache>
                <c:formatCode>0.0000</c:formatCode>
                <c:ptCount val="101"/>
                <c:pt idx="62">
                  <c:v>30.209790209790242</c:v>
                </c:pt>
                <c:pt idx="63">
                  <c:v>70.349168290124453</c:v>
                </c:pt>
                <c:pt idx="68">
                  <c:v>22.613384347862688</c:v>
                </c:pt>
                <c:pt idx="69">
                  <c:v>27.382621840807246</c:v>
                </c:pt>
                <c:pt idx="70">
                  <c:v>43.488228801705411</c:v>
                </c:pt>
                <c:pt idx="71">
                  <c:v>5.0954208966412988</c:v>
                </c:pt>
                <c:pt idx="72">
                  <c:v>48.180682739923917</c:v>
                </c:pt>
              </c:numCache>
            </c:numRef>
          </c:val>
          <c:smooth val="0"/>
        </c:ser>
        <c:ser>
          <c:idx val="8"/>
          <c:order val="5"/>
          <c:tx>
            <c:strRef>
              <c:f>'Wheat (Adjusted)'!$AG$6</c:f>
              <c:strCache>
                <c:ptCount val="1"/>
                <c:pt idx="0">
                  <c:v>Kermanshah, Imports, in d/bushel</c:v>
                </c:pt>
              </c:strCache>
            </c:strRef>
          </c:tx>
          <c:spPr>
            <a:ln w="15875" cap="rnd">
              <a:solidFill>
                <a:schemeClr val="accent3">
                  <a:lumMod val="60000"/>
                </a:schemeClr>
              </a:solidFill>
              <a:round/>
            </a:ln>
            <a:effectLst/>
          </c:spPr>
          <c:marker>
            <c:symbol val="circle"/>
            <c:size val="3"/>
            <c:spPr>
              <a:solidFill>
                <a:schemeClr val="accent3">
                  <a:lumMod val="60000"/>
                </a:schemeClr>
              </a:solidFill>
              <a:ln w="9525">
                <a:solidFill>
                  <a:schemeClr val="accent3">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(Adjusted)'!$AG$7:$AG$107</c:f>
              <c:numCache>
                <c:formatCode>0.0000</c:formatCode>
                <c:ptCount val="101"/>
                <c:pt idx="63">
                  <c:v>39.289940828402401</c:v>
                </c:pt>
                <c:pt idx="64">
                  <c:v>66.993346649614111</c:v>
                </c:pt>
              </c:numCache>
            </c:numRef>
          </c:val>
          <c:smooth val="0"/>
        </c:ser>
        <c:ser>
          <c:idx val="9"/>
          <c:order val="6"/>
          <c:tx>
            <c:strRef>
              <c:f>'Wheat (Adjusted)'!$AH$6</c:f>
              <c:strCache>
                <c:ptCount val="1"/>
                <c:pt idx="0">
                  <c:v>Kermanshah, Exports, in d/bushel</c:v>
                </c:pt>
              </c:strCache>
            </c:strRef>
          </c:tx>
          <c:spPr>
            <a:ln w="15875" cap="rnd">
              <a:solidFill>
                <a:schemeClr val="accent4">
                  <a:lumMod val="60000"/>
                </a:schemeClr>
              </a:solidFill>
              <a:round/>
            </a:ln>
            <a:effectLst/>
          </c:spPr>
          <c:marker>
            <c:symbol val="circle"/>
            <c:size val="3"/>
            <c:spPr>
              <a:solidFill>
                <a:schemeClr val="accent4">
                  <a:lumMod val="60000"/>
                </a:schemeClr>
              </a:solidFill>
              <a:ln w="9525">
                <a:solidFill>
                  <a:schemeClr val="accent4">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(Adjusted)'!$AH$7:$AH$107</c:f>
              <c:numCache>
                <c:formatCode>0.0000</c:formatCode>
                <c:ptCount val="101"/>
                <c:pt idx="68">
                  <c:v>21.790834887346712</c:v>
                </c:pt>
                <c:pt idx="69">
                  <c:v>22.71182971756037</c:v>
                </c:pt>
                <c:pt idx="70">
                  <c:v>19.293370385073427</c:v>
                </c:pt>
                <c:pt idx="71">
                  <c:v>32.977736549165051</c:v>
                </c:pt>
                <c:pt idx="72">
                  <c:v>140.66478076379011</c:v>
                </c:pt>
              </c:numCache>
            </c:numRef>
          </c:val>
          <c:smooth val="0"/>
        </c:ser>
        <c:ser>
          <c:idx val="11"/>
          <c:order val="7"/>
          <c:tx>
            <c:strRef>
              <c:f>'Wheat (Adjusted)'!$AJ$6</c:f>
              <c:strCache>
                <c:ptCount val="1"/>
                <c:pt idx="0">
                  <c:v>Bam, Exports, in d/bushel</c:v>
                </c:pt>
              </c:strCache>
            </c:strRef>
          </c:tx>
          <c:spPr>
            <a:ln w="15875" cap="rnd">
              <a:solidFill>
                <a:schemeClr val="accent6">
                  <a:lumMod val="60000"/>
                </a:schemeClr>
              </a:solidFill>
              <a:round/>
            </a:ln>
            <a:effectLst/>
          </c:spPr>
          <c:marker>
            <c:symbol val="circle"/>
            <c:size val="3"/>
            <c:spPr>
              <a:solidFill>
                <a:schemeClr val="accent6">
                  <a:lumMod val="60000"/>
                </a:schemeClr>
              </a:solidFill>
              <a:ln w="9525">
                <a:solidFill>
                  <a:schemeClr val="accent6">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(Adjusted)'!$AJ$7:$AJ$107</c:f>
              <c:numCache>
                <c:formatCode>0.0000</c:formatCode>
                <c:ptCount val="101"/>
                <c:pt idx="70">
                  <c:v>34.568642160540143</c:v>
                </c:pt>
                <c:pt idx="71">
                  <c:v>36.729182295573843</c:v>
                </c:pt>
                <c:pt idx="72">
                  <c:v>51.852963240810141</c:v>
                </c:pt>
              </c:numCache>
            </c:numRef>
          </c:val>
          <c:smooth val="0"/>
        </c:ser>
        <c:ser>
          <c:idx val="12"/>
          <c:order val="8"/>
          <c:tx>
            <c:strRef>
              <c:f>'Wheat (Adjusted)'!$AK$6</c:f>
              <c:strCache>
                <c:ptCount val="1"/>
                <c:pt idx="0">
                  <c:v>Resht &amp; Ghilan &amp; Tunekabun, Imports, in d/bushel</c:v>
                </c:pt>
              </c:strCache>
            </c:strRef>
          </c:tx>
          <c:spPr>
            <a:ln w="15875" cap="rnd">
              <a:solidFill>
                <a:schemeClr val="accent1">
                  <a:lumMod val="80000"/>
                  <a:lumOff val="20000"/>
                </a:schemeClr>
              </a:solidFill>
              <a:round/>
            </a:ln>
            <a:effectLst/>
          </c:spPr>
          <c:marker>
            <c:symbol val="circle"/>
            <c:size val="3"/>
            <c:spPr>
              <a:solidFill>
                <a:schemeClr val="accent1">
                  <a:lumMod val="80000"/>
                  <a:lumOff val="20000"/>
                </a:schemeClr>
              </a:solidFill>
              <a:ln w="9525">
                <a:solidFill>
                  <a:schemeClr val="accent1">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(Adjusted)'!$AK$7:$AK$107</c:f>
              <c:numCache>
                <c:formatCode>0.0000</c:formatCode>
                <c:ptCount val="101"/>
                <c:pt idx="53">
                  <c:v>17.367010231434339</c:v>
                </c:pt>
                <c:pt idx="66">
                  <c:v>47.522110982193077</c:v>
                </c:pt>
                <c:pt idx="67">
                  <c:v>49.207412509594995</c:v>
                </c:pt>
                <c:pt idx="68">
                  <c:v>48.768348473650221</c:v>
                </c:pt>
                <c:pt idx="69">
                  <c:v>44.891020317656299</c:v>
                </c:pt>
                <c:pt idx="70">
                  <c:v>44.590135843575361</c:v>
                </c:pt>
              </c:numCache>
            </c:numRef>
          </c:val>
          <c:smooth val="0"/>
        </c:ser>
        <c:ser>
          <c:idx val="14"/>
          <c:order val="9"/>
          <c:tx>
            <c:strRef>
              <c:f>'Wheat (Adjusted)'!$AM$6</c:f>
              <c:strCache>
                <c:ptCount val="1"/>
                <c:pt idx="0">
                  <c:v>Resht &amp; Bender Gez &amp; Astarabad, Exports, in d/bushel</c:v>
                </c:pt>
              </c:strCache>
            </c:strRef>
          </c:tx>
          <c:spPr>
            <a:ln w="15875" cap="rnd">
              <a:solidFill>
                <a:schemeClr val="accent3">
                  <a:lumMod val="80000"/>
                  <a:lumOff val="20000"/>
                </a:schemeClr>
              </a:solidFill>
              <a:round/>
            </a:ln>
            <a:effectLst/>
          </c:spPr>
          <c:marker>
            <c:symbol val="circle"/>
            <c:size val="3"/>
            <c:spPr>
              <a:solidFill>
                <a:schemeClr val="accent3">
                  <a:lumMod val="80000"/>
                  <a:lumOff val="20000"/>
                </a:schemeClr>
              </a:solidFill>
              <a:ln w="9525">
                <a:solidFill>
                  <a:schemeClr val="accent3">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(Adjusted)'!$AM$7:$AM$107</c:f>
              <c:numCache>
                <c:formatCode>0.0000</c:formatCode>
                <c:ptCount val="101"/>
                <c:pt idx="33">
                  <c:v>37.661538461538527</c:v>
                </c:pt>
                <c:pt idx="34">
                  <c:v>37.677841373671342</c:v>
                </c:pt>
                <c:pt idx="35">
                  <c:v>43.482352941176394</c:v>
                </c:pt>
                <c:pt idx="53">
                  <c:v>25.062656641604065</c:v>
                </c:pt>
                <c:pt idx="66">
                  <c:v>22.207546809688321</c:v>
                </c:pt>
                <c:pt idx="67">
                  <c:v>26.899729148633185</c:v>
                </c:pt>
                <c:pt idx="68">
                  <c:v>51.328263573161571</c:v>
                </c:pt>
                <c:pt idx="69">
                  <c:v>21.028206735426529</c:v>
                </c:pt>
                <c:pt idx="70">
                  <c:v>24.799081515499442</c:v>
                </c:pt>
              </c:numCache>
            </c:numRef>
          </c:val>
          <c:smooth val="0"/>
        </c:ser>
        <c:ser>
          <c:idx val="15"/>
          <c:order val="10"/>
          <c:tx>
            <c:strRef>
              <c:f>'Wheat (Adjusted)'!$AN$6</c:f>
              <c:strCache>
                <c:ptCount val="1"/>
                <c:pt idx="0">
                  <c:v>Astara, Exports, in d/bushel</c:v>
                </c:pt>
              </c:strCache>
            </c:strRef>
          </c:tx>
          <c:spPr>
            <a:ln w="15875" cap="rnd">
              <a:solidFill>
                <a:schemeClr val="accent4">
                  <a:lumMod val="80000"/>
                  <a:lumOff val="20000"/>
                </a:schemeClr>
              </a:solidFill>
              <a:round/>
            </a:ln>
            <a:effectLst/>
          </c:spPr>
          <c:marker>
            <c:symbol val="circle"/>
            <c:size val="3"/>
            <c:spPr>
              <a:solidFill>
                <a:schemeClr val="accent4">
                  <a:lumMod val="80000"/>
                  <a:lumOff val="20000"/>
                </a:schemeClr>
              </a:solidFill>
              <a:ln w="9525">
                <a:solidFill>
                  <a:schemeClr val="accent4">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(Adjusted)'!$AN$7:$AN$107</c:f>
              <c:numCache>
                <c:formatCode>0.0000</c:formatCode>
                <c:ptCount val="101"/>
                <c:pt idx="68">
                  <c:v>40.804403562705744</c:v>
                </c:pt>
                <c:pt idx="69">
                  <c:v>28.646990231231086</c:v>
                </c:pt>
                <c:pt idx="70">
                  <c:v>19.684854036654624</c:v>
                </c:pt>
              </c:numCache>
            </c:numRef>
          </c:val>
          <c:smooth val="0"/>
        </c:ser>
        <c:ser>
          <c:idx val="16"/>
          <c:order val="11"/>
          <c:tx>
            <c:strRef>
              <c:f>'Wheat (Adjusted)'!$AO$6</c:f>
              <c:strCache>
                <c:ptCount val="1"/>
                <c:pt idx="0">
                  <c:v>Sultanabad, Imports, in d/bushel</c:v>
                </c:pt>
              </c:strCache>
            </c:strRef>
          </c:tx>
          <c:spPr>
            <a:ln w="15875" cap="rnd">
              <a:solidFill>
                <a:schemeClr val="accent5">
                  <a:lumMod val="80000"/>
                  <a:lumOff val="20000"/>
                </a:schemeClr>
              </a:solidFill>
              <a:round/>
            </a:ln>
            <a:effectLst/>
          </c:spPr>
          <c:marker>
            <c:symbol val="circle"/>
            <c:size val="3"/>
            <c:spPr>
              <a:solidFill>
                <a:schemeClr val="accent5">
                  <a:lumMod val="80000"/>
                  <a:lumOff val="20000"/>
                </a:schemeClr>
              </a:solidFill>
              <a:ln w="9525">
                <a:solidFill>
                  <a:schemeClr val="accent5">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(Adjusted)'!$AO$7:$AO$107</c:f>
              <c:numCache>
                <c:formatCode>0.0000</c:formatCode>
                <c:ptCount val="101"/>
                <c:pt idx="70">
                  <c:v>53.169230769230737</c:v>
                </c:pt>
                <c:pt idx="71">
                  <c:v>110.76923076923073</c:v>
                </c:pt>
                <c:pt idx="72">
                  <c:v>81.876923076923134</c:v>
                </c:pt>
              </c:numCache>
            </c:numRef>
          </c:val>
          <c:smooth val="0"/>
        </c:ser>
        <c:ser>
          <c:idx val="17"/>
          <c:order val="12"/>
          <c:tx>
            <c:strRef>
              <c:f>'Wheat (Adjusted)'!$AP$6</c:f>
              <c:strCache>
                <c:ptCount val="1"/>
                <c:pt idx="0">
                  <c:v>Bahrain, Imports, in d/bushel</c:v>
                </c:pt>
              </c:strCache>
            </c:strRef>
          </c:tx>
          <c:spPr>
            <a:ln w="15875" cap="rnd">
              <a:solidFill>
                <a:schemeClr val="accent6">
                  <a:lumMod val="80000"/>
                  <a:lumOff val="20000"/>
                </a:schemeClr>
              </a:solidFill>
              <a:round/>
            </a:ln>
            <a:effectLst/>
          </c:spPr>
          <c:marker>
            <c:symbol val="circle"/>
            <c:size val="3"/>
            <c:spPr>
              <a:solidFill>
                <a:schemeClr val="accent6">
                  <a:lumMod val="80000"/>
                  <a:lumOff val="20000"/>
                </a:schemeClr>
              </a:solidFill>
              <a:ln w="9525">
                <a:solidFill>
                  <a:schemeClr val="accent6">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(Adjusted)'!$AP$7:$AP$107</c:f>
              <c:numCache>
                <c:formatCode>0.0000</c:formatCode>
                <c:ptCount val="101"/>
                <c:pt idx="56">
                  <c:v>34.745559845559846</c:v>
                </c:pt>
                <c:pt idx="57">
                  <c:v>44.597642755537493</c:v>
                </c:pt>
                <c:pt idx="58">
                  <c:v>41.653442959917783</c:v>
                </c:pt>
                <c:pt idx="61">
                  <c:v>47.141560406310781</c:v>
                </c:pt>
                <c:pt idx="62">
                  <c:v>42.896981459727257</c:v>
                </c:pt>
                <c:pt idx="63">
                  <c:v>34.285714285714285</c:v>
                </c:pt>
                <c:pt idx="64">
                  <c:v>46.886884446611404</c:v>
                </c:pt>
                <c:pt idx="65">
                  <c:v>38.465873291186739</c:v>
                </c:pt>
                <c:pt idx="66">
                  <c:v>40.734513230623321</c:v>
                </c:pt>
                <c:pt idx="67">
                  <c:v>51.428571428571431</c:v>
                </c:pt>
                <c:pt idx="68">
                  <c:v>67.263423524463775</c:v>
                </c:pt>
                <c:pt idx="69">
                  <c:v>81.246992681135566</c:v>
                </c:pt>
                <c:pt idx="70">
                  <c:v>48.920507751534707</c:v>
                </c:pt>
                <c:pt idx="71">
                  <c:v>57.14236076640524</c:v>
                </c:pt>
                <c:pt idx="72">
                  <c:v>56.819805194805191</c:v>
                </c:pt>
                <c:pt idx="73">
                  <c:v>59.934513703613874</c:v>
                </c:pt>
              </c:numCache>
            </c:numRef>
          </c:val>
          <c:smooth val="0"/>
        </c:ser>
        <c:ser>
          <c:idx val="18"/>
          <c:order val="13"/>
          <c:tx>
            <c:strRef>
              <c:f>'Wheat (Adjusted)'!$AQ$6</c:f>
              <c:strCache>
                <c:ptCount val="1"/>
                <c:pt idx="0">
                  <c:v>Bahrain, Exports, in d/bushel</c:v>
                </c:pt>
              </c:strCache>
            </c:strRef>
          </c:tx>
          <c:spPr>
            <a:ln w="15875" cap="rnd">
              <a:solidFill>
                <a:schemeClr val="accent1">
                  <a:lumMod val="80000"/>
                </a:schemeClr>
              </a:solidFill>
              <a:round/>
            </a:ln>
            <a:effectLst/>
          </c:spPr>
          <c:marker>
            <c:symbol val="circle"/>
            <c:size val="3"/>
            <c:spPr>
              <a:solidFill>
                <a:schemeClr val="accent1">
                  <a:lumMod val="80000"/>
                </a:schemeClr>
              </a:solidFill>
              <a:ln w="9525">
                <a:solidFill>
                  <a:schemeClr val="accent1">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(Adjusted)'!$AQ$7:$AQ$107</c:f>
              <c:numCache>
                <c:formatCode>0.0000</c:formatCode>
                <c:ptCount val="101"/>
                <c:pt idx="56">
                  <c:v>37.811688311688307</c:v>
                </c:pt>
                <c:pt idx="57">
                  <c:v>52.246153846153845</c:v>
                </c:pt>
                <c:pt idx="58">
                  <c:v>44.193277310924373</c:v>
                </c:pt>
                <c:pt idx="64">
                  <c:v>52.922554767047217</c:v>
                </c:pt>
                <c:pt idx="65">
                  <c:v>40.712727272727271</c:v>
                </c:pt>
                <c:pt idx="66">
                  <c:v>42.857142857142854</c:v>
                </c:pt>
                <c:pt idx="67">
                  <c:v>51.428571428571431</c:v>
                </c:pt>
                <c:pt idx="68">
                  <c:v>64.846416382252556</c:v>
                </c:pt>
                <c:pt idx="69">
                  <c:v>66.623376623376615</c:v>
                </c:pt>
                <c:pt idx="70">
                  <c:v>67.881355932203377</c:v>
                </c:pt>
                <c:pt idx="71">
                  <c:v>38.543838136112811</c:v>
                </c:pt>
                <c:pt idx="72">
                  <c:v>42.264437689969611</c:v>
                </c:pt>
                <c:pt idx="73">
                  <c:v>39.489795918367356</c:v>
                </c:pt>
              </c:numCache>
            </c:numRef>
          </c:val>
          <c:smooth val="0"/>
        </c:ser>
        <c:ser>
          <c:idx val="19"/>
          <c:order val="14"/>
          <c:tx>
            <c:strRef>
              <c:f>'Wheat (Adjusted)'!$AR$6</c:f>
              <c:strCache>
                <c:ptCount val="1"/>
                <c:pt idx="0">
                  <c:v>Muscat, Imports, in d/bushel</c:v>
                </c:pt>
              </c:strCache>
            </c:strRef>
          </c:tx>
          <c:spPr>
            <a:ln w="15875" cap="rnd">
              <a:solidFill>
                <a:schemeClr val="accent2">
                  <a:lumMod val="80000"/>
                </a:schemeClr>
              </a:solidFill>
              <a:round/>
            </a:ln>
            <a:effectLst/>
          </c:spPr>
          <c:marker>
            <c:symbol val="circle"/>
            <c:size val="3"/>
            <c:spPr>
              <a:solidFill>
                <a:schemeClr val="accent2">
                  <a:lumMod val="80000"/>
                </a:schemeClr>
              </a:solidFill>
              <a:ln w="9525">
                <a:solidFill>
                  <a:schemeClr val="accent2">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(Adjusted)'!$AR$7:$AR$107</c:f>
              <c:numCache>
                <c:formatCode>0.0000</c:formatCode>
                <c:ptCount val="101"/>
                <c:pt idx="34">
                  <c:v>42.341164703592888</c:v>
                </c:pt>
                <c:pt idx="35">
                  <c:v>33.939567286461134</c:v>
                </c:pt>
                <c:pt idx="36">
                  <c:v>27.980458891109294</c:v>
                </c:pt>
                <c:pt idx="37">
                  <c:v>51.840349219552238</c:v>
                </c:pt>
                <c:pt idx="38">
                  <c:v>49.712353128441762</c:v>
                </c:pt>
                <c:pt idx="39">
                  <c:v>48.471022075294023</c:v>
                </c:pt>
                <c:pt idx="40">
                  <c:v>34.154748671795609</c:v>
                </c:pt>
                <c:pt idx="41">
                  <c:v>39.147763339002985</c:v>
                </c:pt>
                <c:pt idx="42">
                  <c:v>32.53370442707314</c:v>
                </c:pt>
                <c:pt idx="43">
                  <c:v>35.26577398797312</c:v>
                </c:pt>
                <c:pt idx="44">
                  <c:v>33.862437798509568</c:v>
                </c:pt>
                <c:pt idx="45">
                  <c:v>29.946156591897381</c:v>
                </c:pt>
                <c:pt idx="46">
                  <c:v>36.299933321104284</c:v>
                </c:pt>
                <c:pt idx="47">
                  <c:v>34.377714629781678</c:v>
                </c:pt>
                <c:pt idx="48">
                  <c:v>30.488832884331252</c:v>
                </c:pt>
                <c:pt idx="49">
                  <c:v>31.919940390593311</c:v>
                </c:pt>
                <c:pt idx="50">
                  <c:v>41.007557182562607</c:v>
                </c:pt>
                <c:pt idx="51">
                  <c:v>35.460882574764554</c:v>
                </c:pt>
                <c:pt idx="52">
                  <c:v>37.271215008806529</c:v>
                </c:pt>
                <c:pt idx="53">
                  <c:v>30.291071585854237</c:v>
                </c:pt>
                <c:pt idx="54">
                  <c:v>25.207731474009552</c:v>
                </c:pt>
                <c:pt idx="55">
                  <c:v>25.969952296117928</c:v>
                </c:pt>
                <c:pt idx="56">
                  <c:v>26.841061807098811</c:v>
                </c:pt>
                <c:pt idx="57">
                  <c:v>41.789480199449265</c:v>
                </c:pt>
                <c:pt idx="58">
                  <c:v>38.457367629744979</c:v>
                </c:pt>
                <c:pt idx="59">
                  <c:v>52.092658831696063</c:v>
                </c:pt>
                <c:pt idx="60">
                  <c:v>27.44208647075391</c:v>
                </c:pt>
                <c:pt idx="61">
                  <c:v>30.430437807147555</c:v>
                </c:pt>
                <c:pt idx="62">
                  <c:v>17.923551406851342</c:v>
                </c:pt>
                <c:pt idx="63">
                  <c:v>22.50199998193127</c:v>
                </c:pt>
                <c:pt idx="64">
                  <c:v>29.844630768058714</c:v>
                </c:pt>
                <c:pt idx="65">
                  <c:v>35.454545454545482</c:v>
                </c:pt>
                <c:pt idx="66">
                  <c:v>32.914285714285711</c:v>
                </c:pt>
                <c:pt idx="67">
                  <c:v>33.75</c:v>
                </c:pt>
                <c:pt idx="68">
                  <c:v>38.626457614534665</c:v>
                </c:pt>
                <c:pt idx="69">
                  <c:v>39.730937773882495</c:v>
                </c:pt>
                <c:pt idx="70">
                  <c:v>48.400180261378964</c:v>
                </c:pt>
                <c:pt idx="71">
                  <c:v>32.10445468509981</c:v>
                </c:pt>
              </c:numCache>
            </c:numRef>
          </c:val>
          <c:smooth val="0"/>
        </c:ser>
        <c:ser>
          <c:idx val="20"/>
          <c:order val="15"/>
          <c:tx>
            <c:strRef>
              <c:f>'Wheat (Adjusted)'!$AS$6</c:f>
              <c:strCache>
                <c:ptCount val="1"/>
                <c:pt idx="0">
                  <c:v>Muscat, Exports, in d/bushel</c:v>
                </c:pt>
              </c:strCache>
            </c:strRef>
          </c:tx>
          <c:spPr>
            <a:ln w="15875" cap="rnd">
              <a:solidFill>
                <a:schemeClr val="accent3">
                  <a:lumMod val="80000"/>
                </a:schemeClr>
              </a:solidFill>
              <a:round/>
            </a:ln>
            <a:effectLst/>
          </c:spPr>
          <c:marker>
            <c:symbol val="circle"/>
            <c:size val="3"/>
            <c:spPr>
              <a:solidFill>
                <a:schemeClr val="accent3">
                  <a:lumMod val="80000"/>
                </a:schemeClr>
              </a:solidFill>
              <a:ln w="9525">
                <a:solidFill>
                  <a:schemeClr val="accent3">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(Adjusted)'!$AS$7:$AS$107</c:f>
              <c:numCache>
                <c:formatCode>0.0000</c:formatCode>
                <c:ptCount val="101"/>
                <c:pt idx="34">
                  <c:v>50.262882981378034</c:v>
                </c:pt>
                <c:pt idx="35">
                  <c:v>37.710630318290058</c:v>
                </c:pt>
                <c:pt idx="36">
                  <c:v>30.778504780220281</c:v>
                </c:pt>
                <c:pt idx="37">
                  <c:v>50.880342752523767</c:v>
                </c:pt>
                <c:pt idx="38">
                  <c:v>52.276879281893393</c:v>
                </c:pt>
                <c:pt idx="39">
                  <c:v>56.068662440270856</c:v>
                </c:pt>
                <c:pt idx="40">
                  <c:v>45.515471948751724</c:v>
                </c:pt>
                <c:pt idx="41">
                  <c:v>38.593262441849909</c:v>
                </c:pt>
                <c:pt idx="42">
                  <c:v>38.54659586090451</c:v>
                </c:pt>
                <c:pt idx="43">
                  <c:v>37.753263984832707</c:v>
                </c:pt>
                <c:pt idx="44">
                  <c:v>37.799930565778105</c:v>
                </c:pt>
                <c:pt idx="45">
                  <c:v>33.574012402388654</c:v>
                </c:pt>
                <c:pt idx="46">
                  <c:v>33.639654519794057</c:v>
                </c:pt>
                <c:pt idx="47">
                  <c:v>33.366605375964596</c:v>
                </c:pt>
                <c:pt idx="48">
                  <c:v>30.488832884331252</c:v>
                </c:pt>
                <c:pt idx="49">
                  <c:v>30.102537297616582</c:v>
                </c:pt>
                <c:pt idx="50">
                  <c:v>30.559943864819569</c:v>
                </c:pt>
                <c:pt idx="51">
                  <c:v>33.646604861636995</c:v>
                </c:pt>
                <c:pt idx="52">
                  <c:v>36.275488921561497</c:v>
                </c:pt>
                <c:pt idx="53">
                  <c:v>26.805284095040609</c:v>
                </c:pt>
                <c:pt idx="54">
                  <c:v>20.00613609048381</c:v>
                </c:pt>
                <c:pt idx="70">
                  <c:v>48.979591836734691</c:v>
                </c:pt>
                <c:pt idx="71">
                  <c:v>48.111483399329828</c:v>
                </c:pt>
              </c:numCache>
            </c:numRef>
          </c:val>
          <c:smooth val="0"/>
        </c:ser>
        <c:ser>
          <c:idx val="21"/>
          <c:order val="16"/>
          <c:tx>
            <c:strRef>
              <c:f>'Wheat (Adjusted)'!$AT$6</c:f>
              <c:strCache>
                <c:ptCount val="1"/>
                <c:pt idx="0">
                  <c:v>Mohammerah, Imports, in d/bushel</c:v>
                </c:pt>
              </c:strCache>
            </c:strRef>
          </c:tx>
          <c:spPr>
            <a:ln w="15875" cap="rnd">
              <a:solidFill>
                <a:schemeClr val="accent4">
                  <a:lumMod val="80000"/>
                </a:schemeClr>
              </a:solidFill>
              <a:round/>
            </a:ln>
            <a:effectLst/>
          </c:spPr>
          <c:marker>
            <c:symbol val="circle"/>
            <c:size val="3"/>
            <c:spPr>
              <a:solidFill>
                <a:schemeClr val="accent4">
                  <a:lumMod val="80000"/>
                </a:schemeClr>
              </a:solidFill>
              <a:ln w="9525">
                <a:solidFill>
                  <a:schemeClr val="accent4">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(Adjusted)'!$AT$7:$AT$107</c:f>
              <c:numCache>
                <c:formatCode>0.0000</c:formatCode>
                <c:ptCount val="101"/>
                <c:pt idx="57">
                  <c:v>43.43643037290574</c:v>
                </c:pt>
                <c:pt idx="61">
                  <c:v>52.13463007580652</c:v>
                </c:pt>
                <c:pt idx="62">
                  <c:v>32.803282893049456</c:v>
                </c:pt>
              </c:numCache>
            </c:numRef>
          </c:val>
          <c:smooth val="0"/>
        </c:ser>
        <c:ser>
          <c:idx val="22"/>
          <c:order val="17"/>
          <c:tx>
            <c:strRef>
              <c:f>'Wheat (Adjusted)'!$AU$6</c:f>
              <c:strCache>
                <c:ptCount val="1"/>
                <c:pt idx="0">
                  <c:v>Mohammerah, Exports, in d/bushel</c:v>
                </c:pt>
              </c:strCache>
            </c:strRef>
          </c:tx>
          <c:spPr>
            <a:ln w="15875" cap="rnd">
              <a:solidFill>
                <a:schemeClr val="accent5">
                  <a:lumMod val="80000"/>
                </a:schemeClr>
              </a:solidFill>
              <a:round/>
            </a:ln>
            <a:effectLst/>
          </c:spPr>
          <c:marker>
            <c:symbol val="circle"/>
            <c:size val="3"/>
            <c:spPr>
              <a:solidFill>
                <a:schemeClr val="accent5">
                  <a:lumMod val="80000"/>
                </a:schemeClr>
              </a:solidFill>
              <a:ln w="9525">
                <a:solidFill>
                  <a:schemeClr val="accent5">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(Adjusted)'!$AU$7:$AU$107</c:f>
              <c:numCache>
                <c:formatCode>0.0000</c:formatCode>
                <c:ptCount val="101"/>
                <c:pt idx="50">
                  <c:v>26.334405144694539</c:v>
                </c:pt>
                <c:pt idx="51">
                  <c:v>28.95226533789441</c:v>
                </c:pt>
                <c:pt idx="52">
                  <c:v>32.593392343814145</c:v>
                </c:pt>
                <c:pt idx="53">
                  <c:v>28.860405499883441</c:v>
                </c:pt>
                <c:pt idx="54">
                  <c:v>12.747438231266763</c:v>
                </c:pt>
                <c:pt idx="55">
                  <c:v>15.592681866502412</c:v>
                </c:pt>
                <c:pt idx="56">
                  <c:v>40.88681155709331</c:v>
                </c:pt>
                <c:pt idx="57">
                  <c:v>43.27192285092115</c:v>
                </c:pt>
                <c:pt idx="58">
                  <c:v>32.998160637645555</c:v>
                </c:pt>
                <c:pt idx="59">
                  <c:v>32.354124748490953</c:v>
                </c:pt>
                <c:pt idx="60">
                  <c:v>58.950155404627573</c:v>
                </c:pt>
              </c:numCache>
            </c:numRef>
          </c:val>
          <c:smooth val="0"/>
        </c:ser>
        <c:ser>
          <c:idx val="23"/>
          <c:order val="18"/>
          <c:tx>
            <c:strRef>
              <c:f>'Wheat (Adjusted)'!$AV$6</c:f>
              <c:strCache>
                <c:ptCount val="1"/>
                <c:pt idx="0">
                  <c:v>Lingah, Imports, in d/bushel</c:v>
                </c:pt>
              </c:strCache>
            </c:strRef>
          </c:tx>
          <c:spPr>
            <a:ln w="15875" cap="rnd">
              <a:solidFill>
                <a:schemeClr val="accent6">
                  <a:lumMod val="80000"/>
                </a:schemeClr>
              </a:solidFill>
              <a:round/>
            </a:ln>
            <a:effectLst/>
          </c:spPr>
          <c:marker>
            <c:symbol val="circle"/>
            <c:size val="3"/>
            <c:spPr>
              <a:solidFill>
                <a:schemeClr val="accent6">
                  <a:lumMod val="80000"/>
                </a:schemeClr>
              </a:solidFill>
              <a:ln w="9525">
                <a:solidFill>
                  <a:schemeClr val="accent6">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(Adjusted)'!$AV$7:$AV$107</c:f>
              <c:numCache>
                <c:formatCode>0.0000</c:formatCode>
                <c:ptCount val="101"/>
                <c:pt idx="56">
                  <c:v>39.17374517374521</c:v>
                </c:pt>
                <c:pt idx="57">
                  <c:v>56.251567944250837</c:v>
                </c:pt>
                <c:pt idx="58">
                  <c:v>40.326578073089735</c:v>
                </c:pt>
                <c:pt idx="59">
                  <c:v>42.857142857142804</c:v>
                </c:pt>
                <c:pt idx="67">
                  <c:v>33.819875776397566</c:v>
                </c:pt>
                <c:pt idx="68">
                  <c:v>48.936940197231465</c:v>
                </c:pt>
                <c:pt idx="69">
                  <c:v>66.704220993513459</c:v>
                </c:pt>
                <c:pt idx="70">
                  <c:v>65.819224319792255</c:v>
                </c:pt>
                <c:pt idx="71">
                  <c:v>41.157960981749476</c:v>
                </c:pt>
                <c:pt idx="72">
                  <c:v>56.741440377804032</c:v>
                </c:pt>
              </c:numCache>
            </c:numRef>
          </c:val>
          <c:smooth val="0"/>
        </c:ser>
        <c:ser>
          <c:idx val="24"/>
          <c:order val="19"/>
          <c:tx>
            <c:strRef>
              <c:f>'Wheat (Adjusted)'!$AW$6</c:f>
              <c:strCache>
                <c:ptCount val="1"/>
                <c:pt idx="0">
                  <c:v>Lingah, Exports, in d/bushel</c:v>
                </c:pt>
              </c:strCache>
            </c:strRef>
          </c:tx>
          <c:spPr>
            <a:ln w="15875" cap="rnd">
              <a:solidFill>
                <a:schemeClr val="accent1">
                  <a:lumMod val="60000"/>
                  <a:lumOff val="40000"/>
                </a:schemeClr>
              </a:solidFill>
              <a:round/>
            </a:ln>
            <a:effectLst/>
          </c:spPr>
          <c:marker>
            <c:symbol val="circle"/>
            <c:size val="3"/>
            <c:spPr>
              <a:solidFill>
                <a:schemeClr val="accent1">
                  <a:lumMod val="60000"/>
                  <a:lumOff val="40000"/>
                </a:schemeClr>
              </a:solidFill>
              <a:ln w="9525">
                <a:solidFill>
                  <a:schemeClr val="accent1">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(Adjusted)'!$AW$7:$AW$107</c:f>
              <c:numCache>
                <c:formatCode>0.0000</c:formatCode>
                <c:ptCount val="101"/>
                <c:pt idx="56">
                  <c:v>37.819047619047595</c:v>
                </c:pt>
                <c:pt idx="57">
                  <c:v>56.253061224489848</c:v>
                </c:pt>
                <c:pt idx="58">
                  <c:v>40.174904942965789</c:v>
                </c:pt>
                <c:pt idx="59">
                  <c:v>42.857142857142804</c:v>
                </c:pt>
                <c:pt idx="67">
                  <c:v>39.692731024994266</c:v>
                </c:pt>
                <c:pt idx="68">
                  <c:v>48.404555192242668</c:v>
                </c:pt>
                <c:pt idx="70">
                  <c:v>33.735521235521176</c:v>
                </c:pt>
                <c:pt idx="71">
                  <c:v>43.890480291021554</c:v>
                </c:pt>
                <c:pt idx="72">
                  <c:v>43.727717436365182</c:v>
                </c:pt>
              </c:numCache>
            </c:numRef>
          </c:val>
          <c:smooth val="0"/>
        </c:ser>
        <c:ser>
          <c:idx val="0"/>
          <c:order val="20"/>
          <c:tx>
            <c:strRef>
              <c:f>'Wheat (Adjusted)'!$Z$6</c:f>
              <c:strCache>
                <c:ptCount val="1"/>
                <c:pt idx="0">
                  <c:v>Trebizond (Anatolia), Exports, in d/bushel</c:v>
                </c:pt>
              </c:strCache>
            </c:strRef>
          </c:tx>
          <c:spPr>
            <a:ln w="15875" cap="rnd">
              <a:solidFill>
                <a:schemeClr val="accent1"/>
              </a:solidFill>
              <a:round/>
            </a:ln>
            <a:effectLst/>
          </c:spPr>
          <c:marker>
            <c:symbol val="circle"/>
            <c:size val="3"/>
            <c:spPr>
              <a:solidFill>
                <a:schemeClr val="accent1"/>
              </a:solidFill>
              <a:ln w="9525">
                <a:solidFill>
                  <a:schemeClr val="accent1"/>
                </a:solidFill>
              </a:ln>
              <a:effectLst/>
            </c:spPr>
          </c:marker>
          <c:val>
            <c:numRef>
              <c:f>'Wheat (Adjusted)'!$Z$7:$Z$107</c:f>
              <c:numCache>
                <c:formatCode>0.0000</c:formatCode>
                <c:ptCount val="101"/>
                <c:pt idx="29">
                  <c:v>60</c:v>
                </c:pt>
                <c:pt idx="30">
                  <c:v>60</c:v>
                </c:pt>
                <c:pt idx="31">
                  <c:v>60</c:v>
                </c:pt>
                <c:pt idx="32">
                  <c:v>60</c:v>
                </c:pt>
                <c:pt idx="33">
                  <c:v>60</c:v>
                </c:pt>
                <c:pt idx="35">
                  <c:v>48</c:v>
                </c:pt>
                <c:pt idx="44">
                  <c:v>45</c:v>
                </c:pt>
              </c:numCache>
            </c:numRef>
          </c:val>
          <c:smooth val="0"/>
        </c:ser>
        <c:dLbls>
          <c:showLegendKey val="0"/>
          <c:showVal val="0"/>
          <c:showCatName val="0"/>
          <c:showSerName val="0"/>
          <c:showPercent val="0"/>
          <c:showBubbleSize val="0"/>
        </c:dLbls>
        <c:marker val="1"/>
        <c:smooth val="0"/>
        <c:axId val="721358496"/>
        <c:axId val="721436896"/>
      </c:lineChart>
      <c:catAx>
        <c:axId val="721358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36896"/>
        <c:crosses val="autoZero"/>
        <c:auto val="1"/>
        <c:lblAlgn val="ctr"/>
        <c:lblOffset val="100"/>
        <c:noMultiLvlLbl val="0"/>
      </c:catAx>
      <c:valAx>
        <c:axId val="721436896"/>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358496"/>
        <c:crosses val="autoZero"/>
        <c:crossBetween val="between"/>
      </c:valAx>
      <c:spPr>
        <a:noFill/>
        <a:ln>
          <a:noFill/>
        </a:ln>
        <a:effectLst/>
      </c:spPr>
    </c:plotArea>
    <c:legend>
      <c:legendPos val="r"/>
      <c:layout>
        <c:manualLayout>
          <c:xMode val="edge"/>
          <c:yMode val="edge"/>
          <c:x val="0.73399149101088801"/>
          <c:y val="5.6758122625976098E-2"/>
          <c:w val="0.25030303974033569"/>
          <c:h val="0.88154048678697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ysClr val="windowText" lastClr="000000"/>
                </a:solidFill>
                <a:effectLst/>
                <a:latin typeface="+mn-lt"/>
                <a:ea typeface="+mn-ea"/>
                <a:cs typeface="+mn-cs"/>
              </a:defRPr>
            </a:pPr>
            <a:r>
              <a:rPr lang="en-US" sz="1400" b="1" i="0" u="none" strike="noStrike" kern="1200" spc="0" baseline="0">
                <a:solidFill>
                  <a:sysClr val="windowText" lastClr="000000"/>
                </a:solidFill>
                <a:effectLst/>
                <a:latin typeface="+mn-lt"/>
                <a:ea typeface="+mn-ea"/>
                <a:cs typeface="+mn-cs"/>
              </a:rPr>
              <a:t>Wheat, UK, Black Sea, Mediterranean Sea, Persian Gulf &amp; India, in d/bushel</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ysClr val="windowText" lastClr="000000"/>
              </a:solidFill>
              <a:effectLst/>
              <a:latin typeface="+mn-lt"/>
              <a:ea typeface="+mn-ea"/>
              <a:cs typeface="+mn-cs"/>
            </a:defRPr>
          </a:pPr>
          <a:endParaRPr lang="en-US"/>
        </a:p>
      </c:txPr>
    </c:title>
    <c:autoTitleDeleted val="0"/>
    <c:plotArea>
      <c:layout/>
      <c:lineChart>
        <c:grouping val="standard"/>
        <c:varyColors val="0"/>
        <c:ser>
          <c:idx val="2"/>
          <c:order val="0"/>
          <c:tx>
            <c:strRef>
              <c:f>'Wheat (Adjusted)'!$C$6</c:f>
              <c:strCache>
                <c:ptCount val="1"/>
                <c:pt idx="0">
                  <c:v>UK, Imports, in d/bushel</c:v>
                </c:pt>
              </c:strCache>
            </c:strRef>
          </c:tx>
          <c:spPr>
            <a:ln w="15875" cap="rnd">
              <a:solidFill>
                <a:schemeClr val="accent3"/>
              </a:solidFill>
              <a:round/>
            </a:ln>
            <a:effectLst/>
          </c:spPr>
          <c:marker>
            <c:symbol val="circle"/>
            <c:size val="3"/>
            <c:spPr>
              <a:solidFill>
                <a:schemeClr val="accent3"/>
              </a:solidFill>
              <a:ln w="9525">
                <a:solidFill>
                  <a:schemeClr val="accent3"/>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(Adjusted)'!$C$7:$C$107</c:f>
              <c:numCache>
                <c:formatCode>_(* #,##0.0000_);_(* \(#,##0.0000\);_(* "-"??_);_(@_)</c:formatCode>
                <c:ptCount val="101"/>
                <c:pt idx="14">
                  <c:v>101.11748352598057</c:v>
                </c:pt>
                <c:pt idx="15">
                  <c:v>107.65680361962106</c:v>
                </c:pt>
                <c:pt idx="16">
                  <c:v>92.637794634095499</c:v>
                </c:pt>
                <c:pt idx="17">
                  <c:v>82.531658671533947</c:v>
                </c:pt>
                <c:pt idx="18">
                  <c:v>63.306962208059012</c:v>
                </c:pt>
                <c:pt idx="19">
                  <c:v>64.61844596378468</c:v>
                </c:pt>
                <c:pt idx="20">
                  <c:v>83.517873520683509</c:v>
                </c:pt>
                <c:pt idx="21">
                  <c:v>81.770336873240723</c:v>
                </c:pt>
                <c:pt idx="22">
                  <c:v>72.705118894814177</c:v>
                </c:pt>
                <c:pt idx="23">
                  <c:v>63.404024118624264</c:v>
                </c:pt>
                <c:pt idx="24">
                  <c:v>59.165945413031949</c:v>
                </c:pt>
                <c:pt idx="25">
                  <c:v>59.978571428571428</c:v>
                </c:pt>
                <c:pt idx="26">
                  <c:v>72.064285714285731</c:v>
                </c:pt>
                <c:pt idx="27">
                  <c:v>92.7</c:v>
                </c:pt>
                <c:pt idx="28">
                  <c:v>86.914285714285711</c:v>
                </c:pt>
                <c:pt idx="29">
                  <c:v>66.535714285714278</c:v>
                </c:pt>
                <c:pt idx="30">
                  <c:v>67.692857142857136</c:v>
                </c:pt>
                <c:pt idx="31">
                  <c:v>76.114285714285728</c:v>
                </c:pt>
                <c:pt idx="32">
                  <c:v>79.842857142857142</c:v>
                </c:pt>
                <c:pt idx="33">
                  <c:v>83.635714285714272</c:v>
                </c:pt>
                <c:pt idx="34">
                  <c:v>78.107142857142861</c:v>
                </c:pt>
                <c:pt idx="35">
                  <c:v>68.207142857142856</c:v>
                </c:pt>
                <c:pt idx="36">
                  <c:v>67.050000000000011</c:v>
                </c:pt>
                <c:pt idx="37">
                  <c:v>80.292857142857144</c:v>
                </c:pt>
                <c:pt idx="38">
                  <c:v>70.650000000000006</c:v>
                </c:pt>
                <c:pt idx="39">
                  <c:v>67.885714285714286</c:v>
                </c:pt>
                <c:pt idx="40">
                  <c:v>71.228571428571428</c:v>
                </c:pt>
                <c:pt idx="41">
                  <c:v>70.971428571428561</c:v>
                </c:pt>
                <c:pt idx="42">
                  <c:v>68.592857142857142</c:v>
                </c:pt>
                <c:pt idx="43">
                  <c:v>63.064285714285717</c:v>
                </c:pt>
                <c:pt idx="44">
                  <c:v>54.064285714285717</c:v>
                </c:pt>
                <c:pt idx="45">
                  <c:v>50.335714285714289</c:v>
                </c:pt>
                <c:pt idx="46">
                  <c:v>48.535714285714278</c:v>
                </c:pt>
                <c:pt idx="47">
                  <c:v>49.178571428571438</c:v>
                </c:pt>
                <c:pt idx="48">
                  <c:v>49.371428571428581</c:v>
                </c:pt>
                <c:pt idx="49">
                  <c:v>49.435714285714283</c:v>
                </c:pt>
                <c:pt idx="50">
                  <c:v>50.142857142857146</c:v>
                </c:pt>
                <c:pt idx="51">
                  <c:v>57.085714285714296</c:v>
                </c:pt>
                <c:pt idx="52">
                  <c:v>49.242857142857147</c:v>
                </c:pt>
                <c:pt idx="53">
                  <c:v>41.400000000000006</c:v>
                </c:pt>
                <c:pt idx="54">
                  <c:v>34.392857142857139</c:v>
                </c:pt>
                <c:pt idx="55">
                  <c:v>35.421428571428571</c:v>
                </c:pt>
                <c:pt idx="56">
                  <c:v>39.792857142857144</c:v>
                </c:pt>
                <c:pt idx="57">
                  <c:v>47.892857142857139</c:v>
                </c:pt>
                <c:pt idx="58">
                  <c:v>51.557142857142864</c:v>
                </c:pt>
                <c:pt idx="59">
                  <c:v>43.007142857142853</c:v>
                </c:pt>
                <c:pt idx="60">
                  <c:v>43.714285714285715</c:v>
                </c:pt>
                <c:pt idx="61">
                  <c:v>42.557142857142864</c:v>
                </c:pt>
                <c:pt idx="62">
                  <c:v>43.007142857142853</c:v>
                </c:pt>
                <c:pt idx="63">
                  <c:v>43.65</c:v>
                </c:pt>
                <c:pt idx="64">
                  <c:v>45.06428571428571</c:v>
                </c:pt>
                <c:pt idx="65">
                  <c:v>46.478571428571428</c:v>
                </c:pt>
                <c:pt idx="66">
                  <c:v>45.192857142857136</c:v>
                </c:pt>
                <c:pt idx="67">
                  <c:v>49.435714285714283</c:v>
                </c:pt>
                <c:pt idx="68">
                  <c:v>54</c:v>
                </c:pt>
                <c:pt idx="69">
                  <c:v>59.464285714285708</c:v>
                </c:pt>
                <c:pt idx="70">
                  <c:v>53.935714285714283</c:v>
                </c:pt>
                <c:pt idx="71">
                  <c:v>51.042857142857144</c:v>
                </c:pt>
                <c:pt idx="72">
                  <c:v>54.51428571428572</c:v>
                </c:pt>
                <c:pt idx="73">
                  <c:v>53.228571428571428</c:v>
                </c:pt>
                <c:pt idx="74">
                  <c:v>55.349999999999994</c:v>
                </c:pt>
                <c:pt idx="75">
                  <c:v>83.121428571428581</c:v>
                </c:pt>
                <c:pt idx="76">
                  <c:v>92.507142857142853</c:v>
                </c:pt>
                <c:pt idx="77">
                  <c:v>118.80000000000001</c:v>
                </c:pt>
                <c:pt idx="78">
                  <c:v>117.83571428571427</c:v>
                </c:pt>
                <c:pt idx="79">
                  <c:v>123.10714285714283</c:v>
                </c:pt>
                <c:pt idx="80">
                  <c:v>172.60714285714286</c:v>
                </c:pt>
              </c:numCache>
            </c:numRef>
          </c:val>
          <c:smooth val="0"/>
        </c:ser>
        <c:ser>
          <c:idx val="3"/>
          <c:order val="1"/>
          <c:tx>
            <c:strRef>
              <c:f>'Wheat (Adjusted)'!$D$6</c:f>
              <c:strCache>
                <c:ptCount val="1"/>
                <c:pt idx="0">
                  <c:v>UK (London), , in d/bushel</c:v>
                </c:pt>
              </c:strCache>
            </c:strRef>
          </c:tx>
          <c:spPr>
            <a:ln w="15875" cap="rnd">
              <a:solidFill>
                <a:schemeClr val="accent4"/>
              </a:solidFill>
              <a:round/>
            </a:ln>
            <a:effectLst/>
          </c:spPr>
          <c:marker>
            <c:symbol val="circle"/>
            <c:size val="3"/>
            <c:spPr>
              <a:solidFill>
                <a:schemeClr val="accent4"/>
              </a:solidFill>
              <a:ln w="9525">
                <a:solidFill>
                  <a:schemeClr val="accent4"/>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(Adjusted)'!$D$7:$D$107</c:f>
              <c:numCache>
                <c:formatCode>_(* #,##0.0000_);_(* \(#,##0.0000\);_(* "-"??_);_(@_)</c:formatCode>
                <c:ptCount val="101"/>
                <c:pt idx="0">
                  <c:v>99.5</c:v>
                </c:pt>
                <c:pt idx="1">
                  <c:v>96.5</c:v>
                </c:pt>
                <c:pt idx="2">
                  <c:v>85.875</c:v>
                </c:pt>
                <c:pt idx="3">
                  <c:v>75.125</c:v>
                </c:pt>
                <c:pt idx="4">
                  <c:v>76.875</c:v>
                </c:pt>
                <c:pt idx="5">
                  <c:v>76.25</c:v>
                </c:pt>
                <c:pt idx="6">
                  <c:v>82</c:v>
                </c:pt>
                <c:pt idx="7">
                  <c:v>104.625</c:v>
                </c:pt>
                <c:pt idx="8">
                  <c:v>75.75</c:v>
                </c:pt>
                <c:pt idx="9">
                  <c:v>66.375</c:v>
                </c:pt>
                <c:pt idx="10">
                  <c:v>60.375</c:v>
                </c:pt>
                <c:pt idx="11">
                  <c:v>57.75</c:v>
                </c:pt>
                <c:pt idx="12">
                  <c:v>61.125</c:v>
                </c:pt>
                <c:pt idx="13">
                  <c:v>79.875</c:v>
                </c:pt>
                <c:pt idx="14">
                  <c:v>108.625</c:v>
                </c:pt>
                <c:pt idx="15">
                  <c:v>112</c:v>
                </c:pt>
                <c:pt idx="16">
                  <c:v>103.75</c:v>
                </c:pt>
                <c:pt idx="17">
                  <c:v>84.5</c:v>
                </c:pt>
                <c:pt idx="18">
                  <c:v>66.25</c:v>
                </c:pt>
                <c:pt idx="19">
                  <c:v>65.625</c:v>
                </c:pt>
                <c:pt idx="20">
                  <c:v>79.875</c:v>
                </c:pt>
                <c:pt idx="21">
                  <c:v>83</c:v>
                </c:pt>
                <c:pt idx="22">
                  <c:v>83.125</c:v>
                </c:pt>
                <c:pt idx="23">
                  <c:v>67.125</c:v>
                </c:pt>
                <c:pt idx="24">
                  <c:v>60.25</c:v>
                </c:pt>
                <c:pt idx="25">
                  <c:v>62.75</c:v>
                </c:pt>
                <c:pt idx="26">
                  <c:v>74.875</c:v>
                </c:pt>
                <c:pt idx="27">
                  <c:v>96.625</c:v>
                </c:pt>
                <c:pt idx="28">
                  <c:v>95.625</c:v>
                </c:pt>
                <c:pt idx="29">
                  <c:v>72.25</c:v>
                </c:pt>
                <c:pt idx="30">
                  <c:v>70.375</c:v>
                </c:pt>
                <c:pt idx="31">
                  <c:v>85</c:v>
                </c:pt>
                <c:pt idx="32">
                  <c:v>85.5</c:v>
                </c:pt>
                <c:pt idx="33">
                  <c:v>88</c:v>
                </c:pt>
                <c:pt idx="34">
                  <c:v>83.625</c:v>
                </c:pt>
                <c:pt idx="35">
                  <c:v>67.75</c:v>
                </c:pt>
                <c:pt idx="36">
                  <c:v>69.25</c:v>
                </c:pt>
                <c:pt idx="37">
                  <c:v>85.125</c:v>
                </c:pt>
                <c:pt idx="38">
                  <c:v>69.625</c:v>
                </c:pt>
                <c:pt idx="39">
                  <c:v>65.75</c:v>
                </c:pt>
                <c:pt idx="40">
                  <c:v>66.5</c:v>
                </c:pt>
                <c:pt idx="41">
                  <c:v>68</c:v>
                </c:pt>
                <c:pt idx="42">
                  <c:v>67.625</c:v>
                </c:pt>
                <c:pt idx="43">
                  <c:v>62.375</c:v>
                </c:pt>
                <c:pt idx="44">
                  <c:v>53.5</c:v>
                </c:pt>
                <c:pt idx="45">
                  <c:v>49.25</c:v>
                </c:pt>
                <c:pt idx="46">
                  <c:v>46.5</c:v>
                </c:pt>
                <c:pt idx="47">
                  <c:v>48.75</c:v>
                </c:pt>
                <c:pt idx="48">
                  <c:v>47.75</c:v>
                </c:pt>
                <c:pt idx="49">
                  <c:v>44.625</c:v>
                </c:pt>
                <c:pt idx="50">
                  <c:v>47.875</c:v>
                </c:pt>
                <c:pt idx="51">
                  <c:v>55.5</c:v>
                </c:pt>
                <c:pt idx="52">
                  <c:v>45.375</c:v>
                </c:pt>
                <c:pt idx="53">
                  <c:v>39.5</c:v>
                </c:pt>
                <c:pt idx="54">
                  <c:v>34.25</c:v>
                </c:pt>
                <c:pt idx="55">
                  <c:v>34.625</c:v>
                </c:pt>
                <c:pt idx="56">
                  <c:v>39.25</c:v>
                </c:pt>
                <c:pt idx="57">
                  <c:v>45.25</c:v>
                </c:pt>
                <c:pt idx="58">
                  <c:v>51</c:v>
                </c:pt>
                <c:pt idx="59">
                  <c:v>38.5</c:v>
                </c:pt>
                <c:pt idx="60">
                  <c:v>40.375</c:v>
                </c:pt>
                <c:pt idx="61">
                  <c:v>40.125</c:v>
                </c:pt>
                <c:pt idx="62">
                  <c:v>42.125</c:v>
                </c:pt>
                <c:pt idx="63">
                  <c:v>40.125</c:v>
                </c:pt>
                <c:pt idx="64">
                  <c:v>42.5</c:v>
                </c:pt>
                <c:pt idx="65">
                  <c:v>44.5</c:v>
                </c:pt>
                <c:pt idx="66">
                  <c:v>42.375</c:v>
                </c:pt>
                <c:pt idx="67">
                  <c:v>45.875</c:v>
                </c:pt>
                <c:pt idx="68">
                  <c:v>48</c:v>
                </c:pt>
                <c:pt idx="69">
                  <c:v>55.375</c:v>
                </c:pt>
                <c:pt idx="70">
                  <c:v>47.5</c:v>
                </c:pt>
                <c:pt idx="71">
                  <c:v>47.5</c:v>
                </c:pt>
                <c:pt idx="72">
                  <c:v>52.125</c:v>
                </c:pt>
                <c:pt idx="73">
                  <c:v>47.5</c:v>
                </c:pt>
                <c:pt idx="74">
                  <c:v>52.375</c:v>
                </c:pt>
                <c:pt idx="75">
                  <c:v>79.25</c:v>
                </c:pt>
                <c:pt idx="76">
                  <c:v>87.625</c:v>
                </c:pt>
                <c:pt idx="77">
                  <c:v>113.625</c:v>
                </c:pt>
                <c:pt idx="78">
                  <c:v>109.25</c:v>
                </c:pt>
                <c:pt idx="79">
                  <c:v>109.375</c:v>
                </c:pt>
                <c:pt idx="80">
                  <c:v>121.25</c:v>
                </c:pt>
                <c:pt idx="81">
                  <c:v>107.25</c:v>
                </c:pt>
                <c:pt idx="82">
                  <c:v>71.75</c:v>
                </c:pt>
                <c:pt idx="83">
                  <c:v>63.214285714285715</c:v>
                </c:pt>
                <c:pt idx="84">
                  <c:v>73.928571428571431</c:v>
                </c:pt>
                <c:pt idx="85">
                  <c:v>78.214285714285708</c:v>
                </c:pt>
                <c:pt idx="86">
                  <c:v>79.821428571428569</c:v>
                </c:pt>
                <c:pt idx="87">
                  <c:v>73.928571428571431</c:v>
                </c:pt>
                <c:pt idx="88">
                  <c:v>64.285714285714292</c:v>
                </c:pt>
                <c:pt idx="89">
                  <c:v>63.214285714285715</c:v>
                </c:pt>
                <c:pt idx="90">
                  <c:v>51.428571428571431</c:v>
                </c:pt>
                <c:pt idx="91">
                  <c:v>36.964285714285715</c:v>
                </c:pt>
                <c:pt idx="92">
                  <c:v>38.035714285714285</c:v>
                </c:pt>
                <c:pt idx="93">
                  <c:v>34.285714285714285</c:v>
                </c:pt>
                <c:pt idx="94">
                  <c:v>31.071428571428573</c:v>
                </c:pt>
                <c:pt idx="95">
                  <c:v>33.214285714285715</c:v>
                </c:pt>
                <c:pt idx="96">
                  <c:v>46.071428571428569</c:v>
                </c:pt>
                <c:pt idx="97">
                  <c:v>60</c:v>
                </c:pt>
                <c:pt idx="98">
                  <c:v>43.392857142857146</c:v>
                </c:pt>
                <c:pt idx="99">
                  <c:v>32.142857142857146</c:v>
                </c:pt>
                <c:pt idx="100">
                  <c:v>64.285714285714292</c:v>
                </c:pt>
              </c:numCache>
            </c:numRef>
          </c:val>
          <c:smooth val="0"/>
        </c:ser>
        <c:ser>
          <c:idx val="4"/>
          <c:order val="2"/>
          <c:tx>
            <c:strRef>
              <c:f>'Wheat (Adjusted)'!$N$6</c:f>
              <c:strCache>
                <c:ptCount val="1"/>
                <c:pt idx="0">
                  <c:v>Aleppo, , in d/bushel</c:v>
                </c:pt>
              </c:strCache>
            </c:strRef>
          </c:tx>
          <c:spPr>
            <a:ln w="15875" cap="rnd">
              <a:solidFill>
                <a:schemeClr val="accent5"/>
              </a:solidFill>
              <a:round/>
            </a:ln>
            <a:effectLst/>
          </c:spPr>
          <c:marker>
            <c:symbol val="circle"/>
            <c:size val="3"/>
            <c:spPr>
              <a:solidFill>
                <a:schemeClr val="accent5"/>
              </a:solidFill>
              <a:ln w="9525">
                <a:solidFill>
                  <a:schemeClr val="accent5"/>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(Adjusted)'!$N$7:$N$107</c:f>
              <c:numCache>
                <c:formatCode>0.0000</c:formatCode>
                <c:ptCount val="101"/>
                <c:pt idx="5" formatCode="_(* #,##0.0000_);_(* \(#,##0.0000\);_(* &quot;-&quot;??_);_(@_)">
                  <c:v>24.545454545454543</c:v>
                </c:pt>
                <c:pt idx="6" formatCode="_(* #,##0.0000_);_(* \(#,##0.0000\);_(* &quot;-&quot;??_);_(@_)">
                  <c:v>53.999999999999993</c:v>
                </c:pt>
                <c:pt idx="7" formatCode="_(* #,##0.0000_);_(* \(#,##0.0000\);_(* &quot;-&quot;??_);_(@_)">
                  <c:v>53.999999999999993</c:v>
                </c:pt>
                <c:pt idx="8" formatCode="_(* #,##0.0000_);_(* \(#,##0.0000\);_(* &quot;-&quot;??_);_(@_)">
                  <c:v>24.545454545454543</c:v>
                </c:pt>
                <c:pt idx="10" formatCode="_(* #,##0.0000_);_(* \(#,##0.0000\);_(* &quot;-&quot;??_);_(@_)">
                  <c:v>15.709090909090909</c:v>
                </c:pt>
                <c:pt idx="15" formatCode="_(* #,##0.0000_);_(* \(#,##0.0000\);_(* &quot;-&quot;??_);_(@_)">
                  <c:v>29.45454545454545</c:v>
                </c:pt>
                <c:pt idx="16" formatCode="_(* #,##0.0000_);_(* \(#,##0.0000\);_(* &quot;-&quot;??_);_(@_)">
                  <c:v>23.563636363636359</c:v>
                </c:pt>
                <c:pt idx="17" formatCode="_(* #,##0.0000_);_(* \(#,##0.0000\);_(* &quot;-&quot;??_);_(@_)">
                  <c:v>39.272727272727273</c:v>
                </c:pt>
                <c:pt idx="19" formatCode="_(* #,##0.0000_);_(* \(#,##0.0000\);_(* &quot;-&quot;??_);_(@_)">
                  <c:v>110.45454545454544</c:v>
                </c:pt>
                <c:pt idx="20" formatCode="_(* #,##0.0000_);_(* \(#,##0.0000\);_(* &quot;-&quot;??_);_(@_)">
                  <c:v>166.90909090909088</c:v>
                </c:pt>
                <c:pt idx="21" formatCode="_(* #,##0.0000_);_(* \(#,##0.0000\);_(* &quot;-&quot;??_);_(@_)">
                  <c:v>49.090909090909086</c:v>
                </c:pt>
                <c:pt idx="31" formatCode="_(* #,##0.0000_);_(* \(#,##0.0000\);_(* &quot;-&quot;??_);_(@_)">
                  <c:v>147.27272727272725</c:v>
                </c:pt>
                <c:pt idx="34" formatCode="_(* #,##0.0000_);_(* \(#,##0.0000\);_(* &quot;-&quot;??_);_(@_)">
                  <c:v>53.999999999999993</c:v>
                </c:pt>
                <c:pt idx="39" formatCode="_(* #,##0.0000_);_(* \(#,##0.0000\);_(* &quot;-&quot;??_);_(@_)">
                  <c:v>56.945454545454538</c:v>
                </c:pt>
                <c:pt idx="53" formatCode="_(* #,##0.0000_);_(* \(#,##0.0000\);_(* &quot;-&quot;??_);_(@_)">
                  <c:v>60.872727272727275</c:v>
                </c:pt>
                <c:pt idx="63" formatCode="_(* #,##0.0000_);_(* \(#,##0.0000\);_(* &quot;-&quot;??_);_(@_)">
                  <c:v>78.545454545454547</c:v>
                </c:pt>
                <c:pt idx="68" formatCode="_(* #,##0.0000_);_(* \(#,##0.0000\);_(* &quot;-&quot;??_);_(@_)">
                  <c:v>107.99999999999999</c:v>
                </c:pt>
                <c:pt idx="69" formatCode="_(* #,##0.0000_);_(* \(#,##0.0000\);_(* &quot;-&quot;??_);_(@_)">
                  <c:v>162</c:v>
                </c:pt>
                <c:pt idx="70" formatCode="_(* #,##0.0000_);_(* \(#,##0.0000\);_(* &quot;-&quot;??_);_(@_)">
                  <c:v>127.63636363636363</c:v>
                </c:pt>
                <c:pt idx="71" formatCode="_(* #,##0.0000_);_(* \(#,##0.0000\);_(* &quot;-&quot;??_);_(@_)">
                  <c:v>147.27272727272725</c:v>
                </c:pt>
                <c:pt idx="72" formatCode="_(* #,##0.0000_);_(* \(#,##0.0000\);_(* &quot;-&quot;??_);_(@_)">
                  <c:v>166.90909090909088</c:v>
                </c:pt>
                <c:pt idx="73" formatCode="_(* #,##0.0000_);_(* \(#,##0.0000\);_(* &quot;-&quot;??_);_(@_)">
                  <c:v>90.818181818181813</c:v>
                </c:pt>
              </c:numCache>
            </c:numRef>
          </c:val>
          <c:smooth val="0"/>
        </c:ser>
        <c:ser>
          <c:idx val="5"/>
          <c:order val="3"/>
          <c:tx>
            <c:strRef>
              <c:f>'Wheat (Adjusted)'!$O$6</c:f>
              <c:strCache>
                <c:ptCount val="1"/>
                <c:pt idx="0">
                  <c:v>Palestine, Imports, in d/bushel</c:v>
                </c:pt>
              </c:strCache>
            </c:strRef>
          </c:tx>
          <c:spPr>
            <a:ln w="15875" cap="rnd">
              <a:solidFill>
                <a:schemeClr val="accent6"/>
              </a:solidFill>
              <a:round/>
            </a:ln>
            <a:effectLst/>
          </c:spPr>
          <c:marker>
            <c:symbol val="circle"/>
            <c:size val="3"/>
            <c:spPr>
              <a:solidFill>
                <a:schemeClr val="accent6"/>
              </a:solidFill>
              <a:ln w="9525">
                <a:solidFill>
                  <a:schemeClr val="accent6"/>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(Adjusted)'!$O$7:$O$107</c:f>
              <c:numCache>
                <c:formatCode>0.0000</c:formatCode>
                <c:ptCount val="101"/>
                <c:pt idx="37">
                  <c:v>76.502732240437197</c:v>
                </c:pt>
                <c:pt idx="39">
                  <c:v>70.214375788146299</c:v>
                </c:pt>
                <c:pt idx="62">
                  <c:v>75.089465253399752</c:v>
                </c:pt>
                <c:pt idx="67">
                  <c:v>38.571428571428591</c:v>
                </c:pt>
                <c:pt idx="70">
                  <c:v>62.655279503105518</c:v>
                </c:pt>
                <c:pt idx="72">
                  <c:v>66.758241758241752</c:v>
                </c:pt>
              </c:numCache>
            </c:numRef>
          </c:val>
          <c:smooth val="0"/>
        </c:ser>
        <c:ser>
          <c:idx val="6"/>
          <c:order val="4"/>
          <c:tx>
            <c:strRef>
              <c:f>'Wheat (Adjusted)'!$P$6</c:f>
              <c:strCache>
                <c:ptCount val="1"/>
                <c:pt idx="0">
                  <c:v>Palestine, Exports, in d/bushel</c:v>
                </c:pt>
              </c:strCache>
            </c:strRef>
          </c:tx>
          <c:spPr>
            <a:ln w="15875" cap="rnd">
              <a:solidFill>
                <a:schemeClr val="accent1">
                  <a:lumMod val="60000"/>
                </a:schemeClr>
              </a:solidFill>
              <a:round/>
            </a:ln>
            <a:effectLst/>
          </c:spPr>
          <c:marker>
            <c:symbol val="circle"/>
            <c:size val="3"/>
            <c:spPr>
              <a:solidFill>
                <a:schemeClr val="accent1">
                  <a:lumMod val="60000"/>
                </a:schemeClr>
              </a:solidFill>
              <a:ln w="9525">
                <a:solidFill>
                  <a:schemeClr val="accent1">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(Adjusted)'!$P$7:$P$107</c:f>
              <c:numCache>
                <c:formatCode>0.0000</c:formatCode>
                <c:ptCount val="101"/>
                <c:pt idx="16">
                  <c:v>59.937216602720547</c:v>
                </c:pt>
                <c:pt idx="17">
                  <c:v>45.706313219393088</c:v>
                </c:pt>
                <c:pt idx="18">
                  <c:v>32.581952505952849</c:v>
                </c:pt>
                <c:pt idx="19">
                  <c:v>49.381020230589215</c:v>
                </c:pt>
                <c:pt idx="20">
                  <c:v>75.540885403201784</c:v>
                </c:pt>
                <c:pt idx="21">
                  <c:v>59.016293153288352</c:v>
                </c:pt>
                <c:pt idx="22">
                  <c:v>41.867618205257564</c:v>
                </c:pt>
                <c:pt idx="23">
                  <c:v>40.213675047501212</c:v>
                </c:pt>
                <c:pt idx="33">
                  <c:v>56.206088992974237</c:v>
                </c:pt>
                <c:pt idx="34">
                  <c:v>42.611241217798657</c:v>
                </c:pt>
                <c:pt idx="35">
                  <c:v>38.360655737704946</c:v>
                </c:pt>
                <c:pt idx="36">
                  <c:v>37.888132454659292</c:v>
                </c:pt>
                <c:pt idx="37">
                  <c:v>59.016393442622878</c:v>
                </c:pt>
                <c:pt idx="38">
                  <c:v>57.330210772833695</c:v>
                </c:pt>
                <c:pt idx="39">
                  <c:v>67.576023025904149</c:v>
                </c:pt>
                <c:pt idx="40">
                  <c:v>53.099737204354845</c:v>
                </c:pt>
                <c:pt idx="41">
                  <c:v>43.715846994535589</c:v>
                </c:pt>
                <c:pt idx="42">
                  <c:v>35.62841219064768</c:v>
                </c:pt>
                <c:pt idx="43">
                  <c:v>34.843627124795809</c:v>
                </c:pt>
                <c:pt idx="44">
                  <c:v>31.243972999035741</c:v>
                </c:pt>
                <c:pt idx="45">
                  <c:v>58.108448928121057</c:v>
                </c:pt>
                <c:pt idx="46">
                  <c:v>63.556116015132424</c:v>
                </c:pt>
                <c:pt idx="47">
                  <c:v>43.581336696090865</c:v>
                </c:pt>
                <c:pt idx="48">
                  <c:v>45.324590163934459</c:v>
                </c:pt>
                <c:pt idx="49">
                  <c:v>43.565915133211824</c:v>
                </c:pt>
                <c:pt idx="50">
                  <c:v>34.772900223749467</c:v>
                </c:pt>
                <c:pt idx="51">
                  <c:v>44.470751730704933</c:v>
                </c:pt>
                <c:pt idx="55">
                  <c:v>26.014345848102529</c:v>
                </c:pt>
                <c:pt idx="56">
                  <c:v>63.913967656961766</c:v>
                </c:pt>
                <c:pt idx="58">
                  <c:v>50.84489281210589</c:v>
                </c:pt>
                <c:pt idx="66">
                  <c:v>68.571428571428541</c:v>
                </c:pt>
                <c:pt idx="68">
                  <c:v>55.076893310024928</c:v>
                </c:pt>
                <c:pt idx="69">
                  <c:v>80.357142857142819</c:v>
                </c:pt>
                <c:pt idx="71">
                  <c:v>55.498458376156179</c:v>
                </c:pt>
                <c:pt idx="72">
                  <c:v>53.912337662337698</c:v>
                </c:pt>
              </c:numCache>
            </c:numRef>
          </c:val>
          <c:smooth val="0"/>
        </c:ser>
        <c:ser>
          <c:idx val="8"/>
          <c:order val="5"/>
          <c:tx>
            <c:strRef>
              <c:f>'Wheat (Adjusted)'!$R$6</c:f>
              <c:strCache>
                <c:ptCount val="1"/>
                <c:pt idx="0">
                  <c:v>Damascus, Imports, in d/bushel</c:v>
                </c:pt>
              </c:strCache>
            </c:strRef>
          </c:tx>
          <c:spPr>
            <a:ln w="15875" cap="rnd">
              <a:solidFill>
                <a:schemeClr val="accent3">
                  <a:lumMod val="60000"/>
                </a:schemeClr>
              </a:solidFill>
              <a:round/>
            </a:ln>
            <a:effectLst/>
          </c:spPr>
          <c:marker>
            <c:symbol val="circle"/>
            <c:size val="3"/>
            <c:spPr>
              <a:solidFill>
                <a:schemeClr val="accent3">
                  <a:lumMod val="60000"/>
                </a:schemeClr>
              </a:solidFill>
              <a:ln w="9525">
                <a:solidFill>
                  <a:schemeClr val="accent3">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(Adjusted)'!$R$7:$R$107</c:f>
              <c:numCache>
                <c:formatCode>0.0000</c:formatCode>
                <c:ptCount val="101"/>
                <c:pt idx="9" formatCode="_(* #,##0.0000_);_(* \(#,##0.0000\);_(* &quot;-&quot;??_);_(@_)">
                  <c:v>23.563636363636359</c:v>
                </c:pt>
                <c:pt idx="23" formatCode="_(* #,##0.0000_);_(* \(#,##0.0000\);_(* &quot;-&quot;??_);_(@_)">
                  <c:v>43.199999999999996</c:v>
                </c:pt>
                <c:pt idx="26" formatCode="_(* #,##0.0000_);_(* \(#,##0.0000\);_(* &quot;-&quot;??_);_(@_)">
                  <c:v>47.127272727272718</c:v>
                </c:pt>
                <c:pt idx="31" formatCode="_(* #,##0.0000_);_(* \(#,##0.0000\);_(* &quot;-&quot;??_);_(@_)">
                  <c:v>157.09090909090909</c:v>
                </c:pt>
                <c:pt idx="34" formatCode="_(* #,##0.0000_);_(* \(#,##0.0000\);_(* &quot;-&quot;??_);_(@_)">
                  <c:v>62.836363636363636</c:v>
                </c:pt>
                <c:pt idx="36" formatCode="_(* #,##0.0000_);_(* \(#,##0.0000\);_(* &quot;-&quot;??_);_(@_)">
                  <c:v>41.236363636363635</c:v>
                </c:pt>
                <c:pt idx="38" formatCode="_(* #,##0.0000_);_(* \(#,##0.0000\);_(* &quot;-&quot;??_);_(@_)">
                  <c:v>64.8</c:v>
                </c:pt>
                <c:pt idx="39" formatCode="_(* #,##0.0000_);_(* \(#,##0.0000\);_(* &quot;-&quot;??_);_(@_)">
                  <c:v>127.63636363636363</c:v>
                </c:pt>
                <c:pt idx="40" formatCode="_(* #,##0.0000_);_(* \(#,##0.0000\);_(* &quot;-&quot;??_);_(@_)">
                  <c:v>62.836363636363636</c:v>
                </c:pt>
                <c:pt idx="42" formatCode="_(* #,##0.0000_);_(* \(#,##0.0000\);_(* &quot;-&quot;??_);_(@_)">
                  <c:v>64.8</c:v>
                </c:pt>
                <c:pt idx="44" formatCode="_(* #,##0.0000_);_(* \(#,##0.0000\);_(* &quot;-&quot;??_);_(@_)">
                  <c:v>37.309090909090905</c:v>
                </c:pt>
                <c:pt idx="45" formatCode="_(* #,##0.0000_);_(* \(#,##0.0000\);_(* &quot;-&quot;??_);_(@_)">
                  <c:v>64.8</c:v>
                </c:pt>
                <c:pt idx="46" formatCode="_(* #,##0.0000_);_(* \(#,##0.0000\);_(* &quot;-&quot;??_);_(@_)">
                  <c:v>68.727272727272734</c:v>
                </c:pt>
                <c:pt idx="47" formatCode="_(* #,##0.0000_);_(* \(#,##0.0000\);_(* &quot;-&quot;??_);_(@_)">
                  <c:v>39.272727272727273</c:v>
                </c:pt>
                <c:pt idx="48" formatCode="_(* #,##0.0000_);_(* \(#,##0.0000\);_(* &quot;-&quot;??_);_(@_)">
                  <c:v>39.272727272727273</c:v>
                </c:pt>
                <c:pt idx="49" formatCode="_(* #,##0.0000_);_(* \(#,##0.0000\);_(* &quot;-&quot;??_);_(@_)">
                  <c:v>31.418181818181818</c:v>
                </c:pt>
                <c:pt idx="58" formatCode="_(* #,##0.0000_);_(* \(#,##0.0000\);_(* &quot;-&quot;??_);_(@_)">
                  <c:v>51.054545454545455</c:v>
                </c:pt>
                <c:pt idx="60" formatCode="_(* #,##0.0000_);_(* \(#,##0.0000\);_(* &quot;-&quot;??_);_(@_)">
                  <c:v>132.54545454545453</c:v>
                </c:pt>
                <c:pt idx="61" formatCode="_(* #,##0.0000_);_(* \(#,##0.0000\);_(* &quot;-&quot;??_);_(@_)">
                  <c:v>59.890909090909098</c:v>
                </c:pt>
                <c:pt idx="63" formatCode="_(* #,##0.0000_);_(* \(#,##0.0000\);_(* &quot;-&quot;??_);_(@_)">
                  <c:v>49.090909090909086</c:v>
                </c:pt>
                <c:pt idx="66" formatCode="_(* #,##0.0000_);_(* \(#,##0.0000\);_(* &quot;-&quot;??_);_(@_)">
                  <c:v>67.25454545454545</c:v>
                </c:pt>
                <c:pt idx="71" formatCode="_(* #,##0.0000_);_(* \(#,##0.0000\);_(* &quot;-&quot;??_);_(@_)">
                  <c:v>71.181818181818173</c:v>
                </c:pt>
              </c:numCache>
            </c:numRef>
          </c:val>
          <c:smooth val="0"/>
        </c:ser>
        <c:ser>
          <c:idx val="9"/>
          <c:order val="6"/>
          <c:tx>
            <c:strRef>
              <c:f>'Wheat (Adjusted)'!$S$6</c:f>
              <c:strCache>
                <c:ptCount val="1"/>
                <c:pt idx="0">
                  <c:v>Damascus, Exports, in d/bushel</c:v>
                </c:pt>
              </c:strCache>
            </c:strRef>
          </c:tx>
          <c:spPr>
            <a:ln w="15875" cap="rnd">
              <a:solidFill>
                <a:schemeClr val="accent4">
                  <a:lumMod val="60000"/>
                </a:schemeClr>
              </a:solidFill>
              <a:round/>
            </a:ln>
            <a:effectLst/>
          </c:spPr>
          <c:marker>
            <c:symbol val="circle"/>
            <c:size val="3"/>
            <c:spPr>
              <a:solidFill>
                <a:schemeClr val="accent4">
                  <a:lumMod val="60000"/>
                </a:schemeClr>
              </a:solidFill>
              <a:ln w="9525">
                <a:solidFill>
                  <a:schemeClr val="accent4">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(Adjusted)'!$S$7:$S$107</c:f>
              <c:numCache>
                <c:formatCode>0.0000</c:formatCode>
                <c:ptCount val="101"/>
                <c:pt idx="44" formatCode="_(* #,##0.0000_);_(* \(#,##0.0000\);_(* &quot;-&quot;??_);_(@_)">
                  <c:v>53.436246750000002</c:v>
                </c:pt>
                <c:pt idx="62" formatCode="_(* #,##0.0000_);_(* \(#,##0.0000\);_(* &quot;-&quot;??_);_(@_)">
                  <c:v>35.835428571428572</c:v>
                </c:pt>
                <c:pt idx="63" formatCode="_(* #,##0.0000_);_(* \(#,##0.0000\);_(* &quot;-&quot;??_);_(@_)">
                  <c:v>36.000000000000007</c:v>
                </c:pt>
                <c:pt idx="64" formatCode="_(* #,##0.0000_);_(* \(#,##0.0000\);_(* &quot;-&quot;??_);_(@_)">
                  <c:v>39</c:v>
                </c:pt>
                <c:pt idx="65" formatCode="_(* #,##0.0000_);_(* \(#,##0.0000\);_(* &quot;-&quot;??_);_(@_)">
                  <c:v>44</c:v>
                </c:pt>
                <c:pt idx="66" formatCode="_(* #,##0.0000_);_(* \(#,##0.0000\);_(* &quot;-&quot;??_);_(@_)">
                  <c:v>41.6</c:v>
                </c:pt>
                <c:pt idx="68" formatCode="_(* #,##0.0000_);_(* \(#,##0.0000\);_(* &quot;-&quot;??_);_(@_)">
                  <c:v>64</c:v>
                </c:pt>
                <c:pt idx="69" formatCode="_(* #,##0.0000_);_(* \(#,##0.0000\);_(* &quot;-&quot;??_);_(@_)">
                  <c:v>72.000000000000014</c:v>
                </c:pt>
                <c:pt idx="70" formatCode="_(* #,##0.0000_);_(* \(#,##0.0000\);_(* &quot;-&quot;??_);_(@_)">
                  <c:v>80.533333333333346</c:v>
                </c:pt>
                <c:pt idx="71" formatCode="_(* #,##0.0000_);_(* \(#,##0.0000\);_(* &quot;-&quot;??_);_(@_)">
                  <c:v>78</c:v>
                </c:pt>
              </c:numCache>
            </c:numRef>
          </c:val>
          <c:smooth val="0"/>
        </c:ser>
        <c:ser>
          <c:idx val="10"/>
          <c:order val="7"/>
          <c:tx>
            <c:strRef>
              <c:f>'Wheat (Adjusted)'!$T$6</c:f>
              <c:strCache>
                <c:ptCount val="1"/>
                <c:pt idx="0">
                  <c:v>Beirut, Exports, in d/bushel</c:v>
                </c:pt>
              </c:strCache>
            </c:strRef>
          </c:tx>
          <c:spPr>
            <a:ln w="15875" cap="rnd">
              <a:solidFill>
                <a:schemeClr val="accent5">
                  <a:lumMod val="60000"/>
                </a:schemeClr>
              </a:solidFill>
              <a:round/>
            </a:ln>
            <a:effectLst/>
          </c:spPr>
          <c:marker>
            <c:symbol val="circle"/>
            <c:size val="3"/>
            <c:spPr>
              <a:solidFill>
                <a:schemeClr val="accent5">
                  <a:lumMod val="60000"/>
                </a:schemeClr>
              </a:solidFill>
              <a:ln w="9525">
                <a:solidFill>
                  <a:schemeClr val="accent5">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(Adjusted)'!$T$7:$T$107</c:f>
              <c:numCache>
                <c:formatCode>0.0000</c:formatCode>
                <c:ptCount val="101"/>
                <c:pt idx="32">
                  <c:v>66.036585365853654</c:v>
                </c:pt>
                <c:pt idx="34">
                  <c:v>34.49939024390244</c:v>
                </c:pt>
                <c:pt idx="35">
                  <c:v>51.707317073170721</c:v>
                </c:pt>
                <c:pt idx="36">
                  <c:v>46.829268292682926</c:v>
                </c:pt>
                <c:pt idx="37">
                  <c:v>97.457857142857137</c:v>
                </c:pt>
                <c:pt idx="38">
                  <c:v>52.545921787709496</c:v>
                </c:pt>
                <c:pt idx="39">
                  <c:v>72.980446927374274</c:v>
                </c:pt>
                <c:pt idx="43">
                  <c:v>39.272727272727266</c:v>
                </c:pt>
                <c:pt idx="48">
                  <c:v>60</c:v>
                </c:pt>
                <c:pt idx="59">
                  <c:v>44.634146341463413</c:v>
                </c:pt>
                <c:pt idx="60">
                  <c:v>32.926829268292686</c:v>
                </c:pt>
                <c:pt idx="61">
                  <c:v>34.390243902439032</c:v>
                </c:pt>
              </c:numCache>
            </c:numRef>
          </c:val>
          <c:smooth val="0"/>
        </c:ser>
        <c:ser>
          <c:idx val="11"/>
          <c:order val="8"/>
          <c:tx>
            <c:strRef>
              <c:f>'Wheat (Adjusted)'!$U$6</c:f>
              <c:strCache>
                <c:ptCount val="1"/>
                <c:pt idx="0">
                  <c:v>Alexandria, Exports, in d/bushel</c:v>
                </c:pt>
              </c:strCache>
            </c:strRef>
          </c:tx>
          <c:spPr>
            <a:ln w="15875" cap="rnd">
              <a:solidFill>
                <a:schemeClr val="accent6">
                  <a:lumMod val="60000"/>
                </a:schemeClr>
              </a:solidFill>
              <a:round/>
            </a:ln>
            <a:effectLst/>
          </c:spPr>
          <c:marker>
            <c:symbol val="circle"/>
            <c:size val="3"/>
            <c:spPr>
              <a:solidFill>
                <a:schemeClr val="accent6">
                  <a:lumMod val="60000"/>
                </a:schemeClr>
              </a:solidFill>
              <a:ln w="9525">
                <a:solidFill>
                  <a:schemeClr val="accent6">
                    <a:lumMod val="6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(Adjusted)'!$U$7:$U$107</c:f>
              <c:numCache>
                <c:formatCode>0.0000</c:formatCode>
                <c:ptCount val="101"/>
                <c:pt idx="8" formatCode="_(* #,##0.0000_);_(* \(#,##0.0000\);_(* &quot;-&quot;??_);_(@_)">
                  <c:v>23.321149090909095</c:v>
                </c:pt>
                <c:pt idx="9" formatCode="_(* #,##0.0000_);_(* \(#,##0.0000\);_(* &quot;-&quot;??_);_(@_)">
                  <c:v>17.490861818181816</c:v>
                </c:pt>
                <c:pt idx="10" formatCode="_(* #,##0.0000_);_(* \(#,##0.0000\);_(* &quot;-&quot;??_);_(@_)">
                  <c:v>20.822454545454544</c:v>
                </c:pt>
                <c:pt idx="12" formatCode="_(* #,##0.0000_);_(* \(#,##0.0000\);_(* &quot;-&quot;??_);_(@_)">
                  <c:v>27.48564</c:v>
                </c:pt>
                <c:pt idx="19" formatCode="_(* #,##0.0000_);_(* \(#,##0.0000\);_(* &quot;-&quot;??_);_(@_)">
                  <c:v>30.817232727272724</c:v>
                </c:pt>
                <c:pt idx="26" formatCode="_(* #,##0.0000_);_(* \(#,##0.0000\);_(* &quot;-&quot;??_);_(@_)">
                  <c:v>52.889034545454543</c:v>
                </c:pt>
                <c:pt idx="27" formatCode="_(* #,##0.0000_);_(* \(#,##0.0000\);_(* &quot;-&quot;??_);_(@_)">
                  <c:v>50.806789090909092</c:v>
                </c:pt>
                <c:pt idx="28" formatCode="_(* #,##0.0000_);_(* \(#,##0.0000\);_(* &quot;-&quot;??_);_(@_)">
                  <c:v>47.891645454545447</c:v>
                </c:pt>
                <c:pt idx="29" formatCode="_(* #,##0.0000_);_(* \(#,##0.0000\);_(* &quot;-&quot;??_);_(@_)">
                  <c:v>36.647519999999993</c:v>
                </c:pt>
                <c:pt idx="30" formatCode="_(* #,##0.0000_);_(* \(#,##0.0000\);_(* &quot;-&quot;??_);_(@_)">
                  <c:v>42.477807272727276</c:v>
                </c:pt>
                <c:pt idx="31" formatCode="_(* #,##0.0000_);_(* \(#,##0.0000\);_(* &quot;-&quot;??_);_(@_)">
                  <c:v>51.223238181818182</c:v>
                </c:pt>
                <c:pt idx="32" formatCode="_(* #,##0.0000_);_(* \(#,##0.0000\);_(* &quot;-&quot;??_);_(@_)">
                  <c:v>43.310705454545456</c:v>
                </c:pt>
                <c:pt idx="33" formatCode="_(* #,##0.0000_);_(* \(#,##0.0000\);_(* &quot;-&quot;??_);_(@_)">
                  <c:v>49.557441818181815</c:v>
                </c:pt>
                <c:pt idx="39" formatCode="_(* #,##0.0000_);_(* \(#,##0.0000\);_(* &quot;-&quot;??_);_(@_)">
                  <c:v>48.724543636363627</c:v>
                </c:pt>
                <c:pt idx="40" formatCode="_(* #,##0.0000_);_(* \(#,##0.0000\);_(* &quot;-&quot;??_);_(@_)">
                  <c:v>45.892689818181815</c:v>
                </c:pt>
                <c:pt idx="41" formatCode="_(* #,##0.0000_);_(* \(#,##0.0000\);_(* &quot;-&quot;??_);_(@_)">
                  <c:v>45.892689818181815</c:v>
                </c:pt>
                <c:pt idx="42" formatCode="_(* #,##0.0000_);_(* \(#,##0.0000\);_(* &quot;-&quot;??_);_(@_)">
                  <c:v>45.892689818181815</c:v>
                </c:pt>
                <c:pt idx="43" formatCode="_(* #,##0.0000_);_(* \(#,##0.0000\);_(* &quot;-&quot;??_);_(@_)">
                  <c:v>45.892689818181815</c:v>
                </c:pt>
                <c:pt idx="44" formatCode="_(* #,##0.0000_);_(* \(#,##0.0000\);_(* &quot;-&quot;??_);_(@_)">
                  <c:v>45.892689818181815</c:v>
                </c:pt>
                <c:pt idx="45" formatCode="_(* #,##0.0000_);_(* \(#,##0.0000\);_(* &quot;-&quot;??_);_(@_)">
                  <c:v>41.603264181818176</c:v>
                </c:pt>
                <c:pt idx="46" formatCode="_(* #,##0.0000_);_(* \(#,##0.0000\);_(* &quot;-&quot;??_);_(@_)">
                  <c:v>41.603264181818176</c:v>
                </c:pt>
                <c:pt idx="47" formatCode="_(* #,##0.0000_);_(* \(#,##0.0000\);_(* &quot;-&quot;??_);_(@_)">
                  <c:v>41.603264181818176</c:v>
                </c:pt>
                <c:pt idx="48" formatCode="_(* #,##0.0000_);_(* \(#,##0.0000\);_(* &quot;-&quot;??_);_(@_)">
                  <c:v>41.603264181818176</c:v>
                </c:pt>
                <c:pt idx="49" formatCode="_(* #,##0.0000_);_(* \(#,##0.0000\);_(* &quot;-&quot;??_);_(@_)">
                  <c:v>33.202946102699642</c:v>
                </c:pt>
                <c:pt idx="50" formatCode="_(* #,##0.0000_);_(* \(#,##0.0000\);_(* &quot;-&quot;??_);_(@_)">
                  <c:v>34.81952245791976</c:v>
                </c:pt>
                <c:pt idx="51" formatCode="_(* #,##0.0000_);_(* \(#,##0.0000\);_(* &quot;-&quot;??_);_(@_)">
                  <c:v>35.057253867846221</c:v>
                </c:pt>
                <c:pt idx="52" formatCode="_(* #,##0.0000_);_(* \(#,##0.0000\);_(* &quot;-&quot;??_);_(@_)">
                  <c:v>35.877747990918046</c:v>
                </c:pt>
                <c:pt idx="53" formatCode="_(* #,##0.0000_);_(* \(#,##0.0000\);_(* &quot;-&quot;??_);_(@_)">
                  <c:v>33.398418221047145</c:v>
                </c:pt>
                <c:pt idx="54" formatCode="_(* #,##0.0000_);_(* \(#,##0.0000\);_(* &quot;-&quot;??_);_(@_)">
                  <c:v>25.708735164284665</c:v>
                </c:pt>
                <c:pt idx="55" formatCode="_(* #,##0.0000_);_(* \(#,##0.0000\);_(* &quot;-&quot;??_);_(@_)">
                  <c:v>24.796916768236322</c:v>
                </c:pt>
                <c:pt idx="56" formatCode="_(* #,##0.0000_);_(* \(#,##0.0000\);_(* &quot;-&quot;??_);_(@_)">
                  <c:v>30.084854890071522</c:v>
                </c:pt>
                <c:pt idx="57" formatCode="_(* #,##0.0000_);_(* \(#,##0.0000\);_(* &quot;-&quot;??_);_(@_)">
                  <c:v>36.074435601630746</c:v>
                </c:pt>
                <c:pt idx="58" formatCode="_(* #,##0.0000_);_(* \(#,##0.0000\);_(* &quot;-&quot;??_);_(@_)">
                  <c:v>37.25513941916801</c:v>
                </c:pt>
                <c:pt idx="59" formatCode="_(* #,##0.0000_);_(* \(#,##0.0000\);_(* &quot;-&quot;??_);_(@_)">
                  <c:v>34.164308071157301</c:v>
                </c:pt>
                <c:pt idx="60" formatCode="_(* #,##0.0000_);_(* \(#,##0.0000\);_(* &quot;-&quot;??_);_(@_)">
                  <c:v>38.084223599999994</c:v>
                </c:pt>
                <c:pt idx="61" formatCode="_(* #,##0.0000_);_(* \(#,##0.0000\);_(* &quot;-&quot;??_);_(@_)">
                  <c:v>38.981104729411761</c:v>
                </c:pt>
                <c:pt idx="62" formatCode="_(* #,##0.0000_);_(* \(#,##0.0000\);_(* &quot;-&quot;??_);_(@_)">
                  <c:v>38.263024498353225</c:v>
                </c:pt>
                <c:pt idx="63" formatCode="_(* #,##0.0000_);_(* \(#,##0.0000\);_(* &quot;-&quot;??_);_(@_)">
                  <c:v>35.200877040158495</c:v>
                </c:pt>
                <c:pt idx="64" formatCode="_(* #,##0.0000_);_(* \(#,##0.0000\);_(* &quot;-&quot;??_);_(@_)">
                  <c:v>34.791789569410952</c:v>
                </c:pt>
                <c:pt idx="65" formatCode="_(* #,##0.0000_);_(* \(#,##0.0000\);_(* &quot;-&quot;??_);_(@_)">
                  <c:v>39.827412709786003</c:v>
                </c:pt>
                <c:pt idx="66" formatCode="_(* #,##0.0000_);_(* \(#,##0.0000\);_(* &quot;-&quot;??_);_(@_)">
                  <c:v>41.311385941994509</c:v>
                </c:pt>
                <c:pt idx="67" formatCode="_(* #,##0.0000_);_(* \(#,##0.0000\);_(* &quot;-&quot;??_);_(@_)">
                  <c:v>39.419525394354466</c:v>
                </c:pt>
                <c:pt idx="68" formatCode="_(* #,##0.0000_);_(* \(#,##0.0000\);_(* &quot;-&quot;??_);_(@_)">
                  <c:v>49.907019001544001</c:v>
                </c:pt>
                <c:pt idx="69" formatCode="_(* #,##0.0000_);_(* \(#,##0.0000\);_(* &quot;-&quot;??_);_(@_)">
                  <c:v>48.018477444191348</c:v>
                </c:pt>
                <c:pt idx="70" formatCode="_(* #,##0.0000_);_(* \(#,##0.0000\);_(* &quot;-&quot;??_);_(@_)">
                  <c:v>41.103727623995347</c:v>
                </c:pt>
                <c:pt idx="71" formatCode="_(* #,##0.0000_);_(* \(#,##0.0000\);_(* &quot;-&quot;??_);_(@_)">
                  <c:v>44.032328963579133</c:v>
                </c:pt>
              </c:numCache>
            </c:numRef>
          </c:val>
          <c:smooth val="0"/>
        </c:ser>
        <c:ser>
          <c:idx val="12"/>
          <c:order val="9"/>
          <c:tx>
            <c:strRef>
              <c:f>'Wheat (Adjusted)'!$V$6</c:f>
              <c:strCache>
                <c:ptCount val="1"/>
                <c:pt idx="0">
                  <c:v>Istanbul (Rumeli), , in d/bushel</c:v>
                </c:pt>
              </c:strCache>
            </c:strRef>
          </c:tx>
          <c:spPr>
            <a:ln w="15875" cap="rnd">
              <a:solidFill>
                <a:schemeClr val="accent1">
                  <a:lumMod val="80000"/>
                  <a:lumOff val="20000"/>
                </a:schemeClr>
              </a:solidFill>
              <a:round/>
            </a:ln>
            <a:effectLst/>
          </c:spPr>
          <c:marker>
            <c:symbol val="circle"/>
            <c:size val="3"/>
            <c:spPr>
              <a:solidFill>
                <a:schemeClr val="accent1">
                  <a:lumMod val="80000"/>
                  <a:lumOff val="20000"/>
                </a:schemeClr>
              </a:solidFill>
              <a:ln w="9525">
                <a:solidFill>
                  <a:schemeClr val="accent1">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(Adjusted)'!$V$7:$V$107</c:f>
              <c:numCache>
                <c:formatCode>0.0000</c:formatCode>
                <c:ptCount val="101"/>
                <c:pt idx="36" formatCode="_(* #,##0.0000_);_(* \(#,##0.0000\);_(* &quot;-&quot;??_);_(@_)">
                  <c:v>52.458233215547715</c:v>
                </c:pt>
                <c:pt idx="37" formatCode="_(* #,##0.0000_);_(* \(#,##0.0000\);_(* &quot;-&quot;??_);_(@_)">
                  <c:v>64.399293286219077</c:v>
                </c:pt>
                <c:pt idx="38" formatCode="_(* #,##0.0000_);_(* \(#,##0.0000\);_(* &quot;-&quot;??_);_(@_)">
                  <c:v>59.338939929328617</c:v>
                </c:pt>
                <c:pt idx="39" formatCode="_(* #,##0.0000_);_(* \(#,##0.0000\);_(* &quot;-&quot;??_);_(@_)">
                  <c:v>50.592084805653712</c:v>
                </c:pt>
                <c:pt idx="40" formatCode="_(* #,##0.0000_);_(* \(#,##0.0000\);_(* &quot;-&quot;??_);_(@_)">
                  <c:v>63.094134275618373</c:v>
                </c:pt>
                <c:pt idx="41" formatCode="_(* #,##0.0000_);_(* \(#,##0.0000\);_(* &quot;-&quot;??_);_(@_)">
                  <c:v>61.525653710247347</c:v>
                </c:pt>
                <c:pt idx="42" formatCode="_(* #,##0.0000_);_(* \(#,##0.0000\);_(* &quot;-&quot;??_);_(@_)">
                  <c:v>64.239010600706706</c:v>
                </c:pt>
                <c:pt idx="45" formatCode="_(* #,##0.0000_);_(* \(#,##0.0000\);_(* &quot;-&quot;??_);_(@_)">
                  <c:v>42.268833922261479</c:v>
                </c:pt>
                <c:pt idx="46" formatCode="_(* #,##0.0000_);_(* \(#,##0.0000\);_(* &quot;-&quot;??_);_(@_)">
                  <c:v>41.570459363957603</c:v>
                </c:pt>
                <c:pt idx="47" formatCode="_(* #,##0.0000_);_(* \(#,##0.0000\);_(* &quot;-&quot;??_);_(@_)">
                  <c:v>45.085229681978802</c:v>
                </c:pt>
                <c:pt idx="48" formatCode="_(* #,##0.0000_);_(* \(#,##0.0000\);_(* &quot;-&quot;??_);_(@_)">
                  <c:v>41.982614840989399</c:v>
                </c:pt>
                <c:pt idx="49" formatCode="_(* #,##0.0000_);_(* \(#,##0.0000\);_(* &quot;-&quot;??_);_(@_)">
                  <c:v>42.463462897526512</c:v>
                </c:pt>
                <c:pt idx="52" formatCode="_(* #,##0.0000_);_(* \(#,##0.0000\);_(* &quot;-&quot;??_);_(@_)">
                  <c:v>49.802120141342755</c:v>
                </c:pt>
                <c:pt idx="53" formatCode="_(* #,##0.0000_);_(* \(#,##0.0000\);_(* &quot;-&quot;??_);_(@_)">
                  <c:v>42.93286219081272</c:v>
                </c:pt>
                <c:pt idx="54" formatCode="_(* #,##0.0000_);_(* \(#,##0.0000\);_(* &quot;-&quot;??_);_(@_)">
                  <c:v>27.282402826855126</c:v>
                </c:pt>
                <c:pt idx="55" formatCode="_(* #,##0.0000_);_(* \(#,##0.0000\);_(* &quot;-&quot;??_);_(@_)">
                  <c:v>28.049469964664311</c:v>
                </c:pt>
                <c:pt idx="56" formatCode="_(* #,##0.0000_);_(* \(#,##0.0000\);_(* &quot;-&quot;??_);_(@_)">
                  <c:v>31.552791519434631</c:v>
                </c:pt>
                <c:pt idx="57" formatCode="_(* #,##0.0000_);_(* \(#,##0.0000\);_(* &quot;-&quot;??_);_(@_)">
                  <c:v>33.201413427561839</c:v>
                </c:pt>
                <c:pt idx="58" formatCode="_(* #,##0.0000_);_(* \(#,##0.0000\);_(* &quot;-&quot;??_);_(@_)">
                  <c:v>46.367491166077741</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46.081272084805654</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13"/>
          <c:order val="10"/>
          <c:tx>
            <c:strRef>
              <c:f>'Wheat (Adjusted)'!$W$6</c:f>
              <c:strCache>
                <c:ptCount val="1"/>
                <c:pt idx="0">
                  <c:v>Istanbul (Anatolia), , in d/bushel</c:v>
                </c:pt>
              </c:strCache>
            </c:strRef>
          </c:tx>
          <c:spPr>
            <a:ln w="15875" cap="rnd">
              <a:solidFill>
                <a:schemeClr val="accent2">
                  <a:lumMod val="80000"/>
                  <a:lumOff val="20000"/>
                </a:schemeClr>
              </a:solidFill>
              <a:round/>
            </a:ln>
            <a:effectLst/>
          </c:spPr>
          <c:marker>
            <c:symbol val="circle"/>
            <c:size val="3"/>
            <c:spPr>
              <a:solidFill>
                <a:schemeClr val="accent2">
                  <a:lumMod val="80000"/>
                  <a:lumOff val="20000"/>
                </a:schemeClr>
              </a:solidFill>
              <a:ln w="9525">
                <a:solidFill>
                  <a:schemeClr val="accent2">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(Adjusted)'!$W$7:$W$107</c:f>
              <c:numCache>
                <c:formatCode>0.0000</c:formatCode>
                <c:ptCount val="101"/>
                <c:pt idx="46" formatCode="_(* #,##0.0000_);_(* \(#,##0.0000\);_(* &quot;-&quot;??_);_(@_)">
                  <c:v>41.570459363957603</c:v>
                </c:pt>
                <c:pt idx="47" formatCode="_(* #,##0.0000_);_(* \(#,##0.0000\);_(* &quot;-&quot;??_);_(@_)">
                  <c:v>45.096678445229678</c:v>
                </c:pt>
                <c:pt idx="56" formatCode="_(* #,##0.0000_);_(* \(#,##0.0000\);_(* &quot;-&quot;??_);_(@_)">
                  <c:v>30.94600706713781</c:v>
                </c:pt>
                <c:pt idx="57" formatCode="_(* #,##0.0000_);_(* \(#,##0.0000\);_(* &quot;-&quot;??_);_(@_)">
                  <c:v>38.937243816254416</c:v>
                </c:pt>
                <c:pt idx="58" formatCode="_(* #,##0.0000_);_(* \(#,##0.0000\);_(* &quot;-&quot;??_);_(@_)">
                  <c:v>49.092296819787997</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42.646643109540641</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val>
          <c:smooth val="0"/>
        </c:ser>
        <c:ser>
          <c:idx val="14"/>
          <c:order val="11"/>
          <c:tx>
            <c:strRef>
              <c:f>'Wheat (Adjusted)'!$X$6</c:f>
              <c:strCache>
                <c:ptCount val="1"/>
                <c:pt idx="0">
                  <c:v>Turkey &amp; Constantinople, Imports, in d/bushel</c:v>
                </c:pt>
              </c:strCache>
            </c:strRef>
          </c:tx>
          <c:spPr>
            <a:ln w="15875" cap="rnd">
              <a:solidFill>
                <a:schemeClr val="accent3">
                  <a:lumMod val="80000"/>
                  <a:lumOff val="20000"/>
                </a:schemeClr>
              </a:solidFill>
              <a:round/>
            </a:ln>
            <a:effectLst/>
          </c:spPr>
          <c:marker>
            <c:symbol val="circle"/>
            <c:size val="3"/>
            <c:spPr>
              <a:solidFill>
                <a:schemeClr val="accent3">
                  <a:lumMod val="80000"/>
                  <a:lumOff val="20000"/>
                </a:schemeClr>
              </a:solidFill>
              <a:ln w="9525">
                <a:solidFill>
                  <a:schemeClr val="accent3">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(Adjusted)'!$X$7:$X$107</c:f>
              <c:numCache>
                <c:formatCode>0.0000</c:formatCode>
                <c:ptCount val="101"/>
                <c:pt idx="49">
                  <c:v>98.157671753255343</c:v>
                </c:pt>
                <c:pt idx="50">
                  <c:v>126.17116438830043</c:v>
                </c:pt>
                <c:pt idx="67">
                  <c:v>57.208375534591028</c:v>
                </c:pt>
                <c:pt idx="70">
                  <c:v>47.458576737058046</c:v>
                </c:pt>
                <c:pt idx="71">
                  <c:v>44.990941421190342</c:v>
                </c:pt>
              </c:numCache>
            </c:numRef>
          </c:val>
          <c:smooth val="0"/>
        </c:ser>
        <c:ser>
          <c:idx val="15"/>
          <c:order val="12"/>
          <c:tx>
            <c:strRef>
              <c:f>'Wheat (Adjusted)'!$Y$6</c:f>
              <c:strCache>
                <c:ptCount val="1"/>
                <c:pt idx="0">
                  <c:v>Turkey &amp; Constantinople, Exports, in d/bushel</c:v>
                </c:pt>
              </c:strCache>
            </c:strRef>
          </c:tx>
          <c:spPr>
            <a:ln w="15875" cap="rnd">
              <a:solidFill>
                <a:schemeClr val="accent4">
                  <a:lumMod val="80000"/>
                  <a:lumOff val="20000"/>
                </a:schemeClr>
              </a:solidFill>
              <a:round/>
            </a:ln>
            <a:effectLst/>
          </c:spPr>
          <c:marker>
            <c:symbol val="circle"/>
            <c:size val="3"/>
            <c:spPr>
              <a:solidFill>
                <a:schemeClr val="accent4">
                  <a:lumMod val="80000"/>
                  <a:lumOff val="20000"/>
                </a:schemeClr>
              </a:solidFill>
              <a:ln w="9525">
                <a:solidFill>
                  <a:schemeClr val="accent4">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(Adjusted)'!$Y$7:$Y$107</c:f>
              <c:numCache>
                <c:formatCode>0.0000</c:formatCode>
                <c:ptCount val="101"/>
                <c:pt idx="6">
                  <c:v>39.433092993825618</c:v>
                </c:pt>
                <c:pt idx="22">
                  <c:v>43.285714285714256</c:v>
                </c:pt>
                <c:pt idx="32">
                  <c:v>59.142857142857132</c:v>
                </c:pt>
                <c:pt idx="44">
                  <c:v>89.772367558462705</c:v>
                </c:pt>
                <c:pt idx="45">
                  <c:v>85.760074394249131</c:v>
                </c:pt>
                <c:pt idx="49">
                  <c:v>85.196111759747993</c:v>
                </c:pt>
                <c:pt idx="50">
                  <c:v>88.019877485057776</c:v>
                </c:pt>
                <c:pt idx="52">
                  <c:v>36.657359173582904</c:v>
                </c:pt>
                <c:pt idx="53">
                  <c:v>32.1276175948312</c:v>
                </c:pt>
                <c:pt idx="54">
                  <c:v>32.797219393052416</c:v>
                </c:pt>
                <c:pt idx="55">
                  <c:v>40.260826771653534</c:v>
                </c:pt>
                <c:pt idx="56">
                  <c:v>41.710256968641104</c:v>
                </c:pt>
                <c:pt idx="60">
                  <c:v>37.763428008998886</c:v>
                </c:pt>
                <c:pt idx="61">
                  <c:v>38.898694533163813</c:v>
                </c:pt>
                <c:pt idx="71">
                  <c:v>30.14521129549173</c:v>
                </c:pt>
              </c:numCache>
            </c:numRef>
          </c:val>
          <c:smooth val="0"/>
        </c:ser>
        <c:ser>
          <c:idx val="16"/>
          <c:order val="13"/>
          <c:tx>
            <c:strRef>
              <c:f>'Wheat (Adjusted)'!$Z$6</c:f>
              <c:strCache>
                <c:ptCount val="1"/>
                <c:pt idx="0">
                  <c:v>Trebizond (Anatolia), Exports, in d/bushel</c:v>
                </c:pt>
              </c:strCache>
            </c:strRef>
          </c:tx>
          <c:spPr>
            <a:ln w="15875" cap="rnd">
              <a:solidFill>
                <a:schemeClr val="accent5">
                  <a:lumMod val="80000"/>
                  <a:lumOff val="20000"/>
                </a:schemeClr>
              </a:solidFill>
              <a:round/>
            </a:ln>
            <a:effectLst/>
          </c:spPr>
          <c:marker>
            <c:symbol val="circle"/>
            <c:size val="3"/>
            <c:spPr>
              <a:solidFill>
                <a:schemeClr val="accent5">
                  <a:lumMod val="80000"/>
                  <a:lumOff val="20000"/>
                </a:schemeClr>
              </a:solidFill>
              <a:ln w="9525">
                <a:solidFill>
                  <a:schemeClr val="accent5">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(Adjusted)'!$Z$7:$Z$107</c:f>
              <c:numCache>
                <c:formatCode>0.0000</c:formatCode>
                <c:ptCount val="101"/>
                <c:pt idx="29">
                  <c:v>60</c:v>
                </c:pt>
                <c:pt idx="30">
                  <c:v>60</c:v>
                </c:pt>
                <c:pt idx="31">
                  <c:v>60</c:v>
                </c:pt>
                <c:pt idx="32">
                  <c:v>60</c:v>
                </c:pt>
                <c:pt idx="33">
                  <c:v>60</c:v>
                </c:pt>
                <c:pt idx="35">
                  <c:v>48</c:v>
                </c:pt>
                <c:pt idx="44">
                  <c:v>45</c:v>
                </c:pt>
              </c:numCache>
            </c:numRef>
          </c:val>
          <c:smooth val="0"/>
        </c:ser>
        <c:ser>
          <c:idx val="17"/>
          <c:order val="14"/>
          <c:tx>
            <c:strRef>
              <c:f>'Wheat (Adjusted)'!$AA$6</c:f>
              <c:strCache>
                <c:ptCount val="1"/>
                <c:pt idx="0">
                  <c:v>Izmir, Exports, in d/bushel</c:v>
                </c:pt>
              </c:strCache>
            </c:strRef>
          </c:tx>
          <c:spPr>
            <a:ln w="15875" cap="rnd">
              <a:solidFill>
                <a:schemeClr val="accent6">
                  <a:lumMod val="80000"/>
                  <a:lumOff val="20000"/>
                </a:schemeClr>
              </a:solidFill>
              <a:round/>
            </a:ln>
            <a:effectLst/>
          </c:spPr>
          <c:marker>
            <c:symbol val="circle"/>
            <c:size val="3"/>
            <c:spPr>
              <a:solidFill>
                <a:schemeClr val="accent6">
                  <a:lumMod val="80000"/>
                  <a:lumOff val="20000"/>
                </a:schemeClr>
              </a:solidFill>
              <a:ln w="9525">
                <a:solidFill>
                  <a:schemeClr val="accent6">
                    <a:lumMod val="80000"/>
                    <a:lumOff val="2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(Adjusted)'!$AA$7:$AA$107</c:f>
              <c:numCache>
                <c:formatCode>0.0000</c:formatCode>
                <c:ptCount val="101"/>
                <c:pt idx="49" formatCode="_(* #,##0.0000_);_(* \(#,##0.0000\);_(* &quot;-&quot;??_);_(@_)">
                  <c:v>58.831988913438529</c:v>
                </c:pt>
                <c:pt idx="50" formatCode="_(* #,##0.0000_);_(* \(#,##0.0000\);_(* &quot;-&quot;??_);_(@_)">
                  <c:v>72.949870247768914</c:v>
                </c:pt>
                <c:pt idx="51" formatCode="_(* #,##0.0000_);_(* \(#,##0.0000\);_(* &quot;-&quot;??_);_(@_)">
                  <c:v>58.831988913438529</c:v>
                </c:pt>
                <c:pt idx="52" formatCode="_(* #,##0.0000_);_(* \(#,##0.0000\);_(* &quot;-&quot;??_);_(@_)">
                  <c:v>58.831988913438529</c:v>
                </c:pt>
                <c:pt idx="54" formatCode="_(* #,##0.0000_);_(* \(#,##0.0000\);_(* &quot;-&quot;??_);_(@_)">
                  <c:v>58.831988913438529</c:v>
                </c:pt>
                <c:pt idx="61" formatCode="_(* #,##0.0000_);_(* \(#,##0.0000\);_(* &quot;-&quot;??_);_(@_)">
                  <c:v>22.678826166700631</c:v>
                </c:pt>
                <c:pt idx="67" formatCode="_(* #,##0.0000_);_(* \(#,##0.0000\);_(* &quot;-&quot;??_);_(@_)">
                  <c:v>7.5348999534667298</c:v>
                </c:pt>
              </c:numCache>
            </c:numRef>
          </c:val>
          <c:smooth val="0"/>
        </c:ser>
        <c:ser>
          <c:idx val="18"/>
          <c:order val="15"/>
          <c:tx>
            <c:strRef>
              <c:f>'Wheat (Adjusted)'!$AB$6</c:f>
              <c:strCache>
                <c:ptCount val="1"/>
                <c:pt idx="0">
                  <c:v>Alexandretta, Imports, in d/bushel</c:v>
                </c:pt>
              </c:strCache>
            </c:strRef>
          </c:tx>
          <c:spPr>
            <a:ln w="15875" cap="rnd">
              <a:solidFill>
                <a:schemeClr val="accent1">
                  <a:lumMod val="80000"/>
                </a:schemeClr>
              </a:solidFill>
              <a:round/>
            </a:ln>
            <a:effectLst/>
          </c:spPr>
          <c:marker>
            <c:symbol val="circle"/>
            <c:size val="3"/>
            <c:spPr>
              <a:solidFill>
                <a:schemeClr val="accent1">
                  <a:lumMod val="80000"/>
                </a:schemeClr>
              </a:solidFill>
              <a:ln w="9525">
                <a:solidFill>
                  <a:schemeClr val="accent1">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(Adjusted)'!$AB$7:$AB$107</c:f>
              <c:numCache>
                <c:formatCode>0.0000</c:formatCode>
                <c:ptCount val="101"/>
                <c:pt idx="40" formatCode="_(* #,##0.0000_);_(* \(#,##0.0000\);_(* &quot;-&quot;??_);_(@_)">
                  <c:v>63.080540858318656</c:v>
                </c:pt>
              </c:numCache>
            </c:numRef>
          </c:val>
          <c:smooth val="0"/>
        </c:ser>
        <c:ser>
          <c:idx val="19"/>
          <c:order val="16"/>
          <c:tx>
            <c:strRef>
              <c:f>'Wheat (Adjusted)'!$AC$6</c:f>
              <c:strCache>
                <c:ptCount val="1"/>
                <c:pt idx="0">
                  <c:v>Alexandretta, Exports, in d/bushel</c:v>
                </c:pt>
              </c:strCache>
            </c:strRef>
          </c:tx>
          <c:spPr>
            <a:ln w="15875" cap="rnd">
              <a:solidFill>
                <a:schemeClr val="accent2">
                  <a:lumMod val="80000"/>
                </a:schemeClr>
              </a:solidFill>
              <a:round/>
            </a:ln>
            <a:effectLst/>
          </c:spPr>
          <c:marker>
            <c:symbol val="circle"/>
            <c:size val="3"/>
            <c:spPr>
              <a:solidFill>
                <a:schemeClr val="accent2">
                  <a:lumMod val="80000"/>
                </a:schemeClr>
              </a:solidFill>
              <a:ln w="9525">
                <a:solidFill>
                  <a:schemeClr val="accent2">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(Adjusted)'!$AC$7:$AC$107</c:f>
              <c:numCache>
                <c:formatCode>0.0000</c:formatCode>
                <c:ptCount val="101"/>
                <c:pt idx="38">
                  <c:v>64.816864855354282</c:v>
                </c:pt>
                <c:pt idx="39">
                  <c:v>64.285714285714207</c:v>
                </c:pt>
                <c:pt idx="40">
                  <c:v>58.731167180976549</c:v>
                </c:pt>
                <c:pt idx="41">
                  <c:v>51.42857142857136</c:v>
                </c:pt>
                <c:pt idx="42">
                  <c:v>51.42857142857136</c:v>
                </c:pt>
                <c:pt idx="43">
                  <c:v>51.430959811476967</c:v>
                </c:pt>
                <c:pt idx="45">
                  <c:v>48.821043389941345</c:v>
                </c:pt>
                <c:pt idx="46">
                  <c:v>48.9197641340592</c:v>
                </c:pt>
                <c:pt idx="47">
                  <c:v>50.808964091965841</c:v>
                </c:pt>
                <c:pt idx="48">
                  <c:v>46.215744836076766</c:v>
                </c:pt>
                <c:pt idx="49">
                  <c:v>44.325220600957302</c:v>
                </c:pt>
                <c:pt idx="50">
                  <c:v>36.886106198919784</c:v>
                </c:pt>
                <c:pt idx="51">
                  <c:v>37.261709361627233</c:v>
                </c:pt>
                <c:pt idx="52">
                  <c:v>32.726697595951045</c:v>
                </c:pt>
                <c:pt idx="53">
                  <c:v>27.811493018259938</c:v>
                </c:pt>
                <c:pt idx="54">
                  <c:v>31.58718330849473</c:v>
                </c:pt>
                <c:pt idx="55">
                  <c:v>31.922474472092759</c:v>
                </c:pt>
                <c:pt idx="56">
                  <c:v>35.664391878599567</c:v>
                </c:pt>
                <c:pt idx="57">
                  <c:v>30.997105660355977</c:v>
                </c:pt>
                <c:pt idx="58">
                  <c:v>31.422996752144979</c:v>
                </c:pt>
                <c:pt idx="59">
                  <c:v>28.909653096096964</c:v>
                </c:pt>
                <c:pt idx="60">
                  <c:v>30.976555455365141</c:v>
                </c:pt>
                <c:pt idx="61">
                  <c:v>31.827580314422395</c:v>
                </c:pt>
                <c:pt idx="62">
                  <c:v>29.398170208710532</c:v>
                </c:pt>
                <c:pt idx="63">
                  <c:v>28.813684834123197</c:v>
                </c:pt>
                <c:pt idx="64">
                  <c:v>29.455160320641273</c:v>
                </c:pt>
                <c:pt idx="65">
                  <c:v>32.281322474023455</c:v>
                </c:pt>
                <c:pt idx="66">
                  <c:v>31.624464032682493</c:v>
                </c:pt>
                <c:pt idx="67">
                  <c:v>36.48818125516101</c:v>
                </c:pt>
                <c:pt idx="68">
                  <c:v>37.425654242664493</c:v>
                </c:pt>
                <c:pt idx="69">
                  <c:v>38.657950394154938</c:v>
                </c:pt>
                <c:pt idx="70">
                  <c:v>41.781035558328107</c:v>
                </c:pt>
                <c:pt idx="71">
                  <c:v>45.565314063368525</c:v>
                </c:pt>
                <c:pt idx="72">
                  <c:v>37.635048231511242</c:v>
                </c:pt>
                <c:pt idx="73">
                  <c:v>39.455036994877645</c:v>
                </c:pt>
              </c:numCache>
            </c:numRef>
          </c:val>
          <c:smooth val="0"/>
        </c:ser>
        <c:ser>
          <c:idx val="20"/>
          <c:order val="17"/>
          <c:tx>
            <c:strRef>
              <c:f>'Wheat (Adjusted)'!$AP$6</c:f>
              <c:strCache>
                <c:ptCount val="1"/>
                <c:pt idx="0">
                  <c:v>Bahrain, Imports, in d/bushel</c:v>
                </c:pt>
              </c:strCache>
            </c:strRef>
          </c:tx>
          <c:spPr>
            <a:ln w="15875" cap="rnd">
              <a:solidFill>
                <a:schemeClr val="accent3">
                  <a:lumMod val="80000"/>
                </a:schemeClr>
              </a:solidFill>
              <a:round/>
            </a:ln>
            <a:effectLst/>
          </c:spPr>
          <c:marker>
            <c:symbol val="circle"/>
            <c:size val="3"/>
            <c:spPr>
              <a:solidFill>
                <a:schemeClr val="accent3">
                  <a:lumMod val="80000"/>
                </a:schemeClr>
              </a:solidFill>
              <a:ln w="9525">
                <a:solidFill>
                  <a:schemeClr val="accent3">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(Adjusted)'!$AP$7:$AP$107</c:f>
              <c:numCache>
                <c:formatCode>0.0000</c:formatCode>
                <c:ptCount val="101"/>
                <c:pt idx="56">
                  <c:v>34.745559845559846</c:v>
                </c:pt>
                <c:pt idx="57">
                  <c:v>44.597642755537493</c:v>
                </c:pt>
                <c:pt idx="58">
                  <c:v>41.653442959917783</c:v>
                </c:pt>
                <c:pt idx="61">
                  <c:v>47.141560406310781</c:v>
                </c:pt>
                <c:pt idx="62">
                  <c:v>42.896981459727257</c:v>
                </c:pt>
                <c:pt idx="63">
                  <c:v>34.285714285714285</c:v>
                </c:pt>
                <c:pt idx="64">
                  <c:v>46.886884446611404</c:v>
                </c:pt>
                <c:pt idx="65">
                  <c:v>38.465873291186739</c:v>
                </c:pt>
                <c:pt idx="66">
                  <c:v>40.734513230623321</c:v>
                </c:pt>
                <c:pt idx="67">
                  <c:v>51.428571428571431</c:v>
                </c:pt>
                <c:pt idx="68">
                  <c:v>67.263423524463775</c:v>
                </c:pt>
                <c:pt idx="69">
                  <c:v>81.246992681135566</c:v>
                </c:pt>
                <c:pt idx="70">
                  <c:v>48.920507751534707</c:v>
                </c:pt>
                <c:pt idx="71">
                  <c:v>57.14236076640524</c:v>
                </c:pt>
                <c:pt idx="72">
                  <c:v>56.819805194805191</c:v>
                </c:pt>
                <c:pt idx="73">
                  <c:v>59.934513703613874</c:v>
                </c:pt>
              </c:numCache>
            </c:numRef>
          </c:val>
          <c:smooth val="0"/>
        </c:ser>
        <c:ser>
          <c:idx val="21"/>
          <c:order val="18"/>
          <c:tx>
            <c:strRef>
              <c:f>'Wheat (Adjusted)'!$AQ$6</c:f>
              <c:strCache>
                <c:ptCount val="1"/>
                <c:pt idx="0">
                  <c:v>Bahrain, Exports, in d/bushel</c:v>
                </c:pt>
              </c:strCache>
            </c:strRef>
          </c:tx>
          <c:spPr>
            <a:ln w="15875" cap="rnd">
              <a:solidFill>
                <a:schemeClr val="accent4">
                  <a:lumMod val="80000"/>
                </a:schemeClr>
              </a:solidFill>
              <a:round/>
            </a:ln>
            <a:effectLst/>
          </c:spPr>
          <c:marker>
            <c:symbol val="circle"/>
            <c:size val="3"/>
            <c:spPr>
              <a:solidFill>
                <a:schemeClr val="accent4">
                  <a:lumMod val="80000"/>
                </a:schemeClr>
              </a:solidFill>
              <a:ln w="9525">
                <a:solidFill>
                  <a:schemeClr val="accent4">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(Adjusted)'!$AQ$7:$AQ$107</c:f>
              <c:numCache>
                <c:formatCode>0.0000</c:formatCode>
                <c:ptCount val="101"/>
                <c:pt idx="56">
                  <c:v>37.811688311688307</c:v>
                </c:pt>
                <c:pt idx="57">
                  <c:v>52.246153846153845</c:v>
                </c:pt>
                <c:pt idx="58">
                  <c:v>44.193277310924373</c:v>
                </c:pt>
                <c:pt idx="64">
                  <c:v>52.922554767047217</c:v>
                </c:pt>
                <c:pt idx="65">
                  <c:v>40.712727272727271</c:v>
                </c:pt>
                <c:pt idx="66">
                  <c:v>42.857142857142854</c:v>
                </c:pt>
                <c:pt idx="67">
                  <c:v>51.428571428571431</c:v>
                </c:pt>
                <c:pt idx="68">
                  <c:v>64.846416382252556</c:v>
                </c:pt>
                <c:pt idx="69">
                  <c:v>66.623376623376615</c:v>
                </c:pt>
                <c:pt idx="70">
                  <c:v>67.881355932203377</c:v>
                </c:pt>
                <c:pt idx="71">
                  <c:v>38.543838136112811</c:v>
                </c:pt>
                <c:pt idx="72">
                  <c:v>42.264437689969611</c:v>
                </c:pt>
                <c:pt idx="73">
                  <c:v>39.489795918367356</c:v>
                </c:pt>
              </c:numCache>
            </c:numRef>
          </c:val>
          <c:smooth val="0"/>
        </c:ser>
        <c:ser>
          <c:idx val="22"/>
          <c:order val="19"/>
          <c:tx>
            <c:strRef>
              <c:f>'Wheat (Adjusted)'!$AR$6</c:f>
              <c:strCache>
                <c:ptCount val="1"/>
                <c:pt idx="0">
                  <c:v>Muscat, Imports, in d/bushel</c:v>
                </c:pt>
              </c:strCache>
            </c:strRef>
          </c:tx>
          <c:spPr>
            <a:ln w="15875" cap="rnd">
              <a:solidFill>
                <a:schemeClr val="accent5">
                  <a:lumMod val="80000"/>
                </a:schemeClr>
              </a:solidFill>
              <a:round/>
            </a:ln>
            <a:effectLst/>
          </c:spPr>
          <c:marker>
            <c:symbol val="circle"/>
            <c:size val="3"/>
            <c:spPr>
              <a:solidFill>
                <a:schemeClr val="accent5">
                  <a:lumMod val="80000"/>
                </a:schemeClr>
              </a:solidFill>
              <a:ln w="9525">
                <a:solidFill>
                  <a:schemeClr val="accent5">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(Adjusted)'!$AR$7:$AR$107</c:f>
              <c:numCache>
                <c:formatCode>0.0000</c:formatCode>
                <c:ptCount val="101"/>
                <c:pt idx="34">
                  <c:v>42.341164703592888</c:v>
                </c:pt>
                <c:pt idx="35">
                  <c:v>33.939567286461134</c:v>
                </c:pt>
                <c:pt idx="36">
                  <c:v>27.980458891109294</c:v>
                </c:pt>
                <c:pt idx="37">
                  <c:v>51.840349219552238</c:v>
                </c:pt>
                <c:pt idx="38">
                  <c:v>49.712353128441762</c:v>
                </c:pt>
                <c:pt idx="39">
                  <c:v>48.471022075294023</c:v>
                </c:pt>
                <c:pt idx="40">
                  <c:v>34.154748671795609</c:v>
                </c:pt>
                <c:pt idx="41">
                  <c:v>39.147763339002985</c:v>
                </c:pt>
                <c:pt idx="42">
                  <c:v>32.53370442707314</c:v>
                </c:pt>
                <c:pt idx="43">
                  <c:v>35.26577398797312</c:v>
                </c:pt>
                <c:pt idx="44">
                  <c:v>33.862437798509568</c:v>
                </c:pt>
                <c:pt idx="45">
                  <c:v>29.946156591897381</c:v>
                </c:pt>
                <c:pt idx="46">
                  <c:v>36.299933321104284</c:v>
                </c:pt>
                <c:pt idx="47">
                  <c:v>34.377714629781678</c:v>
                </c:pt>
                <c:pt idx="48">
                  <c:v>30.488832884331252</c:v>
                </c:pt>
                <c:pt idx="49">
                  <c:v>31.919940390593311</c:v>
                </c:pt>
                <c:pt idx="50">
                  <c:v>41.007557182562607</c:v>
                </c:pt>
                <c:pt idx="51">
                  <c:v>35.460882574764554</c:v>
                </c:pt>
                <c:pt idx="52">
                  <c:v>37.271215008806529</c:v>
                </c:pt>
                <c:pt idx="53">
                  <c:v>30.291071585854237</c:v>
                </c:pt>
                <c:pt idx="54">
                  <c:v>25.207731474009552</c:v>
                </c:pt>
                <c:pt idx="55">
                  <c:v>25.969952296117928</c:v>
                </c:pt>
                <c:pt idx="56">
                  <c:v>26.841061807098811</c:v>
                </c:pt>
                <c:pt idx="57">
                  <c:v>41.789480199449265</c:v>
                </c:pt>
                <c:pt idx="58">
                  <c:v>38.457367629744979</c:v>
                </c:pt>
                <c:pt idx="59">
                  <c:v>52.092658831696063</c:v>
                </c:pt>
                <c:pt idx="60">
                  <c:v>27.44208647075391</c:v>
                </c:pt>
                <c:pt idx="61">
                  <c:v>30.430437807147555</c:v>
                </c:pt>
                <c:pt idx="62">
                  <c:v>17.923551406851342</c:v>
                </c:pt>
                <c:pt idx="63">
                  <c:v>22.50199998193127</c:v>
                </c:pt>
                <c:pt idx="64">
                  <c:v>29.844630768058714</c:v>
                </c:pt>
                <c:pt idx="65">
                  <c:v>35.454545454545482</c:v>
                </c:pt>
                <c:pt idx="66">
                  <c:v>32.914285714285711</c:v>
                </c:pt>
                <c:pt idx="67">
                  <c:v>33.75</c:v>
                </c:pt>
                <c:pt idx="68">
                  <c:v>38.626457614534665</c:v>
                </c:pt>
                <c:pt idx="69">
                  <c:v>39.730937773882495</c:v>
                </c:pt>
                <c:pt idx="70">
                  <c:v>48.400180261378964</c:v>
                </c:pt>
                <c:pt idx="71">
                  <c:v>32.10445468509981</c:v>
                </c:pt>
              </c:numCache>
            </c:numRef>
          </c:val>
          <c:smooth val="0"/>
        </c:ser>
        <c:ser>
          <c:idx val="23"/>
          <c:order val="20"/>
          <c:tx>
            <c:strRef>
              <c:f>'Wheat (Adjusted)'!$AS$6</c:f>
              <c:strCache>
                <c:ptCount val="1"/>
                <c:pt idx="0">
                  <c:v>Muscat, Exports, in d/bushel</c:v>
                </c:pt>
              </c:strCache>
            </c:strRef>
          </c:tx>
          <c:spPr>
            <a:ln w="15875" cap="rnd">
              <a:solidFill>
                <a:schemeClr val="accent6">
                  <a:lumMod val="80000"/>
                </a:schemeClr>
              </a:solidFill>
              <a:round/>
            </a:ln>
            <a:effectLst/>
          </c:spPr>
          <c:marker>
            <c:symbol val="circle"/>
            <c:size val="3"/>
            <c:spPr>
              <a:solidFill>
                <a:schemeClr val="accent6">
                  <a:lumMod val="80000"/>
                </a:schemeClr>
              </a:solidFill>
              <a:ln w="9525">
                <a:solidFill>
                  <a:schemeClr val="accent6">
                    <a:lumMod val="8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(Adjusted)'!$AS$7:$AS$107</c:f>
              <c:numCache>
                <c:formatCode>0.0000</c:formatCode>
                <c:ptCount val="101"/>
                <c:pt idx="34">
                  <c:v>50.262882981378034</c:v>
                </c:pt>
                <c:pt idx="35">
                  <c:v>37.710630318290058</c:v>
                </c:pt>
                <c:pt idx="36">
                  <c:v>30.778504780220281</c:v>
                </c:pt>
                <c:pt idx="37">
                  <c:v>50.880342752523767</c:v>
                </c:pt>
                <c:pt idx="38">
                  <c:v>52.276879281893393</c:v>
                </c:pt>
                <c:pt idx="39">
                  <c:v>56.068662440270856</c:v>
                </c:pt>
                <c:pt idx="40">
                  <c:v>45.515471948751724</c:v>
                </c:pt>
                <c:pt idx="41">
                  <c:v>38.593262441849909</c:v>
                </c:pt>
                <c:pt idx="42">
                  <c:v>38.54659586090451</c:v>
                </c:pt>
                <c:pt idx="43">
                  <c:v>37.753263984832707</c:v>
                </c:pt>
                <c:pt idx="44">
                  <c:v>37.799930565778105</c:v>
                </c:pt>
                <c:pt idx="45">
                  <c:v>33.574012402388654</c:v>
                </c:pt>
                <c:pt idx="46">
                  <c:v>33.639654519794057</c:v>
                </c:pt>
                <c:pt idx="47">
                  <c:v>33.366605375964596</c:v>
                </c:pt>
                <c:pt idx="48">
                  <c:v>30.488832884331252</c:v>
                </c:pt>
                <c:pt idx="49">
                  <c:v>30.102537297616582</c:v>
                </c:pt>
                <c:pt idx="50">
                  <c:v>30.559943864819569</c:v>
                </c:pt>
                <c:pt idx="51">
                  <c:v>33.646604861636995</c:v>
                </c:pt>
                <c:pt idx="52">
                  <c:v>36.275488921561497</c:v>
                </c:pt>
                <c:pt idx="53">
                  <c:v>26.805284095040609</c:v>
                </c:pt>
                <c:pt idx="54">
                  <c:v>20.00613609048381</c:v>
                </c:pt>
                <c:pt idx="70">
                  <c:v>48.979591836734691</c:v>
                </c:pt>
                <c:pt idx="71">
                  <c:v>48.111483399329828</c:v>
                </c:pt>
              </c:numCache>
            </c:numRef>
          </c:val>
          <c:smooth val="0"/>
        </c:ser>
        <c:ser>
          <c:idx val="24"/>
          <c:order val="21"/>
          <c:tx>
            <c:strRef>
              <c:f>'Wheat (Adjusted)'!$AT$6</c:f>
              <c:strCache>
                <c:ptCount val="1"/>
                <c:pt idx="0">
                  <c:v>Mohammerah, Imports, in d/bushel</c:v>
                </c:pt>
              </c:strCache>
            </c:strRef>
          </c:tx>
          <c:spPr>
            <a:ln w="15875" cap="rnd">
              <a:solidFill>
                <a:schemeClr val="accent1">
                  <a:lumMod val="60000"/>
                  <a:lumOff val="40000"/>
                </a:schemeClr>
              </a:solidFill>
              <a:round/>
            </a:ln>
            <a:effectLst/>
          </c:spPr>
          <c:marker>
            <c:symbol val="circle"/>
            <c:size val="3"/>
            <c:spPr>
              <a:solidFill>
                <a:schemeClr val="accent1">
                  <a:lumMod val="60000"/>
                  <a:lumOff val="40000"/>
                </a:schemeClr>
              </a:solidFill>
              <a:ln w="9525">
                <a:solidFill>
                  <a:schemeClr val="accent1">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(Adjusted)'!$AT$7:$AT$107</c:f>
              <c:numCache>
                <c:formatCode>0.0000</c:formatCode>
                <c:ptCount val="101"/>
                <c:pt idx="57">
                  <c:v>43.43643037290574</c:v>
                </c:pt>
                <c:pt idx="61">
                  <c:v>52.13463007580652</c:v>
                </c:pt>
                <c:pt idx="62">
                  <c:v>32.803282893049456</c:v>
                </c:pt>
              </c:numCache>
            </c:numRef>
          </c:val>
          <c:smooth val="0"/>
        </c:ser>
        <c:ser>
          <c:idx val="25"/>
          <c:order val="22"/>
          <c:tx>
            <c:strRef>
              <c:f>'Wheat (Adjusted)'!$AU$6</c:f>
              <c:strCache>
                <c:ptCount val="1"/>
                <c:pt idx="0">
                  <c:v>Mohammerah, Exports, in d/bushel</c:v>
                </c:pt>
              </c:strCache>
            </c:strRef>
          </c:tx>
          <c:spPr>
            <a:ln w="15875" cap="rnd">
              <a:solidFill>
                <a:schemeClr val="accent2">
                  <a:lumMod val="60000"/>
                  <a:lumOff val="40000"/>
                </a:schemeClr>
              </a:solidFill>
              <a:round/>
            </a:ln>
            <a:effectLst/>
          </c:spPr>
          <c:marker>
            <c:symbol val="circle"/>
            <c:size val="3"/>
            <c:spPr>
              <a:solidFill>
                <a:schemeClr val="accent2">
                  <a:lumMod val="60000"/>
                  <a:lumOff val="40000"/>
                </a:schemeClr>
              </a:solidFill>
              <a:ln w="9525">
                <a:solidFill>
                  <a:schemeClr val="accent2">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(Adjusted)'!$AU$7:$AU$107</c:f>
              <c:numCache>
                <c:formatCode>0.0000</c:formatCode>
                <c:ptCount val="101"/>
                <c:pt idx="50">
                  <c:v>26.334405144694539</c:v>
                </c:pt>
                <c:pt idx="51">
                  <c:v>28.95226533789441</c:v>
                </c:pt>
                <c:pt idx="52">
                  <c:v>32.593392343814145</c:v>
                </c:pt>
                <c:pt idx="53">
                  <c:v>28.860405499883441</c:v>
                </c:pt>
                <c:pt idx="54">
                  <c:v>12.747438231266763</c:v>
                </c:pt>
                <c:pt idx="55">
                  <c:v>15.592681866502412</c:v>
                </c:pt>
                <c:pt idx="56">
                  <c:v>40.88681155709331</c:v>
                </c:pt>
                <c:pt idx="57">
                  <c:v>43.27192285092115</c:v>
                </c:pt>
                <c:pt idx="58">
                  <c:v>32.998160637645555</c:v>
                </c:pt>
                <c:pt idx="59">
                  <c:v>32.354124748490953</c:v>
                </c:pt>
                <c:pt idx="60">
                  <c:v>58.950155404627573</c:v>
                </c:pt>
              </c:numCache>
            </c:numRef>
          </c:val>
          <c:smooth val="0"/>
        </c:ser>
        <c:ser>
          <c:idx val="26"/>
          <c:order val="23"/>
          <c:tx>
            <c:strRef>
              <c:f>'Wheat (Adjusted)'!$AV$6</c:f>
              <c:strCache>
                <c:ptCount val="1"/>
                <c:pt idx="0">
                  <c:v>Lingah, Imports, in d/bushel</c:v>
                </c:pt>
              </c:strCache>
            </c:strRef>
          </c:tx>
          <c:spPr>
            <a:ln w="15875" cap="rnd">
              <a:solidFill>
                <a:schemeClr val="accent3">
                  <a:lumMod val="60000"/>
                  <a:lumOff val="40000"/>
                </a:schemeClr>
              </a:solidFill>
              <a:round/>
            </a:ln>
            <a:effectLst/>
          </c:spPr>
          <c:marker>
            <c:symbol val="circle"/>
            <c:size val="3"/>
            <c:spPr>
              <a:solidFill>
                <a:schemeClr val="accent3">
                  <a:lumMod val="60000"/>
                  <a:lumOff val="40000"/>
                </a:schemeClr>
              </a:solidFill>
              <a:ln w="9525">
                <a:solidFill>
                  <a:schemeClr val="accent3">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(Adjusted)'!$AV$7:$AV$107</c:f>
              <c:numCache>
                <c:formatCode>0.0000</c:formatCode>
                <c:ptCount val="101"/>
                <c:pt idx="56">
                  <c:v>39.17374517374521</c:v>
                </c:pt>
                <c:pt idx="57">
                  <c:v>56.251567944250837</c:v>
                </c:pt>
                <c:pt idx="58">
                  <c:v>40.326578073089735</c:v>
                </c:pt>
                <c:pt idx="59">
                  <c:v>42.857142857142804</c:v>
                </c:pt>
                <c:pt idx="67">
                  <c:v>33.819875776397566</c:v>
                </c:pt>
                <c:pt idx="68">
                  <c:v>48.936940197231465</c:v>
                </c:pt>
                <c:pt idx="69">
                  <c:v>66.704220993513459</c:v>
                </c:pt>
                <c:pt idx="70">
                  <c:v>65.819224319792255</c:v>
                </c:pt>
                <c:pt idx="71">
                  <c:v>41.157960981749476</c:v>
                </c:pt>
                <c:pt idx="72">
                  <c:v>56.741440377804032</c:v>
                </c:pt>
              </c:numCache>
            </c:numRef>
          </c:val>
          <c:smooth val="0"/>
        </c:ser>
        <c:ser>
          <c:idx val="27"/>
          <c:order val="24"/>
          <c:tx>
            <c:strRef>
              <c:f>'Wheat (Adjusted)'!$AW$6</c:f>
              <c:strCache>
                <c:ptCount val="1"/>
                <c:pt idx="0">
                  <c:v>Lingah, Exports, in d/bushel</c:v>
                </c:pt>
              </c:strCache>
            </c:strRef>
          </c:tx>
          <c:spPr>
            <a:ln w="15875" cap="rnd">
              <a:solidFill>
                <a:schemeClr val="accent4">
                  <a:lumMod val="60000"/>
                  <a:lumOff val="40000"/>
                </a:schemeClr>
              </a:solidFill>
              <a:round/>
            </a:ln>
            <a:effectLst/>
          </c:spPr>
          <c:marker>
            <c:symbol val="circle"/>
            <c:size val="3"/>
            <c:spPr>
              <a:solidFill>
                <a:schemeClr val="accent4">
                  <a:lumMod val="60000"/>
                  <a:lumOff val="40000"/>
                </a:schemeClr>
              </a:solidFill>
              <a:ln w="9525">
                <a:solidFill>
                  <a:schemeClr val="accent4">
                    <a:lumMod val="60000"/>
                    <a:lumOff val="40000"/>
                  </a:schemeClr>
                </a:solidFill>
              </a:ln>
              <a:effectLst/>
            </c:spPr>
          </c:marker>
          <c:cat>
            <c:numRef>
              <c:f>'Wheat (Adjusted)'!$A$7:$A$107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cat>
          <c:val>
            <c:numRef>
              <c:f>'Wheat (Adjusted)'!$AW$7:$AW$107</c:f>
              <c:numCache>
                <c:formatCode>0.0000</c:formatCode>
                <c:ptCount val="101"/>
                <c:pt idx="56">
                  <c:v>37.819047619047595</c:v>
                </c:pt>
                <c:pt idx="57">
                  <c:v>56.253061224489848</c:v>
                </c:pt>
                <c:pt idx="58">
                  <c:v>40.174904942965789</c:v>
                </c:pt>
                <c:pt idx="59">
                  <c:v>42.857142857142804</c:v>
                </c:pt>
                <c:pt idx="67">
                  <c:v>39.692731024994266</c:v>
                </c:pt>
                <c:pt idx="68">
                  <c:v>48.404555192242668</c:v>
                </c:pt>
                <c:pt idx="70">
                  <c:v>33.735521235521176</c:v>
                </c:pt>
                <c:pt idx="71">
                  <c:v>43.890480291021554</c:v>
                </c:pt>
                <c:pt idx="72">
                  <c:v>43.727717436365182</c:v>
                </c:pt>
              </c:numCache>
            </c:numRef>
          </c:val>
          <c:smooth val="0"/>
        </c:ser>
        <c:ser>
          <c:idx val="0"/>
          <c:order val="25"/>
          <c:tx>
            <c:strRef>
              <c:f>'Wheat (Adjusted)'!$AX$6</c:f>
              <c:strCache>
                <c:ptCount val="1"/>
                <c:pt idx="0">
                  <c:v>India, Exports, in d/bushel</c:v>
                </c:pt>
              </c:strCache>
            </c:strRef>
          </c:tx>
          <c:spPr>
            <a:ln w="15875" cap="rnd">
              <a:solidFill>
                <a:schemeClr val="accent1"/>
              </a:solidFill>
              <a:round/>
            </a:ln>
            <a:effectLst/>
          </c:spPr>
          <c:marker>
            <c:symbol val="circle"/>
            <c:size val="3"/>
            <c:spPr>
              <a:solidFill>
                <a:schemeClr val="accent1"/>
              </a:solidFill>
              <a:ln w="9525">
                <a:solidFill>
                  <a:schemeClr val="accent1"/>
                </a:solidFill>
              </a:ln>
              <a:effectLst/>
            </c:spPr>
          </c:marker>
          <c:val>
            <c:numRef>
              <c:f>'Wheat (Adjusted)'!$AX$7:$AX$107</c:f>
              <c:numCache>
                <c:formatCode>General</c:formatCode>
                <c:ptCount val="101"/>
                <c:pt idx="21" formatCode="0.0000">
                  <c:v>45.798465616883675</c:v>
                </c:pt>
                <c:pt idx="22" formatCode="0.0000">
                  <c:v>42.853151712720816</c:v>
                </c:pt>
                <c:pt idx="23" formatCode="0.0000">
                  <c:v>35.192458031018845</c:v>
                </c:pt>
                <c:pt idx="24" formatCode="0.0000">
                  <c:v>52.000490633384445</c:v>
                </c:pt>
                <c:pt idx="25" formatCode="0.0000">
                  <c:v>54.347968961976974</c:v>
                </c:pt>
                <c:pt idx="26" formatCode="0.0000">
                  <c:v>71.668187467191629</c:v>
                </c:pt>
                <c:pt idx="27" formatCode="0.0000">
                  <c:v>53.63068228321675</c:v>
                </c:pt>
                <c:pt idx="28" formatCode="0.0000">
                  <c:v>46.868016536253833</c:v>
                </c:pt>
                <c:pt idx="29" formatCode="0.0000">
                  <c:v>55.483197561542937</c:v>
                </c:pt>
                <c:pt idx="30" formatCode="0.0000">
                  <c:v>62.209305395659285</c:v>
                </c:pt>
                <c:pt idx="31" formatCode="0.0000">
                  <c:v>41.811190082786993</c:v>
                </c:pt>
                <c:pt idx="32" formatCode="0.0000">
                  <c:v>47.60630927936451</c:v>
                </c:pt>
                <c:pt idx="33" formatCode="0.0000">
                  <c:v>59.250141681994762</c:v>
                </c:pt>
                <c:pt idx="34" formatCode="0.0000">
                  <c:v>55.228225849330407</c:v>
                </c:pt>
                <c:pt idx="35" formatCode="0.0000">
                  <c:v>49.05245949324609</c:v>
                </c:pt>
                <c:pt idx="36" formatCode="0.0000">
                  <c:v>42.603157167845751</c:v>
                </c:pt>
                <c:pt idx="37" formatCode="0.0000">
                  <c:v>51.182410101896046</c:v>
                </c:pt>
                <c:pt idx="38" formatCode="0.0000">
                  <c:v>57.76172109010561</c:v>
                </c:pt>
                <c:pt idx="39" formatCode="0.0000">
                  <c:v>59.398399472022142</c:v>
                </c:pt>
                <c:pt idx="40" formatCode="0.0000">
                  <c:v>56.893448003854708</c:v>
                </c:pt>
                <c:pt idx="41" formatCode="0.0000">
                  <c:v>46.846797214011232</c:v>
                </c:pt>
                <c:pt idx="42" formatCode="0.0000">
                  <c:v>49.237241852211852</c:v>
                </c:pt>
                <c:pt idx="43" formatCode="0.0000">
                  <c:v>45.063773314078858</c:v>
                </c:pt>
                <c:pt idx="44" formatCode="0.0000">
                  <c:v>40.264772848301753</c:v>
                </c:pt>
                <c:pt idx="45" formatCode="0.0000">
                  <c:v>37.019422784391566</c:v>
                </c:pt>
                <c:pt idx="46" formatCode="0.0000">
                  <c:v>36.714928807616126</c:v>
                </c:pt>
                <c:pt idx="47" formatCode="0.0000">
                  <c:v>39.194847631999743</c:v>
                </c:pt>
                <c:pt idx="48" formatCode="0.0000">
                  <c:v>38.940689482979629</c:v>
                </c:pt>
                <c:pt idx="49" formatCode="0.0000">
                  <c:v>39.083852147924617</c:v>
                </c:pt>
                <c:pt idx="50" formatCode="0.0000">
                  <c:v>41.608947679970008</c:v>
                </c:pt>
                <c:pt idx="51" formatCode="0.0000">
                  <c:v>42.743333423064108</c:v>
                </c:pt>
                <c:pt idx="52" formatCode="0.0000">
                  <c:v>41.761671246829117</c:v>
                </c:pt>
                <c:pt idx="53" formatCode="0.0000">
                  <c:v>36.720161859974439</c:v>
                </c:pt>
                <c:pt idx="54" formatCode="0.0000">
                  <c:v>27.081061322308653</c:v>
                </c:pt>
                <c:pt idx="55" formatCode="0.0000">
                  <c:v>27.374778822519495</c:v>
                </c:pt>
                <c:pt idx="56" formatCode="0.0000">
                  <c:v>37.922893574179298</c:v>
                </c:pt>
                <c:pt idx="57" formatCode="0.0000">
                  <c:v>48.336886130841343</c:v>
                </c:pt>
                <c:pt idx="58" formatCode="0.0000">
                  <c:v>41.45923520289665</c:v>
                </c:pt>
                <c:pt idx="59" formatCode="0.0000">
                  <c:v>38.814505656181865</c:v>
                </c:pt>
                <c:pt idx="60" formatCode="0.0000">
                  <c:v>39.343848718872792</c:v>
                </c:pt>
                <c:pt idx="61" formatCode="0.0000">
                  <c:v>42.675491515452919</c:v>
                </c:pt>
                <c:pt idx="62" formatCode="0.0000">
                  <c:v>36.172634581341093</c:v>
                </c:pt>
                <c:pt idx="63" formatCode="0.0000">
                  <c:v>33.309057529789854</c:v>
                </c:pt>
                <c:pt idx="64" formatCode="0.0000">
                  <c:v>33.725886748339967</c:v>
                </c:pt>
                <c:pt idx="65" formatCode="0.0000">
                  <c:v>34.112863746293748</c:v>
                </c:pt>
                <c:pt idx="66" formatCode="0.0000">
                  <c:v>39.640595503052459</c:v>
                </c:pt>
                <c:pt idx="67" formatCode="0.0000">
                  <c:v>39.711134331590173</c:v>
                </c:pt>
                <c:pt idx="68" formatCode="0.0000">
                  <c:v>51.624014581499921</c:v>
                </c:pt>
                <c:pt idx="69" formatCode="0.0000">
                  <c:v>50.481507703879004</c:v>
                </c:pt>
                <c:pt idx="70" formatCode="0.0000">
                  <c:v>42.011151414823694</c:v>
                </c:pt>
                <c:pt idx="71" formatCode="0.0000">
                  <c:v>37.128793518654767</c:v>
                </c:pt>
                <c:pt idx="72" formatCode="0.0000">
                  <c:v>38.423749089864003</c:v>
                </c:pt>
                <c:pt idx="73" formatCode="0.0000">
                  <c:v>40.995690176821299</c:v>
                </c:pt>
                <c:pt idx="74" formatCode="0.0000">
                  <c:v>32.347749107755632</c:v>
                </c:pt>
                <c:pt idx="75" formatCode="0.0000">
                  <c:v>37.669130620015608</c:v>
                </c:pt>
                <c:pt idx="76" formatCode="0.0000">
                  <c:v>36.203562794517651</c:v>
                </c:pt>
                <c:pt idx="77" formatCode="0.0000">
                  <c:v>35.771624143382873</c:v>
                </c:pt>
                <c:pt idx="78" formatCode="0.0000">
                  <c:v>42.891739838038283</c:v>
                </c:pt>
                <c:pt idx="79" formatCode="0.0000">
                  <c:v>55.703926309381202</c:v>
                </c:pt>
                <c:pt idx="80" formatCode="0.0000">
                  <c:v>68.590947070074805</c:v>
                </c:pt>
                <c:pt idx="81" formatCode="0.0000">
                  <c:v>46.824624038712201</c:v>
                </c:pt>
                <c:pt idx="82" formatCode="0.0000">
                  <c:v>64.25030413625305</c:v>
                </c:pt>
                <c:pt idx="83" formatCode="0.0000">
                  <c:v>41.563080438607926</c:v>
                </c:pt>
                <c:pt idx="84" formatCode="0.0000">
                  <c:v>40.181103634428233</c:v>
                </c:pt>
                <c:pt idx="85" formatCode="0.0000">
                  <c:v>44.039268878171704</c:v>
                </c:pt>
                <c:pt idx="86" formatCode="0.0000">
                  <c:v>45.807379920490099</c:v>
                </c:pt>
                <c:pt idx="87" formatCode="0.0000">
                  <c:v>44.307129415406678</c:v>
                </c:pt>
                <c:pt idx="88" formatCode="0.0000">
                  <c:v>42.277919436478975</c:v>
                </c:pt>
                <c:pt idx="89" formatCode="0.0000">
                  <c:v>47.723384004605499</c:v>
                </c:pt>
                <c:pt idx="90" formatCode="0.0000">
                  <c:v>34.382705636999326</c:v>
                </c:pt>
                <c:pt idx="91" formatCode="0.0000">
                  <c:v>23.918514486086405</c:v>
                </c:pt>
              </c:numCache>
            </c:numRef>
          </c:val>
          <c:smooth val="0"/>
        </c:ser>
        <c:ser>
          <c:idx val="1"/>
          <c:order val="26"/>
          <c:tx>
            <c:strRef>
              <c:f>'Wheat (Adjusted)'!$AY$6</c:f>
              <c:strCache>
                <c:ptCount val="1"/>
                <c:pt idx="0">
                  <c:v>India, Wholesale, in d/bushel</c:v>
                </c:pt>
              </c:strCache>
            </c:strRef>
          </c:tx>
          <c:spPr>
            <a:ln w="15875" cap="rnd">
              <a:solidFill>
                <a:schemeClr val="accent2"/>
              </a:solidFill>
              <a:round/>
            </a:ln>
            <a:effectLst/>
          </c:spPr>
          <c:marker>
            <c:symbol val="circle"/>
            <c:size val="3"/>
            <c:spPr>
              <a:solidFill>
                <a:schemeClr val="accent2"/>
              </a:solidFill>
              <a:ln w="9525">
                <a:solidFill>
                  <a:schemeClr val="accent2"/>
                </a:solidFill>
              </a:ln>
              <a:effectLst/>
            </c:spPr>
          </c:marker>
          <c:val>
            <c:numRef>
              <c:f>'Wheat (Adjusted)'!$AY$7:$AY$107</c:f>
              <c:numCache>
                <c:formatCode>General</c:formatCode>
                <c:ptCount val="101"/>
                <c:pt idx="33">
                  <c:v>68.853399566814176</c:v>
                </c:pt>
                <c:pt idx="44">
                  <c:v>35.647135494696471</c:v>
                </c:pt>
                <c:pt idx="45">
                  <c:v>33.903824833702885</c:v>
                </c:pt>
                <c:pt idx="46">
                  <c:v>33.513925510876732</c:v>
                </c:pt>
                <c:pt idx="47">
                  <c:v>35.684121621621621</c:v>
                </c:pt>
                <c:pt idx="48">
                  <c:v>35.328773895847071</c:v>
                </c:pt>
                <c:pt idx="49">
                  <c:v>40.623982491360543</c:v>
                </c:pt>
                <c:pt idx="50">
                  <c:v>41.835305570061671</c:v>
                </c:pt>
                <c:pt idx="51">
                  <c:v>48.30557880100563</c:v>
                </c:pt>
                <c:pt idx="52">
                  <c:v>42.699549684281607</c:v>
                </c:pt>
                <c:pt idx="53">
                  <c:v>35.367498800305739</c:v>
                </c:pt>
                <c:pt idx="54">
                  <c:v>27.141396317766276</c:v>
                </c:pt>
                <c:pt idx="55">
                  <c:v>29.967862366378284</c:v>
                </c:pt>
                <c:pt idx="56">
                  <c:v>39.881374187748214</c:v>
                </c:pt>
                <c:pt idx="57">
                  <c:v>46.187876219657369</c:v>
                </c:pt>
                <c:pt idx="58">
                  <c:v>40.779561540568011</c:v>
                </c:pt>
                <c:pt idx="59">
                  <c:v>36.786798513658482</c:v>
                </c:pt>
                <c:pt idx="60">
                  <c:v>41.971060128401739</c:v>
                </c:pt>
                <c:pt idx="61">
                  <c:v>41.599692358238535</c:v>
                </c:pt>
                <c:pt idx="62">
                  <c:v>37.988589634931095</c:v>
                </c:pt>
                <c:pt idx="63">
                  <c:v>36.420642398569129</c:v>
                </c:pt>
                <c:pt idx="64">
                  <c:v>37.646847005495502</c:v>
                </c:pt>
                <c:pt idx="65">
                  <c:v>41.465630591422574</c:v>
                </c:pt>
                <c:pt idx="66">
                  <c:v>43.385538036422311</c:v>
                </c:pt>
                <c:pt idx="67">
                  <c:v>48.862916706293049</c:v>
                </c:pt>
                <c:pt idx="68">
                  <c:v>56.12719604170605</c:v>
                </c:pt>
                <c:pt idx="69">
                  <c:v>54.876959930313582</c:v>
                </c:pt>
                <c:pt idx="70">
                  <c:v>45.945084083503183</c:v>
                </c:pt>
                <c:pt idx="71">
                  <c:v>42.045506173228318</c:v>
                </c:pt>
                <c:pt idx="72">
                  <c:v>45.657338628047206</c:v>
                </c:pt>
                <c:pt idx="73">
                  <c:v>46.385323929528063</c:v>
                </c:pt>
                <c:pt idx="74">
                  <c:v>47.940724902003488</c:v>
                </c:pt>
                <c:pt idx="75">
                  <c:v>61.53109395415941</c:v>
                </c:pt>
                <c:pt idx="76">
                  <c:v>59.067468287238682</c:v>
                </c:pt>
                <c:pt idx="77">
                  <c:v>68.934191392639377</c:v>
                </c:pt>
                <c:pt idx="78">
                  <c:v>77.59510895307055</c:v>
                </c:pt>
                <c:pt idx="79">
                  <c:v>95.968160394407732</c:v>
                </c:pt>
                <c:pt idx="80">
                  <c:v>96.438539834258222</c:v>
                </c:pt>
                <c:pt idx="81">
                  <c:v>105.31250008928572</c:v>
                </c:pt>
              </c:numCache>
            </c:numRef>
          </c:val>
          <c:smooth val="0"/>
        </c:ser>
        <c:dLbls>
          <c:showLegendKey val="0"/>
          <c:showVal val="0"/>
          <c:showCatName val="0"/>
          <c:showSerName val="0"/>
          <c:showPercent val="0"/>
          <c:showBubbleSize val="0"/>
        </c:dLbls>
        <c:marker val="1"/>
        <c:smooth val="0"/>
        <c:axId val="721453136"/>
        <c:axId val="721454816"/>
      </c:lineChart>
      <c:catAx>
        <c:axId val="72145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54816"/>
        <c:crosses val="autoZero"/>
        <c:auto val="1"/>
        <c:lblAlgn val="ctr"/>
        <c:lblOffset val="100"/>
        <c:noMultiLvlLbl val="0"/>
      </c:catAx>
      <c:valAx>
        <c:axId val="721454816"/>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53136"/>
        <c:crosses val="autoZero"/>
        <c:crossBetween val="between"/>
      </c:valAx>
      <c:spPr>
        <a:noFill/>
        <a:ln>
          <a:noFill/>
        </a:ln>
        <a:effectLst/>
      </c:spPr>
    </c:plotArea>
    <c:legend>
      <c:legendPos val="r"/>
      <c:layout>
        <c:manualLayout>
          <c:xMode val="edge"/>
          <c:yMode val="edge"/>
          <c:x val="0.76792086453915087"/>
          <c:y val="9.1275522377884583E-2"/>
          <c:w val="0.22529487494524514"/>
          <c:h val="0.8477690288713910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ysClr val="windowText" lastClr="000000"/>
                </a:solidFill>
                <a:effectLst/>
                <a:latin typeface="+mn-lt"/>
                <a:ea typeface="+mn-ea"/>
                <a:cs typeface="+mn-cs"/>
              </a:defRPr>
            </a:pPr>
            <a:r>
              <a:rPr lang="en-US" sz="1400" b="1" i="0" u="none" strike="noStrike" kern="1200" spc="0" baseline="0">
                <a:solidFill>
                  <a:sysClr val="windowText" lastClr="000000"/>
                </a:solidFill>
                <a:effectLst/>
                <a:latin typeface="+mn-lt"/>
                <a:ea typeface="+mn-ea"/>
                <a:cs typeface="+mn-cs"/>
              </a:rPr>
              <a:t>Wheat, Black Sea, Caspian Sea, Persia, Persian Gulf </a:t>
            </a:r>
            <a:r>
              <a:rPr lang="en-US" sz="1400" b="1" i="0" u="none" strike="noStrike" baseline="0">
                <a:effectLst/>
              </a:rPr>
              <a:t>&amp; India</a:t>
            </a:r>
            <a:r>
              <a:rPr lang="en-US" sz="1400" b="1" i="0" u="none" strike="noStrike" kern="1200" spc="0" baseline="0">
                <a:solidFill>
                  <a:sysClr val="windowText" lastClr="000000"/>
                </a:solidFill>
                <a:effectLst/>
                <a:latin typeface="+mn-lt"/>
                <a:ea typeface="+mn-ea"/>
                <a:cs typeface="+mn-cs"/>
              </a:rPr>
              <a:t>, in d/bushel</a:t>
            </a:r>
          </a:p>
        </c:rich>
      </c:tx>
      <c:layout/>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ysClr val="windowText" lastClr="000000"/>
              </a:solidFill>
              <a:effectLst/>
              <a:latin typeface="+mn-lt"/>
              <a:ea typeface="+mn-ea"/>
              <a:cs typeface="+mn-cs"/>
            </a:defRPr>
          </a:pPr>
          <a:endParaRPr lang="en-US"/>
        </a:p>
      </c:txPr>
    </c:title>
    <c:autoTitleDeleted val="0"/>
    <c:plotArea>
      <c:layout/>
      <c:lineChart>
        <c:grouping val="standard"/>
        <c:varyColors val="0"/>
        <c:ser>
          <c:idx val="2"/>
          <c:order val="0"/>
          <c:tx>
            <c:strRef>
              <c:f>'Wheat (Adjusted)'!$AD$6</c:f>
              <c:strCache>
                <c:ptCount val="1"/>
                <c:pt idx="0">
                  <c:v>Khorasan, Imports, in d/bushel</c:v>
                </c:pt>
              </c:strCache>
            </c:strRef>
          </c:tx>
          <c:spPr>
            <a:ln w="15875" cap="rnd">
              <a:solidFill>
                <a:schemeClr val="accent3"/>
              </a:solidFill>
              <a:round/>
            </a:ln>
            <a:effectLst/>
          </c:spPr>
          <c:marker>
            <c:symbol val="circle"/>
            <c:size val="3"/>
            <c:spPr>
              <a:solidFill>
                <a:schemeClr val="accent3"/>
              </a:solidFill>
              <a:ln w="9525">
                <a:solidFill>
                  <a:schemeClr val="accent3"/>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(Adjusted)'!$AD$40:$AD$79</c:f>
              <c:numCache>
                <c:formatCode>0.0000</c:formatCode>
                <c:ptCount val="40"/>
                <c:pt idx="29">
                  <c:v>130.64224766611505</c:v>
                </c:pt>
                <c:pt idx="30">
                  <c:v>67.823154303878454</c:v>
                </c:pt>
                <c:pt idx="31">
                  <c:v>39.219942308341395</c:v>
                </c:pt>
                <c:pt idx="32">
                  <c:v>50.855782229486636</c:v>
                </c:pt>
                <c:pt idx="33">
                  <c:v>56.969658296908413</c:v>
                </c:pt>
                <c:pt idx="34">
                  <c:v>153.37278106508882</c:v>
                </c:pt>
                <c:pt idx="35">
                  <c:v>266.6666666666664</c:v>
                </c:pt>
                <c:pt idx="36">
                  <c:v>272.34042553191455</c:v>
                </c:pt>
                <c:pt idx="37">
                  <c:v>399.19977136324655</c:v>
                </c:pt>
                <c:pt idx="38">
                  <c:v>66.848505206583738</c:v>
                </c:pt>
                <c:pt idx="39">
                  <c:v>47.556476829568219</c:v>
                </c:pt>
              </c:numCache>
            </c:numRef>
          </c:val>
          <c:smooth val="0"/>
        </c:ser>
        <c:ser>
          <c:idx val="3"/>
          <c:order val="1"/>
          <c:tx>
            <c:strRef>
              <c:f>'Wheat (Adjusted)'!$AE$6</c:f>
              <c:strCache>
                <c:ptCount val="1"/>
                <c:pt idx="0">
                  <c:v>Khorasan, Exports, in d/bushel</c:v>
                </c:pt>
              </c:strCache>
            </c:strRef>
          </c:tx>
          <c:spPr>
            <a:ln w="15875" cap="rnd">
              <a:solidFill>
                <a:schemeClr val="accent4"/>
              </a:solidFill>
              <a:round/>
            </a:ln>
            <a:effectLst/>
          </c:spPr>
          <c:marker>
            <c:symbol val="circle"/>
            <c:size val="3"/>
            <c:spPr>
              <a:solidFill>
                <a:schemeClr val="accent4"/>
              </a:solidFill>
              <a:ln w="9525">
                <a:solidFill>
                  <a:schemeClr val="accent4"/>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(Adjusted)'!$AE$40:$AE$79</c:f>
              <c:numCache>
                <c:formatCode>0.0000</c:formatCode>
                <c:ptCount val="40"/>
                <c:pt idx="29">
                  <c:v>30.209790209790242</c:v>
                </c:pt>
                <c:pt idx="30">
                  <c:v>70.349168290124453</c:v>
                </c:pt>
                <c:pt idx="35">
                  <c:v>22.613384347862688</c:v>
                </c:pt>
                <c:pt idx="36">
                  <c:v>27.382621840807246</c:v>
                </c:pt>
                <c:pt idx="37">
                  <c:v>43.488228801705411</c:v>
                </c:pt>
                <c:pt idx="38">
                  <c:v>5.0954208966412988</c:v>
                </c:pt>
                <c:pt idx="39">
                  <c:v>48.180682739923917</c:v>
                </c:pt>
              </c:numCache>
            </c:numRef>
          </c:val>
          <c:smooth val="0"/>
        </c:ser>
        <c:ser>
          <c:idx val="5"/>
          <c:order val="2"/>
          <c:tx>
            <c:strRef>
              <c:f>'Wheat (Adjusted)'!$AG$6</c:f>
              <c:strCache>
                <c:ptCount val="1"/>
                <c:pt idx="0">
                  <c:v>Kermanshah, Imports, in d/bushel</c:v>
                </c:pt>
              </c:strCache>
            </c:strRef>
          </c:tx>
          <c:spPr>
            <a:ln w="15875" cap="rnd">
              <a:solidFill>
                <a:schemeClr val="accent6"/>
              </a:solidFill>
              <a:round/>
            </a:ln>
            <a:effectLst/>
          </c:spPr>
          <c:marker>
            <c:symbol val="circle"/>
            <c:size val="3"/>
            <c:spPr>
              <a:solidFill>
                <a:schemeClr val="accent6"/>
              </a:solidFill>
              <a:ln w="9525">
                <a:solidFill>
                  <a:schemeClr val="accent6"/>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(Adjusted)'!$AG$40:$AG$79</c:f>
              <c:numCache>
                <c:formatCode>0.0000</c:formatCode>
                <c:ptCount val="40"/>
                <c:pt idx="30">
                  <c:v>39.289940828402401</c:v>
                </c:pt>
                <c:pt idx="31">
                  <c:v>66.993346649614111</c:v>
                </c:pt>
              </c:numCache>
            </c:numRef>
          </c:val>
          <c:smooth val="0"/>
        </c:ser>
        <c:ser>
          <c:idx val="6"/>
          <c:order val="3"/>
          <c:tx>
            <c:strRef>
              <c:f>'Wheat (Adjusted)'!$AH$6</c:f>
              <c:strCache>
                <c:ptCount val="1"/>
                <c:pt idx="0">
                  <c:v>Kermanshah, Exports, in d/bushel</c:v>
                </c:pt>
              </c:strCache>
            </c:strRef>
          </c:tx>
          <c:spPr>
            <a:ln w="15875" cap="rnd">
              <a:solidFill>
                <a:schemeClr val="accent1">
                  <a:lumMod val="60000"/>
                </a:schemeClr>
              </a:solidFill>
              <a:round/>
            </a:ln>
            <a:effectLst/>
          </c:spPr>
          <c:marker>
            <c:symbol val="circle"/>
            <c:size val="3"/>
            <c:spPr>
              <a:solidFill>
                <a:schemeClr val="accent1">
                  <a:lumMod val="60000"/>
                </a:schemeClr>
              </a:solidFill>
              <a:ln w="9525">
                <a:solidFill>
                  <a:schemeClr val="accent1">
                    <a:lumMod val="6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(Adjusted)'!$AH$40:$AH$79</c:f>
              <c:numCache>
                <c:formatCode>0.0000</c:formatCode>
                <c:ptCount val="40"/>
                <c:pt idx="35">
                  <c:v>21.790834887346712</c:v>
                </c:pt>
                <c:pt idx="36">
                  <c:v>22.71182971756037</c:v>
                </c:pt>
                <c:pt idx="37">
                  <c:v>19.293370385073427</c:v>
                </c:pt>
                <c:pt idx="38">
                  <c:v>32.977736549165051</c:v>
                </c:pt>
                <c:pt idx="39">
                  <c:v>140.66478076379011</c:v>
                </c:pt>
              </c:numCache>
            </c:numRef>
          </c:val>
          <c:smooth val="0"/>
        </c:ser>
        <c:ser>
          <c:idx val="8"/>
          <c:order val="4"/>
          <c:tx>
            <c:strRef>
              <c:f>'Wheat (Adjusted)'!$AJ$6</c:f>
              <c:strCache>
                <c:ptCount val="1"/>
                <c:pt idx="0">
                  <c:v>Bam, Exports, in d/bushel</c:v>
                </c:pt>
              </c:strCache>
            </c:strRef>
          </c:tx>
          <c:spPr>
            <a:ln w="15875" cap="rnd">
              <a:solidFill>
                <a:schemeClr val="accent3">
                  <a:lumMod val="60000"/>
                </a:schemeClr>
              </a:solidFill>
              <a:round/>
            </a:ln>
            <a:effectLst/>
          </c:spPr>
          <c:marker>
            <c:symbol val="circle"/>
            <c:size val="3"/>
            <c:spPr>
              <a:solidFill>
                <a:schemeClr val="accent3">
                  <a:lumMod val="60000"/>
                </a:schemeClr>
              </a:solidFill>
              <a:ln w="9525">
                <a:solidFill>
                  <a:schemeClr val="accent3">
                    <a:lumMod val="6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(Adjusted)'!$AJ$40:$AJ$79</c:f>
              <c:numCache>
                <c:formatCode>0.0000</c:formatCode>
                <c:ptCount val="40"/>
                <c:pt idx="37">
                  <c:v>34.568642160540143</c:v>
                </c:pt>
                <c:pt idx="38">
                  <c:v>36.729182295573843</c:v>
                </c:pt>
                <c:pt idx="39">
                  <c:v>51.852963240810141</c:v>
                </c:pt>
              </c:numCache>
            </c:numRef>
          </c:val>
          <c:smooth val="0"/>
        </c:ser>
        <c:ser>
          <c:idx val="9"/>
          <c:order val="5"/>
          <c:tx>
            <c:strRef>
              <c:f>'Wheat (Adjusted)'!$AK$6</c:f>
              <c:strCache>
                <c:ptCount val="1"/>
                <c:pt idx="0">
                  <c:v>Resht &amp; Ghilan &amp; Tunekabun, Imports, in d/bushel</c:v>
                </c:pt>
              </c:strCache>
            </c:strRef>
          </c:tx>
          <c:spPr>
            <a:ln w="15875" cap="rnd">
              <a:solidFill>
                <a:schemeClr val="accent4">
                  <a:lumMod val="60000"/>
                </a:schemeClr>
              </a:solidFill>
              <a:round/>
            </a:ln>
            <a:effectLst/>
          </c:spPr>
          <c:marker>
            <c:symbol val="circle"/>
            <c:size val="3"/>
            <c:spPr>
              <a:solidFill>
                <a:schemeClr val="accent4">
                  <a:lumMod val="60000"/>
                </a:schemeClr>
              </a:solidFill>
              <a:ln w="9525">
                <a:solidFill>
                  <a:schemeClr val="accent4">
                    <a:lumMod val="6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(Adjusted)'!$AK$40:$AK$79</c:f>
              <c:numCache>
                <c:formatCode>0.0000</c:formatCode>
                <c:ptCount val="40"/>
                <c:pt idx="20">
                  <c:v>17.367010231434339</c:v>
                </c:pt>
                <c:pt idx="33">
                  <c:v>47.522110982193077</c:v>
                </c:pt>
                <c:pt idx="34">
                  <c:v>49.207412509594995</c:v>
                </c:pt>
                <c:pt idx="35">
                  <c:v>48.768348473650221</c:v>
                </c:pt>
                <c:pt idx="36">
                  <c:v>44.891020317656299</c:v>
                </c:pt>
                <c:pt idx="37">
                  <c:v>44.590135843575361</c:v>
                </c:pt>
              </c:numCache>
            </c:numRef>
          </c:val>
          <c:smooth val="0"/>
        </c:ser>
        <c:ser>
          <c:idx val="11"/>
          <c:order val="6"/>
          <c:tx>
            <c:strRef>
              <c:f>'Wheat (Adjusted)'!$AM$6</c:f>
              <c:strCache>
                <c:ptCount val="1"/>
                <c:pt idx="0">
                  <c:v>Resht &amp; Bender Gez &amp; Astarabad, Exports, in d/bushel</c:v>
                </c:pt>
              </c:strCache>
            </c:strRef>
          </c:tx>
          <c:spPr>
            <a:ln w="15875" cap="rnd">
              <a:solidFill>
                <a:schemeClr val="accent6">
                  <a:lumMod val="60000"/>
                </a:schemeClr>
              </a:solidFill>
              <a:round/>
            </a:ln>
            <a:effectLst/>
          </c:spPr>
          <c:marker>
            <c:symbol val="circle"/>
            <c:size val="3"/>
            <c:spPr>
              <a:solidFill>
                <a:schemeClr val="accent6">
                  <a:lumMod val="60000"/>
                </a:schemeClr>
              </a:solidFill>
              <a:ln w="9525">
                <a:solidFill>
                  <a:schemeClr val="accent6">
                    <a:lumMod val="6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(Adjusted)'!$AM$40:$AM$79</c:f>
              <c:numCache>
                <c:formatCode>0.0000</c:formatCode>
                <c:ptCount val="40"/>
                <c:pt idx="0">
                  <c:v>37.661538461538527</c:v>
                </c:pt>
                <c:pt idx="1">
                  <c:v>37.677841373671342</c:v>
                </c:pt>
                <c:pt idx="2">
                  <c:v>43.482352941176394</c:v>
                </c:pt>
                <c:pt idx="20">
                  <c:v>25.062656641604065</c:v>
                </c:pt>
                <c:pt idx="33">
                  <c:v>22.207546809688321</c:v>
                </c:pt>
                <c:pt idx="34">
                  <c:v>26.899729148633185</c:v>
                </c:pt>
                <c:pt idx="35">
                  <c:v>51.328263573161571</c:v>
                </c:pt>
                <c:pt idx="36">
                  <c:v>21.028206735426529</c:v>
                </c:pt>
                <c:pt idx="37">
                  <c:v>24.799081515499442</c:v>
                </c:pt>
              </c:numCache>
            </c:numRef>
          </c:val>
          <c:smooth val="0"/>
        </c:ser>
        <c:ser>
          <c:idx val="12"/>
          <c:order val="7"/>
          <c:tx>
            <c:strRef>
              <c:f>'Wheat (Adjusted)'!$AN$6</c:f>
              <c:strCache>
                <c:ptCount val="1"/>
                <c:pt idx="0">
                  <c:v>Astara, Exports, in d/bushel</c:v>
                </c:pt>
              </c:strCache>
            </c:strRef>
          </c:tx>
          <c:spPr>
            <a:ln w="15875" cap="rnd">
              <a:solidFill>
                <a:schemeClr val="accent1">
                  <a:lumMod val="80000"/>
                  <a:lumOff val="20000"/>
                </a:schemeClr>
              </a:solidFill>
              <a:round/>
            </a:ln>
            <a:effectLst/>
          </c:spPr>
          <c:marker>
            <c:symbol val="circle"/>
            <c:size val="3"/>
            <c:spPr>
              <a:solidFill>
                <a:schemeClr val="accent1">
                  <a:lumMod val="80000"/>
                  <a:lumOff val="20000"/>
                </a:schemeClr>
              </a:solidFill>
              <a:ln w="9525">
                <a:solidFill>
                  <a:schemeClr val="accent1">
                    <a:lumMod val="80000"/>
                    <a:lumOff val="2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(Adjusted)'!$AN$40:$AN$79</c:f>
              <c:numCache>
                <c:formatCode>0.0000</c:formatCode>
                <c:ptCount val="40"/>
                <c:pt idx="35">
                  <c:v>40.804403562705744</c:v>
                </c:pt>
                <c:pt idx="36">
                  <c:v>28.646990231231086</c:v>
                </c:pt>
                <c:pt idx="37">
                  <c:v>19.684854036654624</c:v>
                </c:pt>
              </c:numCache>
            </c:numRef>
          </c:val>
          <c:smooth val="0"/>
        </c:ser>
        <c:ser>
          <c:idx val="13"/>
          <c:order val="8"/>
          <c:tx>
            <c:strRef>
              <c:f>'Wheat (Adjusted)'!$AO$6</c:f>
              <c:strCache>
                <c:ptCount val="1"/>
                <c:pt idx="0">
                  <c:v>Sultanabad, Imports, in d/bushel</c:v>
                </c:pt>
              </c:strCache>
            </c:strRef>
          </c:tx>
          <c:spPr>
            <a:ln w="15875" cap="rnd">
              <a:solidFill>
                <a:schemeClr val="accent2">
                  <a:lumMod val="80000"/>
                  <a:lumOff val="20000"/>
                </a:schemeClr>
              </a:solidFill>
              <a:round/>
            </a:ln>
            <a:effectLst/>
          </c:spPr>
          <c:marker>
            <c:symbol val="circle"/>
            <c:size val="3"/>
            <c:spPr>
              <a:solidFill>
                <a:schemeClr val="accent2">
                  <a:lumMod val="80000"/>
                  <a:lumOff val="20000"/>
                </a:schemeClr>
              </a:solidFill>
              <a:ln w="9525">
                <a:solidFill>
                  <a:schemeClr val="accent2">
                    <a:lumMod val="80000"/>
                    <a:lumOff val="2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(Adjusted)'!$AO$40:$AO$79</c:f>
              <c:numCache>
                <c:formatCode>0.0000</c:formatCode>
                <c:ptCount val="40"/>
                <c:pt idx="37">
                  <c:v>53.169230769230737</c:v>
                </c:pt>
                <c:pt idx="38">
                  <c:v>110.76923076923073</c:v>
                </c:pt>
                <c:pt idx="39">
                  <c:v>81.876923076923134</c:v>
                </c:pt>
              </c:numCache>
            </c:numRef>
          </c:val>
          <c:smooth val="0"/>
        </c:ser>
        <c:ser>
          <c:idx val="14"/>
          <c:order val="9"/>
          <c:tx>
            <c:strRef>
              <c:f>'Wheat (Adjusted)'!$AP$6</c:f>
              <c:strCache>
                <c:ptCount val="1"/>
                <c:pt idx="0">
                  <c:v>Bahrain, Imports, in d/bushel</c:v>
                </c:pt>
              </c:strCache>
            </c:strRef>
          </c:tx>
          <c:spPr>
            <a:ln w="15875" cap="rnd">
              <a:solidFill>
                <a:schemeClr val="accent3">
                  <a:lumMod val="80000"/>
                  <a:lumOff val="20000"/>
                </a:schemeClr>
              </a:solidFill>
              <a:round/>
            </a:ln>
            <a:effectLst/>
          </c:spPr>
          <c:marker>
            <c:symbol val="circle"/>
            <c:size val="3"/>
            <c:spPr>
              <a:solidFill>
                <a:schemeClr val="accent3">
                  <a:lumMod val="80000"/>
                  <a:lumOff val="20000"/>
                </a:schemeClr>
              </a:solidFill>
              <a:ln w="9525">
                <a:solidFill>
                  <a:schemeClr val="accent3">
                    <a:lumMod val="80000"/>
                    <a:lumOff val="2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(Adjusted)'!$AP$40:$AP$79</c:f>
              <c:numCache>
                <c:formatCode>0.0000</c:formatCode>
                <c:ptCount val="40"/>
                <c:pt idx="23">
                  <c:v>34.745559845559846</c:v>
                </c:pt>
                <c:pt idx="24">
                  <c:v>44.597642755537493</c:v>
                </c:pt>
                <c:pt idx="25">
                  <c:v>41.653442959917783</c:v>
                </c:pt>
                <c:pt idx="28">
                  <c:v>47.141560406310781</c:v>
                </c:pt>
                <c:pt idx="29">
                  <c:v>42.896981459727257</c:v>
                </c:pt>
                <c:pt idx="30">
                  <c:v>34.285714285714285</c:v>
                </c:pt>
                <c:pt idx="31">
                  <c:v>46.886884446611404</c:v>
                </c:pt>
                <c:pt idx="32">
                  <c:v>38.465873291186739</c:v>
                </c:pt>
                <c:pt idx="33">
                  <c:v>40.734513230623321</c:v>
                </c:pt>
                <c:pt idx="34">
                  <c:v>51.428571428571431</c:v>
                </c:pt>
                <c:pt idx="35">
                  <c:v>67.263423524463775</c:v>
                </c:pt>
                <c:pt idx="36">
                  <c:v>81.246992681135566</c:v>
                </c:pt>
                <c:pt idx="37">
                  <c:v>48.920507751534707</c:v>
                </c:pt>
                <c:pt idx="38">
                  <c:v>57.14236076640524</c:v>
                </c:pt>
                <c:pt idx="39">
                  <c:v>56.819805194805191</c:v>
                </c:pt>
              </c:numCache>
            </c:numRef>
          </c:val>
          <c:smooth val="0"/>
        </c:ser>
        <c:ser>
          <c:idx val="15"/>
          <c:order val="10"/>
          <c:tx>
            <c:strRef>
              <c:f>'Wheat (Adjusted)'!$AQ$6</c:f>
              <c:strCache>
                <c:ptCount val="1"/>
                <c:pt idx="0">
                  <c:v>Bahrain, Exports, in d/bushel</c:v>
                </c:pt>
              </c:strCache>
            </c:strRef>
          </c:tx>
          <c:spPr>
            <a:ln w="15875" cap="rnd">
              <a:solidFill>
                <a:schemeClr val="accent4">
                  <a:lumMod val="80000"/>
                  <a:lumOff val="20000"/>
                </a:schemeClr>
              </a:solidFill>
              <a:round/>
            </a:ln>
            <a:effectLst/>
          </c:spPr>
          <c:marker>
            <c:symbol val="circle"/>
            <c:size val="3"/>
            <c:spPr>
              <a:solidFill>
                <a:schemeClr val="accent4">
                  <a:lumMod val="80000"/>
                  <a:lumOff val="20000"/>
                </a:schemeClr>
              </a:solidFill>
              <a:ln w="9525">
                <a:solidFill>
                  <a:schemeClr val="accent4">
                    <a:lumMod val="80000"/>
                    <a:lumOff val="2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(Adjusted)'!$AQ$40:$AQ$79</c:f>
              <c:numCache>
                <c:formatCode>0.0000</c:formatCode>
                <c:ptCount val="40"/>
                <c:pt idx="23">
                  <c:v>37.811688311688307</c:v>
                </c:pt>
                <c:pt idx="24">
                  <c:v>52.246153846153845</c:v>
                </c:pt>
                <c:pt idx="25">
                  <c:v>44.193277310924373</c:v>
                </c:pt>
                <c:pt idx="31">
                  <c:v>52.922554767047217</c:v>
                </c:pt>
                <c:pt idx="32">
                  <c:v>40.712727272727271</c:v>
                </c:pt>
                <c:pt idx="33">
                  <c:v>42.857142857142854</c:v>
                </c:pt>
                <c:pt idx="34">
                  <c:v>51.428571428571431</c:v>
                </c:pt>
                <c:pt idx="35">
                  <c:v>64.846416382252556</c:v>
                </c:pt>
                <c:pt idx="36">
                  <c:v>66.623376623376615</c:v>
                </c:pt>
                <c:pt idx="37">
                  <c:v>67.881355932203377</c:v>
                </c:pt>
                <c:pt idx="38">
                  <c:v>38.543838136112811</c:v>
                </c:pt>
                <c:pt idx="39">
                  <c:v>42.264437689969611</c:v>
                </c:pt>
              </c:numCache>
            </c:numRef>
          </c:val>
          <c:smooth val="0"/>
        </c:ser>
        <c:ser>
          <c:idx val="16"/>
          <c:order val="11"/>
          <c:tx>
            <c:strRef>
              <c:f>'Wheat (Adjusted)'!$AR$6</c:f>
              <c:strCache>
                <c:ptCount val="1"/>
                <c:pt idx="0">
                  <c:v>Muscat, Imports, in d/bushel</c:v>
                </c:pt>
              </c:strCache>
            </c:strRef>
          </c:tx>
          <c:spPr>
            <a:ln w="15875" cap="rnd">
              <a:solidFill>
                <a:schemeClr val="accent5">
                  <a:lumMod val="80000"/>
                  <a:lumOff val="20000"/>
                </a:schemeClr>
              </a:solidFill>
              <a:round/>
            </a:ln>
            <a:effectLst/>
          </c:spPr>
          <c:marker>
            <c:symbol val="circle"/>
            <c:size val="3"/>
            <c:spPr>
              <a:solidFill>
                <a:schemeClr val="accent5">
                  <a:lumMod val="80000"/>
                  <a:lumOff val="20000"/>
                </a:schemeClr>
              </a:solidFill>
              <a:ln w="9525">
                <a:solidFill>
                  <a:schemeClr val="accent5">
                    <a:lumMod val="80000"/>
                    <a:lumOff val="2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(Adjusted)'!$AR$40:$AR$79</c:f>
              <c:numCache>
                <c:formatCode>0.0000</c:formatCode>
                <c:ptCount val="40"/>
                <c:pt idx="1">
                  <c:v>42.341164703592888</c:v>
                </c:pt>
                <c:pt idx="2">
                  <c:v>33.939567286461134</c:v>
                </c:pt>
                <c:pt idx="3">
                  <c:v>27.980458891109294</c:v>
                </c:pt>
                <c:pt idx="4">
                  <c:v>51.840349219552238</c:v>
                </c:pt>
                <c:pt idx="5">
                  <c:v>49.712353128441762</c:v>
                </c:pt>
                <c:pt idx="6">
                  <c:v>48.471022075294023</c:v>
                </c:pt>
                <c:pt idx="7">
                  <c:v>34.154748671795609</c:v>
                </c:pt>
                <c:pt idx="8">
                  <c:v>39.147763339002985</c:v>
                </c:pt>
                <c:pt idx="9">
                  <c:v>32.53370442707314</c:v>
                </c:pt>
                <c:pt idx="10">
                  <c:v>35.26577398797312</c:v>
                </c:pt>
                <c:pt idx="11">
                  <c:v>33.862437798509568</c:v>
                </c:pt>
                <c:pt idx="12">
                  <c:v>29.946156591897381</c:v>
                </c:pt>
                <c:pt idx="13">
                  <c:v>36.299933321104284</c:v>
                </c:pt>
                <c:pt idx="14">
                  <c:v>34.377714629781678</c:v>
                </c:pt>
                <c:pt idx="15">
                  <c:v>30.488832884331252</c:v>
                </c:pt>
                <c:pt idx="16">
                  <c:v>31.919940390593311</c:v>
                </c:pt>
                <c:pt idx="17">
                  <c:v>41.007557182562607</c:v>
                </c:pt>
                <c:pt idx="18">
                  <c:v>35.460882574764554</c:v>
                </c:pt>
                <c:pt idx="19">
                  <c:v>37.271215008806529</c:v>
                </c:pt>
                <c:pt idx="20">
                  <c:v>30.291071585854237</c:v>
                </c:pt>
                <c:pt idx="21">
                  <c:v>25.207731474009552</c:v>
                </c:pt>
                <c:pt idx="22">
                  <c:v>25.969952296117928</c:v>
                </c:pt>
                <c:pt idx="23">
                  <c:v>26.841061807098811</c:v>
                </c:pt>
                <c:pt idx="24">
                  <c:v>41.789480199449265</c:v>
                </c:pt>
                <c:pt idx="25">
                  <c:v>38.457367629744979</c:v>
                </c:pt>
                <c:pt idx="26">
                  <c:v>52.092658831696063</c:v>
                </c:pt>
                <c:pt idx="27">
                  <c:v>27.44208647075391</c:v>
                </c:pt>
                <c:pt idx="28">
                  <c:v>30.430437807147555</c:v>
                </c:pt>
                <c:pt idx="29">
                  <c:v>17.923551406851342</c:v>
                </c:pt>
                <c:pt idx="30">
                  <c:v>22.50199998193127</c:v>
                </c:pt>
                <c:pt idx="31">
                  <c:v>29.844630768058714</c:v>
                </c:pt>
                <c:pt idx="32">
                  <c:v>35.454545454545482</c:v>
                </c:pt>
                <c:pt idx="33">
                  <c:v>32.914285714285711</c:v>
                </c:pt>
                <c:pt idx="34">
                  <c:v>33.75</c:v>
                </c:pt>
                <c:pt idx="35">
                  <c:v>38.626457614534665</c:v>
                </c:pt>
                <c:pt idx="36">
                  <c:v>39.730937773882495</c:v>
                </c:pt>
                <c:pt idx="37">
                  <c:v>48.400180261378964</c:v>
                </c:pt>
                <c:pt idx="38">
                  <c:v>32.10445468509981</c:v>
                </c:pt>
              </c:numCache>
            </c:numRef>
          </c:val>
          <c:smooth val="0"/>
        </c:ser>
        <c:ser>
          <c:idx val="17"/>
          <c:order val="12"/>
          <c:tx>
            <c:strRef>
              <c:f>'Wheat (Adjusted)'!$AS$6</c:f>
              <c:strCache>
                <c:ptCount val="1"/>
                <c:pt idx="0">
                  <c:v>Muscat, Exports, in d/bushel</c:v>
                </c:pt>
              </c:strCache>
            </c:strRef>
          </c:tx>
          <c:spPr>
            <a:ln w="15875" cap="rnd">
              <a:solidFill>
                <a:schemeClr val="accent6">
                  <a:lumMod val="80000"/>
                  <a:lumOff val="20000"/>
                </a:schemeClr>
              </a:solidFill>
              <a:round/>
            </a:ln>
            <a:effectLst/>
          </c:spPr>
          <c:marker>
            <c:symbol val="circle"/>
            <c:size val="3"/>
            <c:spPr>
              <a:solidFill>
                <a:schemeClr val="accent6">
                  <a:lumMod val="80000"/>
                  <a:lumOff val="20000"/>
                </a:schemeClr>
              </a:solidFill>
              <a:ln w="9525">
                <a:solidFill>
                  <a:schemeClr val="accent6">
                    <a:lumMod val="80000"/>
                    <a:lumOff val="2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(Adjusted)'!$AS$40:$AS$79</c:f>
              <c:numCache>
                <c:formatCode>0.0000</c:formatCode>
                <c:ptCount val="40"/>
                <c:pt idx="1">
                  <c:v>50.262882981378034</c:v>
                </c:pt>
                <c:pt idx="2">
                  <c:v>37.710630318290058</c:v>
                </c:pt>
                <c:pt idx="3">
                  <c:v>30.778504780220281</c:v>
                </c:pt>
                <c:pt idx="4">
                  <c:v>50.880342752523767</c:v>
                </c:pt>
                <c:pt idx="5">
                  <c:v>52.276879281893393</c:v>
                </c:pt>
                <c:pt idx="6">
                  <c:v>56.068662440270856</c:v>
                </c:pt>
                <c:pt idx="7">
                  <c:v>45.515471948751724</c:v>
                </c:pt>
                <c:pt idx="8">
                  <c:v>38.593262441849909</c:v>
                </c:pt>
                <c:pt idx="9">
                  <c:v>38.54659586090451</c:v>
                </c:pt>
                <c:pt idx="10">
                  <c:v>37.753263984832707</c:v>
                </c:pt>
                <c:pt idx="11">
                  <c:v>37.799930565778105</c:v>
                </c:pt>
                <c:pt idx="12">
                  <c:v>33.574012402388654</c:v>
                </c:pt>
                <c:pt idx="13">
                  <c:v>33.639654519794057</c:v>
                </c:pt>
                <c:pt idx="14">
                  <c:v>33.366605375964596</c:v>
                </c:pt>
                <c:pt idx="15">
                  <c:v>30.488832884331252</c:v>
                </c:pt>
                <c:pt idx="16">
                  <c:v>30.102537297616582</c:v>
                </c:pt>
                <c:pt idx="17">
                  <c:v>30.559943864819569</c:v>
                </c:pt>
                <c:pt idx="18">
                  <c:v>33.646604861636995</c:v>
                </c:pt>
                <c:pt idx="19">
                  <c:v>36.275488921561497</c:v>
                </c:pt>
                <c:pt idx="20">
                  <c:v>26.805284095040609</c:v>
                </c:pt>
                <c:pt idx="21">
                  <c:v>20.00613609048381</c:v>
                </c:pt>
                <c:pt idx="37">
                  <c:v>48.979591836734691</c:v>
                </c:pt>
                <c:pt idx="38">
                  <c:v>48.111483399329828</c:v>
                </c:pt>
              </c:numCache>
            </c:numRef>
          </c:val>
          <c:smooth val="0"/>
        </c:ser>
        <c:ser>
          <c:idx val="18"/>
          <c:order val="13"/>
          <c:tx>
            <c:strRef>
              <c:f>'Wheat (Adjusted)'!$AT$6</c:f>
              <c:strCache>
                <c:ptCount val="1"/>
                <c:pt idx="0">
                  <c:v>Mohammerah, Imports, in d/bushel</c:v>
                </c:pt>
              </c:strCache>
            </c:strRef>
          </c:tx>
          <c:spPr>
            <a:ln w="15875" cap="rnd">
              <a:solidFill>
                <a:schemeClr val="accent1">
                  <a:lumMod val="80000"/>
                </a:schemeClr>
              </a:solidFill>
              <a:round/>
            </a:ln>
            <a:effectLst/>
          </c:spPr>
          <c:marker>
            <c:symbol val="circle"/>
            <c:size val="3"/>
            <c:spPr>
              <a:solidFill>
                <a:schemeClr val="accent1">
                  <a:lumMod val="80000"/>
                </a:schemeClr>
              </a:solidFill>
              <a:ln w="9525">
                <a:solidFill>
                  <a:schemeClr val="accent1">
                    <a:lumMod val="8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(Adjusted)'!$AT$40:$AT$79</c:f>
              <c:numCache>
                <c:formatCode>0.0000</c:formatCode>
                <c:ptCount val="40"/>
                <c:pt idx="24">
                  <c:v>43.43643037290574</c:v>
                </c:pt>
                <c:pt idx="28">
                  <c:v>52.13463007580652</c:v>
                </c:pt>
                <c:pt idx="29">
                  <c:v>32.803282893049456</c:v>
                </c:pt>
              </c:numCache>
            </c:numRef>
          </c:val>
          <c:smooth val="0"/>
        </c:ser>
        <c:ser>
          <c:idx val="19"/>
          <c:order val="14"/>
          <c:tx>
            <c:strRef>
              <c:f>'Wheat (Adjusted)'!$AU$6</c:f>
              <c:strCache>
                <c:ptCount val="1"/>
                <c:pt idx="0">
                  <c:v>Mohammerah, Exports, in d/bushel</c:v>
                </c:pt>
              </c:strCache>
            </c:strRef>
          </c:tx>
          <c:spPr>
            <a:ln w="15875" cap="rnd">
              <a:solidFill>
                <a:schemeClr val="accent2">
                  <a:lumMod val="80000"/>
                </a:schemeClr>
              </a:solidFill>
              <a:round/>
            </a:ln>
            <a:effectLst/>
          </c:spPr>
          <c:marker>
            <c:symbol val="circle"/>
            <c:size val="3"/>
            <c:spPr>
              <a:solidFill>
                <a:schemeClr val="accent2">
                  <a:lumMod val="80000"/>
                </a:schemeClr>
              </a:solidFill>
              <a:ln w="9525">
                <a:solidFill>
                  <a:schemeClr val="accent2">
                    <a:lumMod val="8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(Adjusted)'!$AU$40:$AU$79</c:f>
              <c:numCache>
                <c:formatCode>0.0000</c:formatCode>
                <c:ptCount val="40"/>
                <c:pt idx="17">
                  <c:v>26.334405144694539</c:v>
                </c:pt>
                <c:pt idx="18">
                  <c:v>28.95226533789441</c:v>
                </c:pt>
                <c:pt idx="19">
                  <c:v>32.593392343814145</c:v>
                </c:pt>
                <c:pt idx="20">
                  <c:v>28.860405499883441</c:v>
                </c:pt>
                <c:pt idx="21">
                  <c:v>12.747438231266763</c:v>
                </c:pt>
                <c:pt idx="22">
                  <c:v>15.592681866502412</c:v>
                </c:pt>
                <c:pt idx="23">
                  <c:v>40.88681155709331</c:v>
                </c:pt>
                <c:pt idx="24">
                  <c:v>43.27192285092115</c:v>
                </c:pt>
                <c:pt idx="25">
                  <c:v>32.998160637645555</c:v>
                </c:pt>
                <c:pt idx="26">
                  <c:v>32.354124748490953</c:v>
                </c:pt>
                <c:pt idx="27">
                  <c:v>58.950155404627573</c:v>
                </c:pt>
              </c:numCache>
            </c:numRef>
          </c:val>
          <c:smooth val="0"/>
        </c:ser>
        <c:ser>
          <c:idx val="20"/>
          <c:order val="15"/>
          <c:tx>
            <c:strRef>
              <c:f>'Wheat (Adjusted)'!$AV$6</c:f>
              <c:strCache>
                <c:ptCount val="1"/>
                <c:pt idx="0">
                  <c:v>Lingah, Imports, in d/bushel</c:v>
                </c:pt>
              </c:strCache>
            </c:strRef>
          </c:tx>
          <c:spPr>
            <a:ln w="15875" cap="rnd">
              <a:solidFill>
                <a:schemeClr val="accent3">
                  <a:lumMod val="80000"/>
                </a:schemeClr>
              </a:solidFill>
              <a:round/>
            </a:ln>
            <a:effectLst/>
          </c:spPr>
          <c:marker>
            <c:symbol val="circle"/>
            <c:size val="3"/>
            <c:spPr>
              <a:solidFill>
                <a:schemeClr val="accent3">
                  <a:lumMod val="80000"/>
                </a:schemeClr>
              </a:solidFill>
              <a:ln w="9525">
                <a:solidFill>
                  <a:schemeClr val="accent3">
                    <a:lumMod val="8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(Adjusted)'!$AV$40:$AV$79</c:f>
              <c:numCache>
                <c:formatCode>0.0000</c:formatCode>
                <c:ptCount val="40"/>
                <c:pt idx="23">
                  <c:v>39.17374517374521</c:v>
                </c:pt>
                <c:pt idx="24">
                  <c:v>56.251567944250837</c:v>
                </c:pt>
                <c:pt idx="25">
                  <c:v>40.326578073089735</c:v>
                </c:pt>
                <c:pt idx="26">
                  <c:v>42.857142857142804</c:v>
                </c:pt>
                <c:pt idx="34">
                  <c:v>33.819875776397566</c:v>
                </c:pt>
                <c:pt idx="35">
                  <c:v>48.936940197231465</c:v>
                </c:pt>
                <c:pt idx="36">
                  <c:v>66.704220993513459</c:v>
                </c:pt>
                <c:pt idx="37">
                  <c:v>65.819224319792255</c:v>
                </c:pt>
                <c:pt idx="38">
                  <c:v>41.157960981749476</c:v>
                </c:pt>
                <c:pt idx="39">
                  <c:v>56.741440377804032</c:v>
                </c:pt>
              </c:numCache>
            </c:numRef>
          </c:val>
          <c:smooth val="0"/>
        </c:ser>
        <c:ser>
          <c:idx val="21"/>
          <c:order val="16"/>
          <c:tx>
            <c:strRef>
              <c:f>'Wheat (Adjusted)'!$AW$6</c:f>
              <c:strCache>
                <c:ptCount val="1"/>
                <c:pt idx="0">
                  <c:v>Lingah, Exports, in d/bushel</c:v>
                </c:pt>
              </c:strCache>
            </c:strRef>
          </c:tx>
          <c:spPr>
            <a:ln w="15875" cap="rnd">
              <a:solidFill>
                <a:schemeClr val="accent4">
                  <a:lumMod val="80000"/>
                </a:schemeClr>
              </a:solidFill>
              <a:round/>
            </a:ln>
            <a:effectLst/>
          </c:spPr>
          <c:marker>
            <c:symbol val="circle"/>
            <c:size val="3"/>
            <c:spPr>
              <a:solidFill>
                <a:schemeClr val="accent4">
                  <a:lumMod val="80000"/>
                </a:schemeClr>
              </a:solidFill>
              <a:ln w="9525">
                <a:solidFill>
                  <a:schemeClr val="accent4">
                    <a:lumMod val="8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(Adjusted)'!$AW$40:$AW$79</c:f>
              <c:numCache>
                <c:formatCode>0.0000</c:formatCode>
                <c:ptCount val="40"/>
                <c:pt idx="23">
                  <c:v>37.819047619047595</c:v>
                </c:pt>
                <c:pt idx="24">
                  <c:v>56.253061224489848</c:v>
                </c:pt>
                <c:pt idx="25">
                  <c:v>40.174904942965789</c:v>
                </c:pt>
                <c:pt idx="26">
                  <c:v>42.857142857142804</c:v>
                </c:pt>
                <c:pt idx="34">
                  <c:v>39.692731024994266</c:v>
                </c:pt>
                <c:pt idx="35">
                  <c:v>48.404555192242668</c:v>
                </c:pt>
                <c:pt idx="37">
                  <c:v>33.735521235521176</c:v>
                </c:pt>
                <c:pt idx="38">
                  <c:v>43.890480291021554</c:v>
                </c:pt>
                <c:pt idx="39">
                  <c:v>43.727717436365182</c:v>
                </c:pt>
              </c:numCache>
            </c:numRef>
          </c:val>
          <c:smooth val="0"/>
        </c:ser>
        <c:ser>
          <c:idx val="0"/>
          <c:order val="17"/>
          <c:tx>
            <c:strRef>
              <c:f>'Wheat (Adjusted)'!$V$6</c:f>
              <c:strCache>
                <c:ptCount val="1"/>
                <c:pt idx="0">
                  <c:v>Istanbul (Rumeli), , in d/bushel</c:v>
                </c:pt>
              </c:strCache>
            </c:strRef>
          </c:tx>
          <c:spPr>
            <a:ln w="15875" cap="rnd">
              <a:solidFill>
                <a:schemeClr val="accent1"/>
              </a:solidFill>
              <a:round/>
            </a:ln>
            <a:effectLst/>
          </c:spPr>
          <c:marker>
            <c:symbol val="circle"/>
            <c:size val="3"/>
            <c:spPr>
              <a:solidFill>
                <a:schemeClr val="accent1"/>
              </a:solidFill>
              <a:ln w="9525">
                <a:solidFill>
                  <a:schemeClr val="accent1"/>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(Adjusted)'!$V$40:$V$79</c:f>
              <c:numCache>
                <c:formatCode>0.0000</c:formatCode>
                <c:ptCount val="40"/>
                <c:pt idx="3" formatCode="_(* #,##0.0000_);_(* \(#,##0.0000\);_(* &quot;-&quot;??_);_(@_)">
                  <c:v>52.458233215547715</c:v>
                </c:pt>
                <c:pt idx="4" formatCode="_(* #,##0.0000_);_(* \(#,##0.0000\);_(* &quot;-&quot;??_);_(@_)">
                  <c:v>64.399293286219077</c:v>
                </c:pt>
                <c:pt idx="5" formatCode="_(* #,##0.0000_);_(* \(#,##0.0000\);_(* &quot;-&quot;??_);_(@_)">
                  <c:v>59.338939929328617</c:v>
                </c:pt>
                <c:pt idx="6" formatCode="_(* #,##0.0000_);_(* \(#,##0.0000\);_(* &quot;-&quot;??_);_(@_)">
                  <c:v>50.592084805653712</c:v>
                </c:pt>
                <c:pt idx="7" formatCode="_(* #,##0.0000_);_(* \(#,##0.0000\);_(* &quot;-&quot;??_);_(@_)">
                  <c:v>63.094134275618373</c:v>
                </c:pt>
                <c:pt idx="8" formatCode="_(* #,##0.0000_);_(* \(#,##0.0000\);_(* &quot;-&quot;??_);_(@_)">
                  <c:v>61.525653710247347</c:v>
                </c:pt>
                <c:pt idx="9" formatCode="_(* #,##0.0000_);_(* \(#,##0.0000\);_(* &quot;-&quot;??_);_(@_)">
                  <c:v>64.239010600706706</c:v>
                </c:pt>
                <c:pt idx="12" formatCode="_(* #,##0.0000_);_(* \(#,##0.0000\);_(* &quot;-&quot;??_);_(@_)">
                  <c:v>42.268833922261479</c:v>
                </c:pt>
                <c:pt idx="13" formatCode="_(* #,##0.0000_);_(* \(#,##0.0000\);_(* &quot;-&quot;??_);_(@_)">
                  <c:v>41.570459363957603</c:v>
                </c:pt>
                <c:pt idx="14" formatCode="_(* #,##0.0000_);_(* \(#,##0.0000\);_(* &quot;-&quot;??_);_(@_)">
                  <c:v>45.085229681978802</c:v>
                </c:pt>
                <c:pt idx="15" formatCode="_(* #,##0.0000_);_(* \(#,##0.0000\);_(* &quot;-&quot;??_);_(@_)">
                  <c:v>41.982614840989399</c:v>
                </c:pt>
                <c:pt idx="16" formatCode="_(* #,##0.0000_);_(* \(#,##0.0000\);_(* &quot;-&quot;??_);_(@_)">
                  <c:v>42.463462897526512</c:v>
                </c:pt>
                <c:pt idx="19" formatCode="_(* #,##0.0000_);_(* \(#,##0.0000\);_(* &quot;-&quot;??_);_(@_)">
                  <c:v>49.802120141342755</c:v>
                </c:pt>
                <c:pt idx="20" formatCode="_(* #,##0.0000_);_(* \(#,##0.0000\);_(* &quot;-&quot;??_);_(@_)">
                  <c:v>42.93286219081272</c:v>
                </c:pt>
                <c:pt idx="21" formatCode="_(* #,##0.0000_);_(* \(#,##0.0000\);_(* &quot;-&quot;??_);_(@_)">
                  <c:v>27.282402826855126</c:v>
                </c:pt>
                <c:pt idx="22" formatCode="_(* #,##0.0000_);_(* \(#,##0.0000\);_(* &quot;-&quot;??_);_(@_)">
                  <c:v>28.049469964664311</c:v>
                </c:pt>
                <c:pt idx="23" formatCode="_(* #,##0.0000_);_(* \(#,##0.0000\);_(* &quot;-&quot;??_);_(@_)">
                  <c:v>31.552791519434631</c:v>
                </c:pt>
                <c:pt idx="24" formatCode="_(* #,##0.0000_);_(* \(#,##0.0000\);_(* &quot;-&quot;??_);_(@_)">
                  <c:v>33.201413427561839</c:v>
                </c:pt>
                <c:pt idx="25" formatCode="_(* #,##0.0000_);_(* \(#,##0.0000\);_(* &quot;-&quot;??_);_(@_)">
                  <c:v>46.367491166077741</c:v>
                </c:pt>
                <c:pt idx="26" formatCode="_(* #,##0.0000_);_(* \(#,##0.0000\);_(* &quot;-&quot;??_);_(@_)">
                  <c:v>45.085229681978802</c:v>
                </c:pt>
                <c:pt idx="27" formatCode="_(* #,##0.0000_);_(* \(#,##0.0000\);_(* &quot;-&quot;??_);_(@_)">
                  <c:v>39.784452296819794</c:v>
                </c:pt>
                <c:pt idx="28" formatCode="_(* #,##0.0000_);_(* \(#,##0.0000\);_(* &quot;-&quot;??_);_(@_)">
                  <c:v>37.013851590106007</c:v>
                </c:pt>
                <c:pt idx="29" formatCode="_(* #,##0.0000_);_(* \(#,##0.0000\);_(* &quot;-&quot;??_);_(@_)">
                  <c:v>36.498657243816254</c:v>
                </c:pt>
                <c:pt idx="30" formatCode="_(* #,##0.0000_);_(* \(#,##0.0000\);_(* &quot;-&quot;??_);_(@_)">
                  <c:v>40.219505300353362</c:v>
                </c:pt>
                <c:pt idx="31" formatCode="_(* #,##0.0000_);_(* \(#,##0.0000\);_(* &quot;-&quot;??_);_(@_)">
                  <c:v>46.081272084805654</c:v>
                </c:pt>
                <c:pt idx="32" formatCode="_(* #,##0.0000_);_(* \(#,##0.0000\);_(* &quot;-&quot;??_);_(@_)">
                  <c:v>44.787561837455826</c:v>
                </c:pt>
                <c:pt idx="33" formatCode="_(* #,##0.0000_);_(* \(#,##0.0000\);_(* &quot;-&quot;??_);_(@_)">
                  <c:v>42.452014134275608</c:v>
                </c:pt>
                <c:pt idx="34" formatCode="_(* #,##0.0000_);_(* \(#,##0.0000\);_(* &quot;-&quot;??_);_(@_)">
                  <c:v>52.87038869257951</c:v>
                </c:pt>
                <c:pt idx="35" formatCode="_(* #,##0.0000_);_(* \(#,##0.0000\);_(* &quot;-&quot;??_);_(@_)">
                  <c:v>61.880565371024751</c:v>
                </c:pt>
              </c:numCache>
            </c:numRef>
          </c:val>
          <c:smooth val="0"/>
        </c:ser>
        <c:ser>
          <c:idx val="1"/>
          <c:order val="18"/>
          <c:tx>
            <c:strRef>
              <c:f>'Wheat (Adjusted)'!$W$6</c:f>
              <c:strCache>
                <c:ptCount val="1"/>
                <c:pt idx="0">
                  <c:v>Istanbul (Anatolia), , in d/bushel</c:v>
                </c:pt>
              </c:strCache>
            </c:strRef>
          </c:tx>
          <c:spPr>
            <a:ln w="15875" cap="rnd">
              <a:solidFill>
                <a:schemeClr val="accent2"/>
              </a:solidFill>
              <a:round/>
            </a:ln>
            <a:effectLst/>
          </c:spPr>
          <c:marker>
            <c:symbol val="circle"/>
            <c:size val="3"/>
            <c:spPr>
              <a:solidFill>
                <a:schemeClr val="accent2"/>
              </a:solidFill>
              <a:ln w="9525">
                <a:solidFill>
                  <a:schemeClr val="accent2"/>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(Adjusted)'!$W$40:$W$79</c:f>
              <c:numCache>
                <c:formatCode>0.0000</c:formatCode>
                <c:ptCount val="40"/>
                <c:pt idx="13" formatCode="_(* #,##0.0000_);_(* \(#,##0.0000\);_(* &quot;-&quot;??_);_(@_)">
                  <c:v>41.570459363957603</c:v>
                </c:pt>
                <c:pt idx="14" formatCode="_(* #,##0.0000_);_(* \(#,##0.0000\);_(* &quot;-&quot;??_);_(@_)">
                  <c:v>45.096678445229678</c:v>
                </c:pt>
                <c:pt idx="23" formatCode="_(* #,##0.0000_);_(* \(#,##0.0000\);_(* &quot;-&quot;??_);_(@_)">
                  <c:v>30.94600706713781</c:v>
                </c:pt>
                <c:pt idx="24" formatCode="_(* #,##0.0000_);_(* \(#,##0.0000\);_(* &quot;-&quot;??_);_(@_)">
                  <c:v>38.937243816254416</c:v>
                </c:pt>
                <c:pt idx="25" formatCode="_(* #,##0.0000_);_(* \(#,##0.0000\);_(* &quot;-&quot;??_);_(@_)">
                  <c:v>49.092296819787997</c:v>
                </c:pt>
                <c:pt idx="26" formatCode="_(* #,##0.0000_);_(* \(#,##0.0000\);_(* &quot;-&quot;??_);_(@_)">
                  <c:v>45.085229681978802</c:v>
                </c:pt>
                <c:pt idx="27" formatCode="_(* #,##0.0000_);_(* \(#,##0.0000\);_(* &quot;-&quot;??_);_(@_)">
                  <c:v>39.784452296819794</c:v>
                </c:pt>
                <c:pt idx="28" formatCode="_(* #,##0.0000_);_(* \(#,##0.0000\);_(* &quot;-&quot;??_);_(@_)">
                  <c:v>37.013851590106007</c:v>
                </c:pt>
                <c:pt idx="29" formatCode="_(* #,##0.0000_);_(* \(#,##0.0000\);_(* &quot;-&quot;??_);_(@_)">
                  <c:v>36.498657243816254</c:v>
                </c:pt>
                <c:pt idx="30" formatCode="_(* #,##0.0000_);_(* \(#,##0.0000\);_(* &quot;-&quot;??_);_(@_)">
                  <c:v>40.219505300353362</c:v>
                </c:pt>
                <c:pt idx="31" formatCode="_(* #,##0.0000_);_(* \(#,##0.0000\);_(* &quot;-&quot;??_);_(@_)">
                  <c:v>42.646643109540641</c:v>
                </c:pt>
                <c:pt idx="32" formatCode="_(* #,##0.0000_);_(* \(#,##0.0000\);_(* &quot;-&quot;??_);_(@_)">
                  <c:v>44.787561837455826</c:v>
                </c:pt>
                <c:pt idx="33" formatCode="_(* #,##0.0000_);_(* \(#,##0.0000\);_(* &quot;-&quot;??_);_(@_)">
                  <c:v>42.452014134275608</c:v>
                </c:pt>
                <c:pt idx="34" formatCode="_(* #,##0.0000_);_(* \(#,##0.0000\);_(* &quot;-&quot;??_);_(@_)">
                  <c:v>52.87038869257951</c:v>
                </c:pt>
                <c:pt idx="35" formatCode="_(* #,##0.0000_);_(* \(#,##0.0000\);_(* &quot;-&quot;??_);_(@_)">
                  <c:v>61.880565371024751</c:v>
                </c:pt>
              </c:numCache>
            </c:numRef>
          </c:val>
          <c:smooth val="0"/>
        </c:ser>
        <c:ser>
          <c:idx val="4"/>
          <c:order val="19"/>
          <c:tx>
            <c:strRef>
              <c:f>'Wheat (Adjusted)'!$X$6</c:f>
              <c:strCache>
                <c:ptCount val="1"/>
                <c:pt idx="0">
                  <c:v>Turkey &amp; Constantinople, Imports, in d/bushel</c:v>
                </c:pt>
              </c:strCache>
            </c:strRef>
          </c:tx>
          <c:spPr>
            <a:ln w="15875" cap="rnd">
              <a:solidFill>
                <a:schemeClr val="accent5"/>
              </a:solidFill>
              <a:round/>
            </a:ln>
            <a:effectLst/>
          </c:spPr>
          <c:marker>
            <c:symbol val="circle"/>
            <c:size val="3"/>
            <c:spPr>
              <a:solidFill>
                <a:schemeClr val="accent5"/>
              </a:solidFill>
              <a:ln w="9525">
                <a:solidFill>
                  <a:schemeClr val="accent5"/>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(Adjusted)'!$X$40:$X$79</c:f>
              <c:numCache>
                <c:formatCode>0.0000</c:formatCode>
                <c:ptCount val="40"/>
                <c:pt idx="16">
                  <c:v>98.157671753255343</c:v>
                </c:pt>
                <c:pt idx="17">
                  <c:v>126.17116438830043</c:v>
                </c:pt>
                <c:pt idx="34">
                  <c:v>57.208375534591028</c:v>
                </c:pt>
                <c:pt idx="37">
                  <c:v>47.458576737058046</c:v>
                </c:pt>
                <c:pt idx="38">
                  <c:v>44.990941421190342</c:v>
                </c:pt>
              </c:numCache>
            </c:numRef>
          </c:val>
          <c:smooth val="0"/>
        </c:ser>
        <c:ser>
          <c:idx val="7"/>
          <c:order val="20"/>
          <c:tx>
            <c:strRef>
              <c:f>'Wheat (Adjusted)'!$Y$6</c:f>
              <c:strCache>
                <c:ptCount val="1"/>
                <c:pt idx="0">
                  <c:v>Turkey &amp; Constantinople, Exports, in d/bushel</c:v>
                </c:pt>
              </c:strCache>
            </c:strRef>
          </c:tx>
          <c:spPr>
            <a:ln w="15875" cap="rnd">
              <a:solidFill>
                <a:schemeClr val="accent2">
                  <a:lumMod val="60000"/>
                </a:schemeClr>
              </a:solidFill>
              <a:round/>
            </a:ln>
            <a:effectLst/>
          </c:spPr>
          <c:marker>
            <c:symbol val="circle"/>
            <c:size val="3"/>
            <c:spPr>
              <a:solidFill>
                <a:schemeClr val="accent2">
                  <a:lumMod val="60000"/>
                </a:schemeClr>
              </a:solidFill>
              <a:ln w="9525">
                <a:solidFill>
                  <a:schemeClr val="accent2">
                    <a:lumMod val="6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(Adjusted)'!$Y$40:$Y$79</c:f>
              <c:numCache>
                <c:formatCode>0.0000</c:formatCode>
                <c:ptCount val="40"/>
                <c:pt idx="11">
                  <c:v>89.772367558462705</c:v>
                </c:pt>
                <c:pt idx="12">
                  <c:v>85.760074394249131</c:v>
                </c:pt>
                <c:pt idx="16">
                  <c:v>85.196111759747993</c:v>
                </c:pt>
                <c:pt idx="17">
                  <c:v>88.019877485057776</c:v>
                </c:pt>
                <c:pt idx="19">
                  <c:v>36.657359173582904</c:v>
                </c:pt>
                <c:pt idx="20">
                  <c:v>32.1276175948312</c:v>
                </c:pt>
                <c:pt idx="21">
                  <c:v>32.797219393052416</c:v>
                </c:pt>
                <c:pt idx="22">
                  <c:v>40.260826771653534</c:v>
                </c:pt>
                <c:pt idx="23">
                  <c:v>41.710256968641104</c:v>
                </c:pt>
                <c:pt idx="27">
                  <c:v>37.763428008998886</c:v>
                </c:pt>
                <c:pt idx="28">
                  <c:v>38.898694533163813</c:v>
                </c:pt>
                <c:pt idx="38">
                  <c:v>30.14521129549173</c:v>
                </c:pt>
              </c:numCache>
            </c:numRef>
          </c:val>
          <c:smooth val="0"/>
        </c:ser>
        <c:ser>
          <c:idx val="10"/>
          <c:order val="21"/>
          <c:tx>
            <c:strRef>
              <c:f>'Wheat (Adjusted)'!$Z$6</c:f>
              <c:strCache>
                <c:ptCount val="1"/>
                <c:pt idx="0">
                  <c:v>Trebizond (Anatolia), Exports, in d/bushel</c:v>
                </c:pt>
              </c:strCache>
            </c:strRef>
          </c:tx>
          <c:spPr>
            <a:ln w="15875" cap="rnd">
              <a:solidFill>
                <a:schemeClr val="accent5">
                  <a:lumMod val="60000"/>
                </a:schemeClr>
              </a:solidFill>
              <a:round/>
            </a:ln>
            <a:effectLst/>
          </c:spPr>
          <c:marker>
            <c:symbol val="circle"/>
            <c:size val="3"/>
            <c:spPr>
              <a:solidFill>
                <a:schemeClr val="accent5">
                  <a:lumMod val="60000"/>
                </a:schemeClr>
              </a:solidFill>
              <a:ln w="9525">
                <a:solidFill>
                  <a:schemeClr val="accent5">
                    <a:lumMod val="6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(Adjusted)'!$Z$40:$Z$79</c:f>
              <c:numCache>
                <c:formatCode>0.0000</c:formatCode>
                <c:ptCount val="40"/>
                <c:pt idx="0">
                  <c:v>60</c:v>
                </c:pt>
                <c:pt idx="2">
                  <c:v>48</c:v>
                </c:pt>
                <c:pt idx="11">
                  <c:v>45</c:v>
                </c:pt>
              </c:numCache>
            </c:numRef>
          </c:val>
          <c:smooth val="0"/>
        </c:ser>
        <c:ser>
          <c:idx val="22"/>
          <c:order val="22"/>
          <c:tx>
            <c:strRef>
              <c:f>'Wheat (Adjusted)'!$AX$6</c:f>
              <c:strCache>
                <c:ptCount val="1"/>
                <c:pt idx="0">
                  <c:v>India, Exports, in d/bushel</c:v>
                </c:pt>
              </c:strCache>
            </c:strRef>
          </c:tx>
          <c:spPr>
            <a:ln w="15875" cap="rnd">
              <a:solidFill>
                <a:schemeClr val="accent5">
                  <a:lumMod val="80000"/>
                </a:schemeClr>
              </a:solidFill>
              <a:round/>
            </a:ln>
            <a:effectLst/>
          </c:spPr>
          <c:marker>
            <c:symbol val="circle"/>
            <c:size val="3"/>
            <c:spPr>
              <a:solidFill>
                <a:schemeClr val="accent5">
                  <a:lumMod val="80000"/>
                </a:schemeClr>
              </a:solidFill>
              <a:ln w="9525">
                <a:solidFill>
                  <a:schemeClr val="accent5">
                    <a:lumMod val="8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(Adjusted)'!$AX$27:$AX$98</c:f>
              <c:numCache>
                <c:formatCode>0.0000</c:formatCode>
                <c:ptCount val="72"/>
                <c:pt idx="1">
                  <c:v>45.798465616883675</c:v>
                </c:pt>
                <c:pt idx="2">
                  <c:v>42.853151712720816</c:v>
                </c:pt>
                <c:pt idx="3">
                  <c:v>35.192458031018845</c:v>
                </c:pt>
                <c:pt idx="4">
                  <c:v>52.000490633384445</c:v>
                </c:pt>
                <c:pt idx="5">
                  <c:v>54.347968961976974</c:v>
                </c:pt>
                <c:pt idx="6">
                  <c:v>71.668187467191629</c:v>
                </c:pt>
                <c:pt idx="7">
                  <c:v>53.63068228321675</c:v>
                </c:pt>
                <c:pt idx="8">
                  <c:v>46.868016536253833</c:v>
                </c:pt>
                <c:pt idx="9">
                  <c:v>55.483197561542937</c:v>
                </c:pt>
                <c:pt idx="10">
                  <c:v>62.209305395659285</c:v>
                </c:pt>
                <c:pt idx="11">
                  <c:v>41.811190082786993</c:v>
                </c:pt>
                <c:pt idx="12">
                  <c:v>47.60630927936451</c:v>
                </c:pt>
                <c:pt idx="13">
                  <c:v>59.250141681994762</c:v>
                </c:pt>
                <c:pt idx="14">
                  <c:v>55.228225849330407</c:v>
                </c:pt>
                <c:pt idx="15">
                  <c:v>49.05245949324609</c:v>
                </c:pt>
                <c:pt idx="16">
                  <c:v>42.603157167845751</c:v>
                </c:pt>
                <c:pt idx="17">
                  <c:v>51.182410101896046</c:v>
                </c:pt>
                <c:pt idx="18">
                  <c:v>57.76172109010561</c:v>
                </c:pt>
                <c:pt idx="19">
                  <c:v>59.398399472022142</c:v>
                </c:pt>
                <c:pt idx="20">
                  <c:v>56.893448003854708</c:v>
                </c:pt>
                <c:pt idx="21">
                  <c:v>46.846797214011232</c:v>
                </c:pt>
                <c:pt idx="22">
                  <c:v>49.237241852211852</c:v>
                </c:pt>
                <c:pt idx="23">
                  <c:v>45.063773314078858</c:v>
                </c:pt>
                <c:pt idx="24">
                  <c:v>40.264772848301753</c:v>
                </c:pt>
                <c:pt idx="25">
                  <c:v>37.019422784391566</c:v>
                </c:pt>
                <c:pt idx="26">
                  <c:v>36.714928807616126</c:v>
                </c:pt>
                <c:pt idx="27">
                  <c:v>39.194847631999743</c:v>
                </c:pt>
                <c:pt idx="28">
                  <c:v>38.940689482979629</c:v>
                </c:pt>
                <c:pt idx="29">
                  <c:v>39.083852147924617</c:v>
                </c:pt>
                <c:pt idx="30">
                  <c:v>41.608947679970008</c:v>
                </c:pt>
                <c:pt idx="31">
                  <c:v>42.743333423064108</c:v>
                </c:pt>
                <c:pt idx="32">
                  <c:v>41.761671246829117</c:v>
                </c:pt>
                <c:pt idx="33">
                  <c:v>36.720161859974439</c:v>
                </c:pt>
                <c:pt idx="34">
                  <c:v>27.081061322308653</c:v>
                </c:pt>
                <c:pt idx="35">
                  <c:v>27.374778822519495</c:v>
                </c:pt>
                <c:pt idx="36">
                  <c:v>37.922893574179298</c:v>
                </c:pt>
                <c:pt idx="37">
                  <c:v>48.336886130841343</c:v>
                </c:pt>
                <c:pt idx="38">
                  <c:v>41.45923520289665</c:v>
                </c:pt>
                <c:pt idx="39">
                  <c:v>38.814505656181865</c:v>
                </c:pt>
                <c:pt idx="40">
                  <c:v>39.343848718872792</c:v>
                </c:pt>
                <c:pt idx="41">
                  <c:v>42.675491515452919</c:v>
                </c:pt>
                <c:pt idx="42">
                  <c:v>36.172634581341093</c:v>
                </c:pt>
                <c:pt idx="43">
                  <c:v>33.309057529789854</c:v>
                </c:pt>
                <c:pt idx="44">
                  <c:v>33.725886748339967</c:v>
                </c:pt>
                <c:pt idx="45">
                  <c:v>34.112863746293748</c:v>
                </c:pt>
                <c:pt idx="46">
                  <c:v>39.640595503052459</c:v>
                </c:pt>
                <c:pt idx="47">
                  <c:v>39.711134331590173</c:v>
                </c:pt>
                <c:pt idx="48">
                  <c:v>51.624014581499921</c:v>
                </c:pt>
                <c:pt idx="49">
                  <c:v>50.481507703879004</c:v>
                </c:pt>
                <c:pt idx="50">
                  <c:v>42.011151414823694</c:v>
                </c:pt>
                <c:pt idx="51">
                  <c:v>37.128793518654767</c:v>
                </c:pt>
                <c:pt idx="52">
                  <c:v>38.423749089864003</c:v>
                </c:pt>
                <c:pt idx="53">
                  <c:v>40.995690176821299</c:v>
                </c:pt>
                <c:pt idx="54">
                  <c:v>32.347749107755632</c:v>
                </c:pt>
                <c:pt idx="55">
                  <c:v>37.669130620015608</c:v>
                </c:pt>
                <c:pt idx="56">
                  <c:v>36.203562794517651</c:v>
                </c:pt>
                <c:pt idx="57">
                  <c:v>35.771624143382873</c:v>
                </c:pt>
                <c:pt idx="58">
                  <c:v>42.891739838038283</c:v>
                </c:pt>
                <c:pt idx="59">
                  <c:v>55.703926309381202</c:v>
                </c:pt>
                <c:pt idx="60">
                  <c:v>68.590947070074805</c:v>
                </c:pt>
                <c:pt idx="61">
                  <c:v>46.824624038712201</c:v>
                </c:pt>
                <c:pt idx="62">
                  <c:v>64.25030413625305</c:v>
                </c:pt>
                <c:pt idx="63">
                  <c:v>41.563080438607926</c:v>
                </c:pt>
                <c:pt idx="64">
                  <c:v>40.181103634428233</c:v>
                </c:pt>
                <c:pt idx="65">
                  <c:v>44.039268878171704</c:v>
                </c:pt>
                <c:pt idx="66">
                  <c:v>45.807379920490099</c:v>
                </c:pt>
                <c:pt idx="67">
                  <c:v>44.307129415406678</c:v>
                </c:pt>
                <c:pt idx="68">
                  <c:v>42.277919436478975</c:v>
                </c:pt>
                <c:pt idx="69">
                  <c:v>47.723384004605499</c:v>
                </c:pt>
                <c:pt idx="70">
                  <c:v>34.382705636999326</c:v>
                </c:pt>
                <c:pt idx="71">
                  <c:v>23.918514486086405</c:v>
                </c:pt>
              </c:numCache>
            </c:numRef>
          </c:val>
          <c:smooth val="0"/>
        </c:ser>
        <c:ser>
          <c:idx val="23"/>
          <c:order val="23"/>
          <c:tx>
            <c:strRef>
              <c:f>'Wheat (Adjusted)'!$AY$6</c:f>
              <c:strCache>
                <c:ptCount val="1"/>
                <c:pt idx="0">
                  <c:v>India, Wholesale, in d/bushel</c:v>
                </c:pt>
              </c:strCache>
            </c:strRef>
          </c:tx>
          <c:spPr>
            <a:ln w="15875" cap="rnd">
              <a:solidFill>
                <a:schemeClr val="accent6">
                  <a:lumMod val="80000"/>
                </a:schemeClr>
              </a:solidFill>
              <a:round/>
            </a:ln>
            <a:effectLst/>
          </c:spPr>
          <c:marker>
            <c:symbol val="circle"/>
            <c:size val="3"/>
            <c:spPr>
              <a:solidFill>
                <a:schemeClr val="accent6">
                  <a:lumMod val="80000"/>
                </a:schemeClr>
              </a:solidFill>
              <a:ln w="9525">
                <a:solidFill>
                  <a:schemeClr val="accent6">
                    <a:lumMod val="80000"/>
                  </a:schemeClr>
                </a:solidFill>
              </a:ln>
              <a:effectLst/>
            </c:spPr>
          </c:marker>
          <c:cat>
            <c:numRef>
              <c:f>'Wheat (Adjusted)'!$A$27:$A$98</c:f>
              <c:numCache>
                <c:formatCode>General</c:formatCode>
                <c:ptCount val="72"/>
                <c:pt idx="0">
                  <c:v>1860</c:v>
                </c:pt>
                <c:pt idx="1">
                  <c:v>1861</c:v>
                </c:pt>
                <c:pt idx="2">
                  <c:v>1862</c:v>
                </c:pt>
                <c:pt idx="3">
                  <c:v>1863</c:v>
                </c:pt>
                <c:pt idx="4">
                  <c:v>1864</c:v>
                </c:pt>
                <c:pt idx="5">
                  <c:v>1865</c:v>
                </c:pt>
                <c:pt idx="6">
                  <c:v>1866</c:v>
                </c:pt>
                <c:pt idx="7">
                  <c:v>1867</c:v>
                </c:pt>
                <c:pt idx="8">
                  <c:v>1868</c:v>
                </c:pt>
                <c:pt idx="9">
                  <c:v>1869</c:v>
                </c:pt>
                <c:pt idx="10">
                  <c:v>1870</c:v>
                </c:pt>
                <c:pt idx="11">
                  <c:v>1871</c:v>
                </c:pt>
                <c:pt idx="12">
                  <c:v>1872</c:v>
                </c:pt>
                <c:pt idx="13">
                  <c:v>1873</c:v>
                </c:pt>
                <c:pt idx="14">
                  <c:v>1874</c:v>
                </c:pt>
                <c:pt idx="15">
                  <c:v>1875</c:v>
                </c:pt>
                <c:pt idx="16">
                  <c:v>1876</c:v>
                </c:pt>
                <c:pt idx="17">
                  <c:v>1877</c:v>
                </c:pt>
                <c:pt idx="18">
                  <c:v>1878</c:v>
                </c:pt>
                <c:pt idx="19">
                  <c:v>1879</c:v>
                </c:pt>
                <c:pt idx="20">
                  <c:v>1880</c:v>
                </c:pt>
                <c:pt idx="21">
                  <c:v>1881</c:v>
                </c:pt>
                <c:pt idx="22">
                  <c:v>1882</c:v>
                </c:pt>
                <c:pt idx="23">
                  <c:v>1883</c:v>
                </c:pt>
                <c:pt idx="24">
                  <c:v>1884</c:v>
                </c:pt>
                <c:pt idx="25">
                  <c:v>1885</c:v>
                </c:pt>
                <c:pt idx="26">
                  <c:v>1886</c:v>
                </c:pt>
                <c:pt idx="27">
                  <c:v>1887</c:v>
                </c:pt>
                <c:pt idx="28">
                  <c:v>1888</c:v>
                </c:pt>
                <c:pt idx="29">
                  <c:v>1889</c:v>
                </c:pt>
                <c:pt idx="30">
                  <c:v>1890</c:v>
                </c:pt>
                <c:pt idx="31">
                  <c:v>1891</c:v>
                </c:pt>
                <c:pt idx="32">
                  <c:v>1892</c:v>
                </c:pt>
                <c:pt idx="33">
                  <c:v>1893</c:v>
                </c:pt>
                <c:pt idx="34">
                  <c:v>1894</c:v>
                </c:pt>
                <c:pt idx="35">
                  <c:v>1895</c:v>
                </c:pt>
                <c:pt idx="36">
                  <c:v>1896</c:v>
                </c:pt>
                <c:pt idx="37">
                  <c:v>1897</c:v>
                </c:pt>
                <c:pt idx="38">
                  <c:v>1898</c:v>
                </c:pt>
                <c:pt idx="39">
                  <c:v>1899</c:v>
                </c:pt>
                <c:pt idx="40">
                  <c:v>1900</c:v>
                </c:pt>
                <c:pt idx="41">
                  <c:v>1901</c:v>
                </c:pt>
                <c:pt idx="42">
                  <c:v>1902</c:v>
                </c:pt>
                <c:pt idx="43">
                  <c:v>1903</c:v>
                </c:pt>
                <c:pt idx="44">
                  <c:v>1904</c:v>
                </c:pt>
                <c:pt idx="45">
                  <c:v>1905</c:v>
                </c:pt>
                <c:pt idx="46">
                  <c:v>1906</c:v>
                </c:pt>
                <c:pt idx="47">
                  <c:v>1907</c:v>
                </c:pt>
                <c:pt idx="48">
                  <c:v>1908</c:v>
                </c:pt>
                <c:pt idx="49">
                  <c:v>1909</c:v>
                </c:pt>
                <c:pt idx="50">
                  <c:v>1910</c:v>
                </c:pt>
                <c:pt idx="51">
                  <c:v>1911</c:v>
                </c:pt>
                <c:pt idx="52">
                  <c:v>1912</c:v>
                </c:pt>
                <c:pt idx="53">
                  <c:v>1913</c:v>
                </c:pt>
                <c:pt idx="54">
                  <c:v>1914</c:v>
                </c:pt>
                <c:pt idx="55">
                  <c:v>1915</c:v>
                </c:pt>
                <c:pt idx="56">
                  <c:v>1916</c:v>
                </c:pt>
                <c:pt idx="57">
                  <c:v>1917</c:v>
                </c:pt>
                <c:pt idx="58">
                  <c:v>1918</c:v>
                </c:pt>
                <c:pt idx="59">
                  <c:v>1919</c:v>
                </c:pt>
                <c:pt idx="60">
                  <c:v>1920</c:v>
                </c:pt>
                <c:pt idx="61">
                  <c:v>1921</c:v>
                </c:pt>
                <c:pt idx="62">
                  <c:v>1922</c:v>
                </c:pt>
                <c:pt idx="63">
                  <c:v>1923</c:v>
                </c:pt>
                <c:pt idx="64">
                  <c:v>1924</c:v>
                </c:pt>
                <c:pt idx="65">
                  <c:v>1925</c:v>
                </c:pt>
                <c:pt idx="66">
                  <c:v>1926</c:v>
                </c:pt>
                <c:pt idx="67">
                  <c:v>1927</c:v>
                </c:pt>
                <c:pt idx="68">
                  <c:v>1928</c:v>
                </c:pt>
                <c:pt idx="69">
                  <c:v>1929</c:v>
                </c:pt>
                <c:pt idx="70">
                  <c:v>1930</c:v>
                </c:pt>
                <c:pt idx="71">
                  <c:v>1931</c:v>
                </c:pt>
              </c:numCache>
            </c:numRef>
          </c:cat>
          <c:val>
            <c:numRef>
              <c:f>'Wheat (Adjusted)'!$AY$27:$AY$98</c:f>
              <c:numCache>
                <c:formatCode>General</c:formatCode>
                <c:ptCount val="72"/>
                <c:pt idx="13">
                  <c:v>68.853399566814176</c:v>
                </c:pt>
                <c:pt idx="24">
                  <c:v>35.647135494696471</c:v>
                </c:pt>
                <c:pt idx="25">
                  <c:v>33.903824833702885</c:v>
                </c:pt>
                <c:pt idx="26">
                  <c:v>33.513925510876732</c:v>
                </c:pt>
                <c:pt idx="27">
                  <c:v>35.684121621621621</c:v>
                </c:pt>
                <c:pt idx="28">
                  <c:v>35.328773895847071</c:v>
                </c:pt>
                <c:pt idx="29">
                  <c:v>40.623982491360543</c:v>
                </c:pt>
                <c:pt idx="30">
                  <c:v>41.835305570061671</c:v>
                </c:pt>
                <c:pt idx="31">
                  <c:v>48.30557880100563</c:v>
                </c:pt>
                <c:pt idx="32">
                  <c:v>42.699549684281607</c:v>
                </c:pt>
                <c:pt idx="33">
                  <c:v>35.367498800305739</c:v>
                </c:pt>
                <c:pt idx="34">
                  <c:v>27.141396317766276</c:v>
                </c:pt>
                <c:pt idx="35">
                  <c:v>29.967862366378284</c:v>
                </c:pt>
                <c:pt idx="36">
                  <c:v>39.881374187748214</c:v>
                </c:pt>
                <c:pt idx="37">
                  <c:v>46.187876219657369</c:v>
                </c:pt>
                <c:pt idx="38">
                  <c:v>40.779561540568011</c:v>
                </c:pt>
                <c:pt idx="39">
                  <c:v>36.786798513658482</c:v>
                </c:pt>
                <c:pt idx="40">
                  <c:v>41.971060128401739</c:v>
                </c:pt>
                <c:pt idx="41">
                  <c:v>41.599692358238535</c:v>
                </c:pt>
                <c:pt idx="42">
                  <c:v>37.988589634931095</c:v>
                </c:pt>
                <c:pt idx="43">
                  <c:v>36.420642398569129</c:v>
                </c:pt>
                <c:pt idx="44">
                  <c:v>37.646847005495502</c:v>
                </c:pt>
                <c:pt idx="45">
                  <c:v>41.465630591422574</c:v>
                </c:pt>
                <c:pt idx="46">
                  <c:v>43.385538036422311</c:v>
                </c:pt>
                <c:pt idx="47">
                  <c:v>48.862916706293049</c:v>
                </c:pt>
                <c:pt idx="48">
                  <c:v>56.12719604170605</c:v>
                </c:pt>
                <c:pt idx="49">
                  <c:v>54.876959930313582</c:v>
                </c:pt>
                <c:pt idx="50">
                  <c:v>45.945084083503183</c:v>
                </c:pt>
                <c:pt idx="51">
                  <c:v>42.045506173228318</c:v>
                </c:pt>
                <c:pt idx="52">
                  <c:v>45.657338628047206</c:v>
                </c:pt>
                <c:pt idx="53">
                  <c:v>46.385323929528063</c:v>
                </c:pt>
                <c:pt idx="54">
                  <c:v>47.940724902003488</c:v>
                </c:pt>
                <c:pt idx="55">
                  <c:v>61.53109395415941</c:v>
                </c:pt>
                <c:pt idx="56">
                  <c:v>59.067468287238682</c:v>
                </c:pt>
                <c:pt idx="57">
                  <c:v>68.934191392639377</c:v>
                </c:pt>
                <c:pt idx="58">
                  <c:v>77.59510895307055</c:v>
                </c:pt>
                <c:pt idx="59">
                  <c:v>95.968160394407732</c:v>
                </c:pt>
                <c:pt idx="60">
                  <c:v>96.438539834258222</c:v>
                </c:pt>
                <c:pt idx="61">
                  <c:v>105.31250008928572</c:v>
                </c:pt>
              </c:numCache>
            </c:numRef>
          </c:val>
          <c:smooth val="0"/>
        </c:ser>
        <c:dLbls>
          <c:showLegendKey val="0"/>
          <c:showVal val="0"/>
          <c:showCatName val="0"/>
          <c:showSerName val="0"/>
          <c:showPercent val="0"/>
          <c:showBubbleSize val="0"/>
        </c:dLbls>
        <c:marker val="1"/>
        <c:smooth val="0"/>
        <c:axId val="721408336"/>
        <c:axId val="721392656"/>
      </c:lineChart>
      <c:catAx>
        <c:axId val="72140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392656"/>
        <c:crosses val="autoZero"/>
        <c:auto val="1"/>
        <c:lblAlgn val="ctr"/>
        <c:lblOffset val="100"/>
        <c:noMultiLvlLbl val="0"/>
      </c:catAx>
      <c:valAx>
        <c:axId val="721392656"/>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1408336"/>
        <c:crosses val="autoZero"/>
        <c:crossBetween val="between"/>
      </c:valAx>
      <c:spPr>
        <a:noFill/>
        <a:ln>
          <a:noFill/>
        </a:ln>
        <a:effectLst/>
      </c:spPr>
    </c:plotArea>
    <c:legend>
      <c:legendPos val="r"/>
      <c:layout>
        <c:manualLayout>
          <c:xMode val="edge"/>
          <c:yMode val="edge"/>
          <c:x val="0.71996189581090686"/>
          <c:y val="0.13325668693122761"/>
          <c:w val="0.26350431039978434"/>
          <c:h val="0.800991168838937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Mosul,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(All)'!$M$7:$M$107</c:f>
              <c:numCache>
                <c:formatCode>0.0000</c:formatCode>
                <c:ptCount val="101"/>
                <c:pt idx="44">
                  <c:v>16.363636363636392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(All)'!$M$7:$M$107</c:f>
              <c:numCache>
                <c:formatCode>0.0000</c:formatCode>
                <c:ptCount val="101"/>
                <c:pt idx="44">
                  <c:v>16.363636363636392</c:v>
                </c:pt>
              </c:numCache>
            </c:numRef>
          </c:yVal>
          <c:smooth val="0"/>
        </c:ser>
        <c:dLbls>
          <c:showLegendKey val="0"/>
          <c:showVal val="0"/>
          <c:showCatName val="0"/>
          <c:showSerName val="0"/>
          <c:showPercent val="0"/>
          <c:showBubbleSize val="0"/>
        </c:dLbls>
        <c:axId val="698830144"/>
        <c:axId val="698829584"/>
      </c:scatterChart>
      <c:valAx>
        <c:axId val="69883014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29584"/>
        <c:crosses val="autoZero"/>
        <c:crossBetween val="midCat"/>
        <c:majorUnit val="5"/>
      </c:valAx>
      <c:valAx>
        <c:axId val="698829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3014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Mosul,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(All)'!$N$7:$N$107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(All)'!$N$7:$N$107</c:f>
              <c:numCache>
                <c:formatCode>0.0000</c:formatCode>
                <c:ptCount val="101"/>
              </c:numCache>
            </c:numRef>
          </c:yVal>
          <c:smooth val="0"/>
        </c:ser>
        <c:dLbls>
          <c:showLegendKey val="0"/>
          <c:showVal val="0"/>
          <c:showCatName val="0"/>
          <c:showSerName val="0"/>
          <c:showPercent val="0"/>
          <c:showBubbleSize val="0"/>
        </c:dLbls>
        <c:axId val="698848624"/>
        <c:axId val="698848064"/>
      </c:scatterChart>
      <c:valAx>
        <c:axId val="69884862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48064"/>
        <c:crosses val="autoZero"/>
        <c:crossBetween val="midCat"/>
        <c:majorUnit val="5"/>
      </c:valAx>
      <c:valAx>
        <c:axId val="698848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4862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Damascus,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(All)'!$V$7:$V$107</c:f>
              <c:numCache>
                <c:formatCode>0.0000</c:formatCode>
                <c:ptCount val="101"/>
                <c:pt idx="9" formatCode="_(* #,##0.0000_);_(* \(#,##0.0000\);_(* &quot;-&quot;??_);_(@_)">
                  <c:v>23.563636363636359</c:v>
                </c:pt>
                <c:pt idx="23" formatCode="_(* #,##0.0000_);_(* \(#,##0.0000\);_(* &quot;-&quot;??_);_(@_)">
                  <c:v>43.199999999999996</c:v>
                </c:pt>
                <c:pt idx="26" formatCode="_(* #,##0.0000_);_(* \(#,##0.0000\);_(* &quot;-&quot;??_);_(@_)">
                  <c:v>47.127272727272718</c:v>
                </c:pt>
                <c:pt idx="31" formatCode="_(* #,##0.0000_);_(* \(#,##0.0000\);_(* &quot;-&quot;??_);_(@_)">
                  <c:v>157.09090909090909</c:v>
                </c:pt>
                <c:pt idx="34" formatCode="_(* #,##0.0000_);_(* \(#,##0.0000\);_(* &quot;-&quot;??_);_(@_)">
                  <c:v>62.836363636363636</c:v>
                </c:pt>
                <c:pt idx="36" formatCode="_(* #,##0.0000_);_(* \(#,##0.0000\);_(* &quot;-&quot;??_);_(@_)">
                  <c:v>41.236363636363635</c:v>
                </c:pt>
                <c:pt idx="38" formatCode="_(* #,##0.0000_);_(* \(#,##0.0000\);_(* &quot;-&quot;??_);_(@_)">
                  <c:v>64.8</c:v>
                </c:pt>
                <c:pt idx="39" formatCode="_(* #,##0.0000_);_(* \(#,##0.0000\);_(* &quot;-&quot;??_);_(@_)">
                  <c:v>127.63636363636363</c:v>
                </c:pt>
                <c:pt idx="40" formatCode="_(* #,##0.0000_);_(* \(#,##0.0000\);_(* &quot;-&quot;??_);_(@_)">
                  <c:v>62.836363636363636</c:v>
                </c:pt>
                <c:pt idx="42" formatCode="_(* #,##0.0000_);_(* \(#,##0.0000\);_(* &quot;-&quot;??_);_(@_)">
                  <c:v>64.8</c:v>
                </c:pt>
                <c:pt idx="44" formatCode="_(* #,##0.0000_);_(* \(#,##0.0000\);_(* &quot;-&quot;??_);_(@_)">
                  <c:v>37.309090909090905</c:v>
                </c:pt>
                <c:pt idx="45" formatCode="_(* #,##0.0000_);_(* \(#,##0.0000\);_(* &quot;-&quot;??_);_(@_)">
                  <c:v>64.8</c:v>
                </c:pt>
                <c:pt idx="46" formatCode="_(* #,##0.0000_);_(* \(#,##0.0000\);_(* &quot;-&quot;??_);_(@_)">
                  <c:v>68.727272727272734</c:v>
                </c:pt>
                <c:pt idx="47" formatCode="_(* #,##0.0000_);_(* \(#,##0.0000\);_(* &quot;-&quot;??_);_(@_)">
                  <c:v>39.272727272727273</c:v>
                </c:pt>
                <c:pt idx="48" formatCode="_(* #,##0.0000_);_(* \(#,##0.0000\);_(* &quot;-&quot;??_);_(@_)">
                  <c:v>39.272727272727273</c:v>
                </c:pt>
                <c:pt idx="49" formatCode="_(* #,##0.0000_);_(* \(#,##0.0000\);_(* &quot;-&quot;??_);_(@_)">
                  <c:v>31.418181818181818</c:v>
                </c:pt>
                <c:pt idx="58" formatCode="_(* #,##0.0000_);_(* \(#,##0.0000\);_(* &quot;-&quot;??_);_(@_)">
                  <c:v>51.054545454545455</c:v>
                </c:pt>
                <c:pt idx="60" formatCode="_(* #,##0.0000_);_(* \(#,##0.0000\);_(* &quot;-&quot;??_);_(@_)">
                  <c:v>132.54545454545453</c:v>
                </c:pt>
                <c:pt idx="61" formatCode="_(* #,##0.0000_);_(* \(#,##0.0000\);_(* &quot;-&quot;??_);_(@_)">
                  <c:v>59.890909090909098</c:v>
                </c:pt>
                <c:pt idx="63" formatCode="_(* #,##0.0000_);_(* \(#,##0.0000\);_(* &quot;-&quot;??_);_(@_)">
                  <c:v>49.090909090909086</c:v>
                </c:pt>
                <c:pt idx="66" formatCode="_(* #,##0.0000_);_(* \(#,##0.0000\);_(* &quot;-&quot;??_);_(@_)">
                  <c:v>67.25454545454545</c:v>
                </c:pt>
                <c:pt idx="71" formatCode="_(* #,##0.0000_);_(* \(#,##0.0000\);_(* &quot;-&quot;??_);_(@_)">
                  <c:v>71.181818181818173</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(All)'!$V$7:$V$107</c:f>
              <c:numCache>
                <c:formatCode>0.0000</c:formatCode>
                <c:ptCount val="101"/>
                <c:pt idx="9" formatCode="_(* #,##0.0000_);_(* \(#,##0.0000\);_(* &quot;-&quot;??_);_(@_)">
                  <c:v>23.563636363636359</c:v>
                </c:pt>
                <c:pt idx="23" formatCode="_(* #,##0.0000_);_(* \(#,##0.0000\);_(* &quot;-&quot;??_);_(@_)">
                  <c:v>43.199999999999996</c:v>
                </c:pt>
                <c:pt idx="26" formatCode="_(* #,##0.0000_);_(* \(#,##0.0000\);_(* &quot;-&quot;??_);_(@_)">
                  <c:v>47.127272727272718</c:v>
                </c:pt>
                <c:pt idx="31" formatCode="_(* #,##0.0000_);_(* \(#,##0.0000\);_(* &quot;-&quot;??_);_(@_)">
                  <c:v>157.09090909090909</c:v>
                </c:pt>
                <c:pt idx="34" formatCode="_(* #,##0.0000_);_(* \(#,##0.0000\);_(* &quot;-&quot;??_);_(@_)">
                  <c:v>62.836363636363636</c:v>
                </c:pt>
                <c:pt idx="36" formatCode="_(* #,##0.0000_);_(* \(#,##0.0000\);_(* &quot;-&quot;??_);_(@_)">
                  <c:v>41.236363636363635</c:v>
                </c:pt>
                <c:pt idx="38" formatCode="_(* #,##0.0000_);_(* \(#,##0.0000\);_(* &quot;-&quot;??_);_(@_)">
                  <c:v>64.8</c:v>
                </c:pt>
                <c:pt idx="39" formatCode="_(* #,##0.0000_);_(* \(#,##0.0000\);_(* &quot;-&quot;??_);_(@_)">
                  <c:v>127.63636363636363</c:v>
                </c:pt>
                <c:pt idx="40" formatCode="_(* #,##0.0000_);_(* \(#,##0.0000\);_(* &quot;-&quot;??_);_(@_)">
                  <c:v>62.836363636363636</c:v>
                </c:pt>
                <c:pt idx="42" formatCode="_(* #,##0.0000_);_(* \(#,##0.0000\);_(* &quot;-&quot;??_);_(@_)">
                  <c:v>64.8</c:v>
                </c:pt>
                <c:pt idx="44" formatCode="_(* #,##0.0000_);_(* \(#,##0.0000\);_(* &quot;-&quot;??_);_(@_)">
                  <c:v>37.309090909090905</c:v>
                </c:pt>
                <c:pt idx="45" formatCode="_(* #,##0.0000_);_(* \(#,##0.0000\);_(* &quot;-&quot;??_);_(@_)">
                  <c:v>64.8</c:v>
                </c:pt>
                <c:pt idx="46" formatCode="_(* #,##0.0000_);_(* \(#,##0.0000\);_(* &quot;-&quot;??_);_(@_)">
                  <c:v>68.727272727272734</c:v>
                </c:pt>
                <c:pt idx="47" formatCode="_(* #,##0.0000_);_(* \(#,##0.0000\);_(* &quot;-&quot;??_);_(@_)">
                  <c:v>39.272727272727273</c:v>
                </c:pt>
                <c:pt idx="48" formatCode="_(* #,##0.0000_);_(* \(#,##0.0000\);_(* &quot;-&quot;??_);_(@_)">
                  <c:v>39.272727272727273</c:v>
                </c:pt>
                <c:pt idx="49" formatCode="_(* #,##0.0000_);_(* \(#,##0.0000\);_(* &quot;-&quot;??_);_(@_)">
                  <c:v>31.418181818181818</c:v>
                </c:pt>
                <c:pt idx="58" formatCode="_(* #,##0.0000_);_(* \(#,##0.0000\);_(* &quot;-&quot;??_);_(@_)">
                  <c:v>51.054545454545455</c:v>
                </c:pt>
                <c:pt idx="60" formatCode="_(* #,##0.0000_);_(* \(#,##0.0000\);_(* &quot;-&quot;??_);_(@_)">
                  <c:v>132.54545454545453</c:v>
                </c:pt>
                <c:pt idx="61" formatCode="_(* #,##0.0000_);_(* \(#,##0.0000\);_(* &quot;-&quot;??_);_(@_)">
                  <c:v>59.890909090909098</c:v>
                </c:pt>
                <c:pt idx="63" formatCode="_(* #,##0.0000_);_(* \(#,##0.0000\);_(* &quot;-&quot;??_);_(@_)">
                  <c:v>49.090909090909086</c:v>
                </c:pt>
                <c:pt idx="66" formatCode="_(* #,##0.0000_);_(* \(#,##0.0000\);_(* &quot;-&quot;??_);_(@_)">
                  <c:v>67.25454545454545</c:v>
                </c:pt>
                <c:pt idx="71" formatCode="_(* #,##0.0000_);_(* \(#,##0.0000\);_(* &quot;-&quot;??_);_(@_)">
                  <c:v>71.181818181818173</c:v>
                </c:pt>
              </c:numCache>
            </c:numRef>
          </c:yVal>
          <c:smooth val="0"/>
        </c:ser>
        <c:dLbls>
          <c:showLegendKey val="0"/>
          <c:showVal val="0"/>
          <c:showCatName val="0"/>
          <c:showSerName val="0"/>
          <c:showPercent val="0"/>
          <c:showBubbleSize val="0"/>
        </c:dLbls>
        <c:axId val="698845264"/>
        <c:axId val="698844704"/>
      </c:scatterChart>
      <c:valAx>
        <c:axId val="6988452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44704"/>
        <c:crosses val="autoZero"/>
        <c:crossBetween val="midCat"/>
        <c:majorUnit val="5"/>
      </c:valAx>
      <c:valAx>
        <c:axId val="6988447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452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Damascus,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(All)'!$W$7:$W$107</c:f>
              <c:numCache>
                <c:formatCode>0.0000</c:formatCode>
                <c:ptCount val="101"/>
                <c:pt idx="44" formatCode="_(* #,##0.0000_);_(* \(#,##0.0000\);_(* &quot;-&quot;??_);_(@_)">
                  <c:v>53.436246750000002</c:v>
                </c:pt>
                <c:pt idx="62" formatCode="_(* #,##0.0000_);_(* \(#,##0.0000\);_(* &quot;-&quot;??_);_(@_)">
                  <c:v>35.835428571428572</c:v>
                </c:pt>
                <c:pt idx="63" formatCode="_(* #,##0.0000_);_(* \(#,##0.0000\);_(* &quot;-&quot;??_);_(@_)">
                  <c:v>36.000000000000007</c:v>
                </c:pt>
                <c:pt idx="64" formatCode="_(* #,##0.0000_);_(* \(#,##0.0000\);_(* &quot;-&quot;??_);_(@_)">
                  <c:v>39</c:v>
                </c:pt>
                <c:pt idx="65" formatCode="_(* #,##0.0000_);_(* \(#,##0.0000\);_(* &quot;-&quot;??_);_(@_)">
                  <c:v>44</c:v>
                </c:pt>
                <c:pt idx="66" formatCode="_(* #,##0.0000_);_(* \(#,##0.0000\);_(* &quot;-&quot;??_);_(@_)">
                  <c:v>41.6</c:v>
                </c:pt>
                <c:pt idx="68" formatCode="_(* #,##0.0000_);_(* \(#,##0.0000\);_(* &quot;-&quot;??_);_(@_)">
                  <c:v>64</c:v>
                </c:pt>
                <c:pt idx="69" formatCode="_(* #,##0.0000_);_(* \(#,##0.0000\);_(* &quot;-&quot;??_);_(@_)">
                  <c:v>72.000000000000014</c:v>
                </c:pt>
                <c:pt idx="70" formatCode="_(* #,##0.0000_);_(* \(#,##0.0000\);_(* &quot;-&quot;??_);_(@_)">
                  <c:v>80.533333333333346</c:v>
                </c:pt>
                <c:pt idx="71" formatCode="_(* #,##0.0000_);_(* \(#,##0.0000\);_(* &quot;-&quot;??_);_(@_)">
                  <c:v>78</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(All)'!$W$7:$W$107</c:f>
              <c:numCache>
                <c:formatCode>0.0000</c:formatCode>
                <c:ptCount val="101"/>
                <c:pt idx="44" formatCode="_(* #,##0.0000_);_(* \(#,##0.0000\);_(* &quot;-&quot;??_);_(@_)">
                  <c:v>53.436246750000002</c:v>
                </c:pt>
                <c:pt idx="62" formatCode="_(* #,##0.0000_);_(* \(#,##0.0000\);_(* &quot;-&quot;??_);_(@_)">
                  <c:v>35.835428571428572</c:v>
                </c:pt>
                <c:pt idx="63" formatCode="_(* #,##0.0000_);_(* \(#,##0.0000\);_(* &quot;-&quot;??_);_(@_)">
                  <c:v>36.000000000000007</c:v>
                </c:pt>
                <c:pt idx="64" formatCode="_(* #,##0.0000_);_(* \(#,##0.0000\);_(* &quot;-&quot;??_);_(@_)">
                  <c:v>39</c:v>
                </c:pt>
                <c:pt idx="65" formatCode="_(* #,##0.0000_);_(* \(#,##0.0000\);_(* &quot;-&quot;??_);_(@_)">
                  <c:v>44</c:v>
                </c:pt>
                <c:pt idx="66" formatCode="_(* #,##0.0000_);_(* \(#,##0.0000\);_(* &quot;-&quot;??_);_(@_)">
                  <c:v>41.6</c:v>
                </c:pt>
                <c:pt idx="68" formatCode="_(* #,##0.0000_);_(* \(#,##0.0000\);_(* &quot;-&quot;??_);_(@_)">
                  <c:v>64</c:v>
                </c:pt>
                <c:pt idx="69" formatCode="_(* #,##0.0000_);_(* \(#,##0.0000\);_(* &quot;-&quot;??_);_(@_)">
                  <c:v>72.000000000000014</c:v>
                </c:pt>
                <c:pt idx="70" formatCode="_(* #,##0.0000_);_(* \(#,##0.0000\);_(* &quot;-&quot;??_);_(@_)">
                  <c:v>80.533333333333346</c:v>
                </c:pt>
                <c:pt idx="71" formatCode="_(* #,##0.0000_);_(* \(#,##0.0000\);_(* &quot;-&quot;??_);_(@_)">
                  <c:v>78</c:v>
                </c:pt>
              </c:numCache>
            </c:numRef>
          </c:yVal>
          <c:smooth val="0"/>
        </c:ser>
        <c:dLbls>
          <c:showLegendKey val="0"/>
          <c:showVal val="0"/>
          <c:showCatName val="0"/>
          <c:showSerName val="0"/>
          <c:showPercent val="0"/>
          <c:showBubbleSize val="0"/>
        </c:dLbls>
        <c:axId val="698841904"/>
        <c:axId val="698841344"/>
      </c:scatterChart>
      <c:valAx>
        <c:axId val="6988419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41344"/>
        <c:crosses val="autoZero"/>
        <c:crossBetween val="midCat"/>
        <c:majorUnit val="5"/>
      </c:valAx>
      <c:valAx>
        <c:axId val="698841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419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Damascus,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(All)'!$X$7:$X$107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(All)'!$X$7:$X$107</c:f>
              <c:numCache>
                <c:formatCode>0.0000</c:formatCode>
                <c:ptCount val="101"/>
              </c:numCache>
            </c:numRef>
          </c:yVal>
          <c:smooth val="0"/>
        </c:ser>
        <c:dLbls>
          <c:showLegendKey val="0"/>
          <c:showVal val="0"/>
          <c:showCatName val="0"/>
          <c:showSerName val="0"/>
          <c:showPercent val="0"/>
          <c:showBubbleSize val="0"/>
        </c:dLbls>
        <c:axId val="698836864"/>
        <c:axId val="698836304"/>
      </c:scatterChart>
      <c:valAx>
        <c:axId val="6988368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36304"/>
        <c:crosses val="autoZero"/>
        <c:crossBetween val="midCat"/>
        <c:majorUnit val="5"/>
      </c:valAx>
      <c:valAx>
        <c:axId val="698836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368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Beirut,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(All)'!$Y$7:$Y$107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(All)'!$Y$7:$Y$107</c:f>
              <c:numCache>
                <c:formatCode>0.0000</c:formatCode>
                <c:ptCount val="101"/>
              </c:numCache>
            </c:numRef>
          </c:yVal>
          <c:smooth val="0"/>
        </c:ser>
        <c:dLbls>
          <c:showLegendKey val="0"/>
          <c:showVal val="0"/>
          <c:showCatName val="0"/>
          <c:showSerName val="0"/>
          <c:showPercent val="0"/>
          <c:showBubbleSize val="0"/>
        </c:dLbls>
        <c:axId val="698820064"/>
        <c:axId val="698822864"/>
      </c:scatterChart>
      <c:valAx>
        <c:axId val="6988200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22864"/>
        <c:crosses val="autoZero"/>
        <c:crossBetween val="midCat"/>
        <c:majorUnit val="5"/>
      </c:valAx>
      <c:valAx>
        <c:axId val="6988228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200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Beirut,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(All)'!$AA$7:$AA$107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(All)'!$AA$7:$AA$107</c:f>
              <c:numCache>
                <c:formatCode>0.0000</c:formatCode>
                <c:ptCount val="101"/>
              </c:numCache>
            </c:numRef>
          </c:yVal>
          <c:smooth val="0"/>
        </c:ser>
        <c:dLbls>
          <c:showLegendKey val="0"/>
          <c:showVal val="0"/>
          <c:showCatName val="0"/>
          <c:showSerName val="0"/>
          <c:showPercent val="0"/>
          <c:showBubbleSize val="0"/>
        </c:dLbls>
        <c:axId val="698818384"/>
        <c:axId val="698821744"/>
      </c:scatterChart>
      <c:valAx>
        <c:axId val="69881838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21744"/>
        <c:crosses val="autoZero"/>
        <c:crossBetween val="midCat"/>
        <c:majorUnit val="5"/>
      </c:valAx>
      <c:valAx>
        <c:axId val="698821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1838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Beirut,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(All)'!$Z$7:$Z$107</c:f>
              <c:numCache>
                <c:formatCode>0.0000</c:formatCode>
                <c:ptCount val="101"/>
                <c:pt idx="32">
                  <c:v>66.036585365853654</c:v>
                </c:pt>
                <c:pt idx="34">
                  <c:v>34.49939024390244</c:v>
                </c:pt>
                <c:pt idx="35">
                  <c:v>51.707317073170721</c:v>
                </c:pt>
                <c:pt idx="36">
                  <c:v>46.829268292682926</c:v>
                </c:pt>
                <c:pt idx="37">
                  <c:v>97.457857142857137</c:v>
                </c:pt>
                <c:pt idx="38">
                  <c:v>52.545921787709496</c:v>
                </c:pt>
                <c:pt idx="39">
                  <c:v>72.980446927374274</c:v>
                </c:pt>
                <c:pt idx="43">
                  <c:v>39.272727272727266</c:v>
                </c:pt>
                <c:pt idx="48">
                  <c:v>60</c:v>
                </c:pt>
                <c:pt idx="59">
                  <c:v>44.634146341463413</c:v>
                </c:pt>
                <c:pt idx="60">
                  <c:v>32.926829268292686</c:v>
                </c:pt>
                <c:pt idx="61">
                  <c:v>34.390243902439032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(All)'!$Z$7:$Z$107</c:f>
              <c:numCache>
                <c:formatCode>0.0000</c:formatCode>
                <c:ptCount val="101"/>
                <c:pt idx="32">
                  <c:v>66.036585365853654</c:v>
                </c:pt>
                <c:pt idx="34">
                  <c:v>34.49939024390244</c:v>
                </c:pt>
                <c:pt idx="35">
                  <c:v>51.707317073170721</c:v>
                </c:pt>
                <c:pt idx="36">
                  <c:v>46.829268292682926</c:v>
                </c:pt>
                <c:pt idx="37">
                  <c:v>97.457857142857137</c:v>
                </c:pt>
                <c:pt idx="38">
                  <c:v>52.545921787709496</c:v>
                </c:pt>
                <c:pt idx="39">
                  <c:v>72.980446927374274</c:v>
                </c:pt>
                <c:pt idx="43">
                  <c:v>39.272727272727266</c:v>
                </c:pt>
                <c:pt idx="48">
                  <c:v>60</c:v>
                </c:pt>
                <c:pt idx="59">
                  <c:v>44.634146341463413</c:v>
                </c:pt>
                <c:pt idx="60">
                  <c:v>32.926829268292686</c:v>
                </c:pt>
                <c:pt idx="61">
                  <c:v>34.390243902439032</c:v>
                </c:pt>
              </c:numCache>
            </c:numRef>
          </c:yVal>
          <c:smooth val="0"/>
        </c:ser>
        <c:dLbls>
          <c:showLegendKey val="0"/>
          <c:showVal val="0"/>
          <c:showCatName val="0"/>
          <c:showSerName val="0"/>
          <c:showPercent val="0"/>
          <c:showBubbleSize val="0"/>
        </c:dLbls>
        <c:axId val="698813904"/>
        <c:axId val="698813344"/>
      </c:scatterChart>
      <c:valAx>
        <c:axId val="6988139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13344"/>
        <c:crosses val="autoZero"/>
        <c:crossBetween val="midCat"/>
        <c:majorUnit val="5"/>
      </c:valAx>
      <c:valAx>
        <c:axId val="698813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139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Baghdad,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4"/>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5"/>
              </a:solidFill>
              <a:ln w="9525">
                <a:solidFill>
                  <a:schemeClr val="accent5"/>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ser>
          <c:idx val="5"/>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6"/>
              </a:solidFill>
              <a:ln w="9525">
                <a:solidFill>
                  <a:schemeClr val="accent6"/>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ser>
          <c:idx val="6"/>
          <c:order val="2"/>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60000"/>
                </a:schemeClr>
              </a:solidFill>
              <a:ln w="9525">
                <a:solidFill>
                  <a:schemeClr val="accent1">
                    <a:lumMod val="60000"/>
                  </a:schemeClr>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ser>
          <c:idx val="7"/>
          <c:order val="3"/>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lumMod val="60000"/>
                </a:schemeClr>
              </a:solidFill>
              <a:ln w="9525">
                <a:solidFill>
                  <a:schemeClr val="accent2">
                    <a:lumMod val="60000"/>
                  </a:schemeClr>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ser>
          <c:idx val="2"/>
          <c:order val="4"/>
          <c:spPr>
            <a:ln w="19050" cap="rnd" cmpd="sng">
              <a:solidFill>
                <a:schemeClr val="accent1">
                  <a:lumMod val="50000"/>
                </a:schemeClr>
              </a:solidFill>
              <a:round/>
            </a:ln>
            <a:effectLst>
              <a:glow>
                <a:schemeClr val="accent1">
                  <a:alpha val="40000"/>
                </a:schemeClr>
              </a:glow>
            </a:effectLst>
          </c:spPr>
          <c:marker>
            <c:symbol val="circle"/>
            <c:size val="5"/>
            <c:spPr>
              <a:solidFill>
                <a:schemeClr val="accent3"/>
              </a:solidFill>
              <a:ln w="9525">
                <a:solidFill>
                  <a:schemeClr val="accent3"/>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ser>
          <c:idx val="3"/>
          <c:order val="5"/>
          <c:spPr>
            <a:ln w="19050" cap="rnd" cmpd="sng">
              <a:solidFill>
                <a:schemeClr val="accent1">
                  <a:lumMod val="50000"/>
                </a:schemeClr>
              </a:solidFill>
              <a:round/>
            </a:ln>
            <a:effectLst>
              <a:glow>
                <a:schemeClr val="accent1">
                  <a:alpha val="40000"/>
                </a:schemeClr>
              </a:glow>
            </a:effectLst>
          </c:spPr>
          <c:marker>
            <c:symbol val="circle"/>
            <c:size val="5"/>
            <c:spPr>
              <a:solidFill>
                <a:schemeClr val="accent4"/>
              </a:solidFill>
              <a:ln w="9525">
                <a:solidFill>
                  <a:schemeClr val="accent4"/>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ser>
          <c:idx val="1"/>
          <c:order val="6"/>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ser>
          <c:idx val="0"/>
          <c:order val="7"/>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(All)'!$G$7:$G$107</c:f>
              <c:numCache>
                <c:formatCode>0.0000</c:formatCode>
                <c:ptCount val="101"/>
                <c:pt idx="25" formatCode="_(* #,##0.0000_);_(* \(#,##0.0000\);_(* &quot;-&quot;??_);_(@_)">
                  <c:v>38.571428571428569</c:v>
                </c:pt>
                <c:pt idx="28" formatCode="_(* #,##0.0000_);_(* \(#,##0.0000\);_(* &quot;-&quot;??_);_(@_)">
                  <c:v>41.925465838509311</c:v>
                </c:pt>
                <c:pt idx="38" formatCode="_(* #,##0.0000_);_(* \(#,##0.0000\);_(* &quot;-&quot;??_);_(@_)">
                  <c:v>45.378151260504197</c:v>
                </c:pt>
                <c:pt idx="48" formatCode="_(* #,##0.0000_);_(* \(#,##0.0000\);_(* &quot;-&quot;??_);_(@_)">
                  <c:v>44.248608534322813</c:v>
                </c:pt>
                <c:pt idx="49" formatCode="_(* #,##0.0000_);_(* \(#,##0.0000\);_(* &quot;-&quot;??_);_(@_)">
                  <c:v>38.235294117647058</c:v>
                </c:pt>
                <c:pt idx="50" formatCode="_(* #,##0.0000_);_(* \(#,##0.0000\);_(* &quot;-&quot;??_);_(@_)">
                  <c:v>39.084005695301371</c:v>
                </c:pt>
                <c:pt idx="51" formatCode="_(* #,##0.0000_);_(* \(#,##0.0000\);_(* &quot;-&quot;??_);_(@_)">
                  <c:v>40.009990009990005</c:v>
                </c:pt>
                <c:pt idx="52" formatCode="_(* #,##0.0000_);_(* \(#,##0.0000\);_(* &quot;-&quot;??_);_(@_)">
                  <c:v>42.328042328042322</c:v>
                </c:pt>
                <c:pt idx="53" formatCode="_(* #,##0.0000_);_(* \(#,##0.0000\);_(* &quot;-&quot;??_);_(@_)">
                  <c:v>21.584984358706983</c:v>
                </c:pt>
                <c:pt idx="54" formatCode="_(* #,##0.0000_);_(* \(#,##0.0000\);_(* &quot;-&quot;??_);_(@_)">
                  <c:v>12.698412698412696</c:v>
                </c:pt>
                <c:pt idx="55" formatCode="_(* #,##0.0000_);_(* \(#,##0.0000\);_(* &quot;-&quot;??_);_(@_)">
                  <c:v>13.207394194908382</c:v>
                </c:pt>
                <c:pt idx="56" formatCode="_(* #,##0.0000_);_(* \(#,##0.0000\);_(* &quot;-&quot;??_);_(@_)">
                  <c:v>16.142227816236627</c:v>
                </c:pt>
                <c:pt idx="57" formatCode="_(* #,##0.0000_);_(* \(#,##0.0000\);_(* &quot;-&quot;??_);_(@_)">
                  <c:v>4.5112781954887211</c:v>
                </c:pt>
                <c:pt idx="58" formatCode="_(* #,##0.0000_);_(* \(#,##0.0000\);_(* &quot;-&quot;??_);_(@_)">
                  <c:v>21.428571428571427</c:v>
                </c:pt>
                <c:pt idx="59" formatCode="_(* #,##0.0000_);_(* \(#,##0.0000\);_(* &quot;-&quot;??_);_(@_)">
                  <c:v>21.428571428571427</c:v>
                </c:pt>
                <c:pt idx="60" formatCode="_(* #,##0.0000_);_(* \(#,##0.0000\);_(* &quot;-&quot;??_);_(@_)">
                  <c:v>13.554216867469879</c:v>
                </c:pt>
                <c:pt idx="61" formatCode="_(* #,##0.0000_);_(* \(#,##0.0000\);_(* &quot;-&quot;??_);_(@_)">
                  <c:v>26.428571428571423</c:v>
                </c:pt>
                <c:pt idx="62" formatCode="_(* #,##0.0000_);_(* \(#,##0.0000\);_(* &quot;-&quot;??_);_(@_)">
                  <c:v>21.428571428571427</c:v>
                </c:pt>
                <c:pt idx="63" formatCode="_(* #,##0.0000_);_(* \(#,##0.0000\);_(* &quot;-&quot;??_);_(@_)">
                  <c:v>21.669341894060992</c:v>
                </c:pt>
                <c:pt idx="64" formatCode="_(* #,##0.0000_);_(* \(#,##0.0000\);_(* &quot;-&quot;??_);_(@_)">
                  <c:v>23.166023166023166</c:v>
                </c:pt>
                <c:pt idx="65" formatCode="_(* #,##0.0000_);_(* \(#,##0.0000\);_(* &quot;-&quot;??_);_(@_)">
                  <c:v>34.165834165834163</c:v>
                </c:pt>
                <c:pt idx="66" formatCode="_(* #,##0.0000_);_(* \(#,##0.0000\);_(* &quot;-&quot;??_);_(@_)">
                  <c:v>28.660714285714285</c:v>
                </c:pt>
                <c:pt idx="67" formatCode="_(* #,##0.0000_);_(* \(#,##0.0000\);_(* &quot;-&quot;??_);_(@_)">
                  <c:v>42.925604746691008</c:v>
                </c:pt>
                <c:pt idx="68" formatCode="_(* #,##0.0000_);_(* \(#,##0.0000\);_(* &quot;-&quot;??_);_(@_)">
                  <c:v>51.471286188894162</c:v>
                </c:pt>
                <c:pt idx="69" formatCode="_(* #,##0.0000_);_(* \(#,##0.0000\);_(* &quot;-&quot;??_);_(@_)">
                  <c:v>59.340659340659336</c:v>
                </c:pt>
                <c:pt idx="70" formatCode="_(* #,##0.0000_);_(* \(#,##0.0000\);_(* &quot;-&quot;??_);_(@_)">
                  <c:v>51.275510204081627</c:v>
                </c:pt>
                <c:pt idx="71" formatCode="_(* #,##0.0000_);_(* \(#,##0.0000\);_(* &quot;-&quot;??_);_(@_)">
                  <c:v>51.375878220140514</c:v>
                </c:pt>
                <c:pt idx="72" formatCode="_(* #,##0.0000_);_(* \(#,##0.0000\);_(* &quot;-&quot;??_);_(@_)">
                  <c:v>55.790816326530617</c:v>
                </c:pt>
                <c:pt idx="73" formatCode="_(* #,##0.0000_);_(* \(#,##0.0000\);_(* &quot;-&quot;??_);_(@_)">
                  <c:v>64.285714285714278</c:v>
                </c:pt>
                <c:pt idx="79" formatCode="_(* #,##0.0000_);_(* \(#,##0.0000\);_(* &quot;-&quot;??_);_(@_)">
                  <c:v>48.979591836734684</c:v>
                </c:pt>
                <c:pt idx="80" formatCode="_(* #,##0.0000_);_(* \(#,##0.0000\);_(* &quot;-&quot;??_);_(@_)">
                  <c:v>48.214285714285708</c:v>
                </c:pt>
                <c:pt idx="81" formatCode="_(* #,##0.0000_);_(* \(#,##0.0000\);_(* &quot;-&quot;??_);_(@_)">
                  <c:v>48.373408769448368</c:v>
                </c:pt>
                <c:pt idx="82" formatCode="_(* #,##0.0000_);_(* \(#,##0.0000\);_(* &quot;-&quot;??_);_(@_)">
                  <c:v>48.149219201850777</c:v>
                </c:pt>
                <c:pt idx="83" formatCode="_(* #,##0.0000_);_(* \(#,##0.0000\);_(* &quot;-&quot;??_);_(@_)">
                  <c:v>68.303571428571431</c:v>
                </c:pt>
                <c:pt idx="84" formatCode="_(* #,##0.0000_);_(* \(#,##0.0000\);_(* &quot;-&quot;??_);_(@_)">
                  <c:v>40.674408842871131</c:v>
                </c:pt>
                <c:pt idx="85" formatCode="_(* #,##0.0000_);_(* \(#,##0.0000\);_(* &quot;-&quot;??_);_(@_)">
                  <c:v>61.490683229813662</c:v>
                </c:pt>
                <c:pt idx="86" formatCode="_(* #,##0.0000_);_(* \(#,##0.0000\);_(* &quot;-&quot;??_);_(@_)">
                  <c:v>77.142857142857139</c:v>
                </c:pt>
                <c:pt idx="87" formatCode="_(* #,##0.0000_);_(* \(#,##0.0000\);_(* &quot;-&quot;??_);_(@_)">
                  <c:v>49.404761904761898</c:v>
                </c:pt>
                <c:pt idx="88" formatCode="_(* #,##0.0000_);_(* \(#,##0.0000\);_(* &quot;-&quot;??_);_(@_)">
                  <c:v>55.102040816326522</c:v>
                </c:pt>
                <c:pt idx="89" formatCode="_(* #,##0.0000_);_(* \(#,##0.0000\);_(* &quot;-&quot;??_);_(@_)">
                  <c:v>53.230209281164697</c:v>
                </c:pt>
                <c:pt idx="90" formatCode="_(* #,##0.0000_);_(* \(#,##0.0000\);_(* &quot;-&quot;??_);_(@_)">
                  <c:v>31.571428571428573</c:v>
                </c:pt>
                <c:pt idx="91" formatCode="_(* #,##0.0000_);_(* \(#,##0.0000\);_(* &quot;-&quot;??_);_(@_)">
                  <c:v>25.346938775510203</c:v>
                </c:pt>
                <c:pt idx="92" formatCode="_(* #,##0.0000_);_(* \(#,##0.0000\);_(* &quot;-&quot;??_);_(@_)">
                  <c:v>31.153846153846153</c:v>
                </c:pt>
                <c:pt idx="93" formatCode="_(* #,##0.0000_);_(* \(#,##0.0000\);_(* &quot;-&quot;??_);_(@_)">
                  <c:v>30.055658627087194</c:v>
                </c:pt>
                <c:pt idx="94" formatCode="_(* #,##0.0000_);_(* \(#,##0.0000\);_(* &quot;-&quot;??_);_(@_)">
                  <c:v>28.222996515679444</c:v>
                </c:pt>
                <c:pt idx="95" formatCode="_(* #,##0.0000_);_(* \(#,##0.0000\);_(* &quot;-&quot;??_);_(@_)">
                  <c:v>6.4529220779220786</c:v>
                </c:pt>
                <c:pt idx="96" formatCode="_(* #,##0.0000_);_(* \(#,##0.0000\);_(* &quot;-&quot;??_);_(@_)">
                  <c:v>34.322033898305079</c:v>
                </c:pt>
                <c:pt idx="97" formatCode="_(* #,##0.0000_);_(* \(#,##0.0000\);_(* &quot;-&quot;??_);_(@_)">
                  <c:v>41.51312468450277</c:v>
                </c:pt>
                <c:pt idx="98" formatCode="_(* #,##0.0000_);_(* \(#,##0.0000\);_(* &quot;-&quot;??_);_(@_)">
                  <c:v>36.753786753786756</c:v>
                </c:pt>
                <c:pt idx="99" formatCode="_(* #,##0.0000_);_(* \(#,##0.0000\);_(* &quot;-&quot;??_);_(@_)">
                  <c:v>30.15017327685791</c:v>
                </c:pt>
              </c:numCache>
            </c:numRef>
          </c:yVal>
          <c:smooth val="0"/>
        </c:ser>
        <c:dLbls>
          <c:showLegendKey val="0"/>
          <c:showVal val="0"/>
          <c:showCatName val="0"/>
          <c:showSerName val="0"/>
          <c:showPercent val="0"/>
          <c:showBubbleSize val="0"/>
        </c:dLbls>
        <c:axId val="299067328"/>
        <c:axId val="299074608"/>
      </c:scatterChart>
      <c:valAx>
        <c:axId val="29906732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74608"/>
        <c:crosses val="autoZero"/>
        <c:crossBetween val="midCat"/>
        <c:majorUnit val="5"/>
      </c:valAx>
      <c:valAx>
        <c:axId val="2990746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6732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Istanbul (Rumeli),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(All)'!$AC$7:$AC$107</c:f>
              <c:numCache>
                <c:formatCode>0.0000</c:formatCode>
                <c:ptCount val="101"/>
                <c:pt idx="36" formatCode="_(* #,##0.0000_);_(* \(#,##0.0000\);_(* &quot;-&quot;??_);_(@_)">
                  <c:v>52.458233215547715</c:v>
                </c:pt>
                <c:pt idx="37" formatCode="_(* #,##0.0000_);_(* \(#,##0.0000\);_(* &quot;-&quot;??_);_(@_)">
                  <c:v>64.399293286219077</c:v>
                </c:pt>
                <c:pt idx="38" formatCode="_(* #,##0.0000_);_(* \(#,##0.0000\);_(* &quot;-&quot;??_);_(@_)">
                  <c:v>59.338939929328617</c:v>
                </c:pt>
                <c:pt idx="39" formatCode="_(* #,##0.0000_);_(* \(#,##0.0000\);_(* &quot;-&quot;??_);_(@_)">
                  <c:v>50.592084805653712</c:v>
                </c:pt>
                <c:pt idx="40" formatCode="_(* #,##0.0000_);_(* \(#,##0.0000\);_(* &quot;-&quot;??_);_(@_)">
                  <c:v>63.094134275618373</c:v>
                </c:pt>
                <c:pt idx="41" formatCode="_(* #,##0.0000_);_(* \(#,##0.0000\);_(* &quot;-&quot;??_);_(@_)">
                  <c:v>61.525653710247347</c:v>
                </c:pt>
                <c:pt idx="42" formatCode="_(* #,##0.0000_);_(* \(#,##0.0000\);_(* &quot;-&quot;??_);_(@_)">
                  <c:v>64.239010600706706</c:v>
                </c:pt>
                <c:pt idx="45" formatCode="_(* #,##0.0000_);_(* \(#,##0.0000\);_(* &quot;-&quot;??_);_(@_)">
                  <c:v>42.268833922261479</c:v>
                </c:pt>
                <c:pt idx="46" formatCode="_(* #,##0.0000_);_(* \(#,##0.0000\);_(* &quot;-&quot;??_);_(@_)">
                  <c:v>41.570459363957603</c:v>
                </c:pt>
                <c:pt idx="47" formatCode="_(* #,##0.0000_);_(* \(#,##0.0000\);_(* &quot;-&quot;??_);_(@_)">
                  <c:v>45.085229681978802</c:v>
                </c:pt>
                <c:pt idx="48" formatCode="_(* #,##0.0000_);_(* \(#,##0.0000\);_(* &quot;-&quot;??_);_(@_)">
                  <c:v>41.982614840989399</c:v>
                </c:pt>
                <c:pt idx="49" formatCode="_(* #,##0.0000_);_(* \(#,##0.0000\);_(* &quot;-&quot;??_);_(@_)">
                  <c:v>42.463462897526512</c:v>
                </c:pt>
                <c:pt idx="52" formatCode="_(* #,##0.0000_);_(* \(#,##0.0000\);_(* &quot;-&quot;??_);_(@_)">
                  <c:v>49.802120141342755</c:v>
                </c:pt>
                <c:pt idx="53" formatCode="_(* #,##0.0000_);_(* \(#,##0.0000\);_(* &quot;-&quot;??_);_(@_)">
                  <c:v>42.93286219081272</c:v>
                </c:pt>
                <c:pt idx="54" formatCode="_(* #,##0.0000_);_(* \(#,##0.0000\);_(* &quot;-&quot;??_);_(@_)">
                  <c:v>27.282402826855126</c:v>
                </c:pt>
                <c:pt idx="55" formatCode="_(* #,##0.0000_);_(* \(#,##0.0000\);_(* &quot;-&quot;??_);_(@_)">
                  <c:v>28.049469964664311</c:v>
                </c:pt>
                <c:pt idx="56" formatCode="_(* #,##0.0000_);_(* \(#,##0.0000\);_(* &quot;-&quot;??_);_(@_)">
                  <c:v>31.552791519434631</c:v>
                </c:pt>
                <c:pt idx="57" formatCode="_(* #,##0.0000_);_(* \(#,##0.0000\);_(* &quot;-&quot;??_);_(@_)">
                  <c:v>33.201413427561839</c:v>
                </c:pt>
                <c:pt idx="58" formatCode="_(* #,##0.0000_);_(* \(#,##0.0000\);_(* &quot;-&quot;??_);_(@_)">
                  <c:v>46.367491166077741</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46.081272084805654</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(All)'!$AC$7:$AC$107</c:f>
              <c:numCache>
                <c:formatCode>0.0000</c:formatCode>
                <c:ptCount val="101"/>
                <c:pt idx="36" formatCode="_(* #,##0.0000_);_(* \(#,##0.0000\);_(* &quot;-&quot;??_);_(@_)">
                  <c:v>52.458233215547715</c:v>
                </c:pt>
                <c:pt idx="37" formatCode="_(* #,##0.0000_);_(* \(#,##0.0000\);_(* &quot;-&quot;??_);_(@_)">
                  <c:v>64.399293286219077</c:v>
                </c:pt>
                <c:pt idx="38" formatCode="_(* #,##0.0000_);_(* \(#,##0.0000\);_(* &quot;-&quot;??_);_(@_)">
                  <c:v>59.338939929328617</c:v>
                </c:pt>
                <c:pt idx="39" formatCode="_(* #,##0.0000_);_(* \(#,##0.0000\);_(* &quot;-&quot;??_);_(@_)">
                  <c:v>50.592084805653712</c:v>
                </c:pt>
                <c:pt idx="40" formatCode="_(* #,##0.0000_);_(* \(#,##0.0000\);_(* &quot;-&quot;??_);_(@_)">
                  <c:v>63.094134275618373</c:v>
                </c:pt>
                <c:pt idx="41" formatCode="_(* #,##0.0000_);_(* \(#,##0.0000\);_(* &quot;-&quot;??_);_(@_)">
                  <c:v>61.525653710247347</c:v>
                </c:pt>
                <c:pt idx="42" formatCode="_(* #,##0.0000_);_(* \(#,##0.0000\);_(* &quot;-&quot;??_);_(@_)">
                  <c:v>64.239010600706706</c:v>
                </c:pt>
                <c:pt idx="45" formatCode="_(* #,##0.0000_);_(* \(#,##0.0000\);_(* &quot;-&quot;??_);_(@_)">
                  <c:v>42.268833922261479</c:v>
                </c:pt>
                <c:pt idx="46" formatCode="_(* #,##0.0000_);_(* \(#,##0.0000\);_(* &quot;-&quot;??_);_(@_)">
                  <c:v>41.570459363957603</c:v>
                </c:pt>
                <c:pt idx="47" formatCode="_(* #,##0.0000_);_(* \(#,##0.0000\);_(* &quot;-&quot;??_);_(@_)">
                  <c:v>45.085229681978802</c:v>
                </c:pt>
                <c:pt idx="48" formatCode="_(* #,##0.0000_);_(* \(#,##0.0000\);_(* &quot;-&quot;??_);_(@_)">
                  <c:v>41.982614840989399</c:v>
                </c:pt>
                <c:pt idx="49" formatCode="_(* #,##0.0000_);_(* \(#,##0.0000\);_(* &quot;-&quot;??_);_(@_)">
                  <c:v>42.463462897526512</c:v>
                </c:pt>
                <c:pt idx="52" formatCode="_(* #,##0.0000_);_(* \(#,##0.0000\);_(* &quot;-&quot;??_);_(@_)">
                  <c:v>49.802120141342755</c:v>
                </c:pt>
                <c:pt idx="53" formatCode="_(* #,##0.0000_);_(* \(#,##0.0000\);_(* &quot;-&quot;??_);_(@_)">
                  <c:v>42.93286219081272</c:v>
                </c:pt>
                <c:pt idx="54" formatCode="_(* #,##0.0000_);_(* \(#,##0.0000\);_(* &quot;-&quot;??_);_(@_)">
                  <c:v>27.282402826855126</c:v>
                </c:pt>
                <c:pt idx="55" formatCode="_(* #,##0.0000_);_(* \(#,##0.0000\);_(* &quot;-&quot;??_);_(@_)">
                  <c:v>28.049469964664311</c:v>
                </c:pt>
                <c:pt idx="56" formatCode="_(* #,##0.0000_);_(* \(#,##0.0000\);_(* &quot;-&quot;??_);_(@_)">
                  <c:v>31.552791519434631</c:v>
                </c:pt>
                <c:pt idx="57" formatCode="_(* #,##0.0000_);_(* \(#,##0.0000\);_(* &quot;-&quot;??_);_(@_)">
                  <c:v>33.201413427561839</c:v>
                </c:pt>
                <c:pt idx="58" formatCode="_(* #,##0.0000_);_(* \(#,##0.0000\);_(* &quot;-&quot;??_);_(@_)">
                  <c:v>46.367491166077741</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46.081272084805654</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yVal>
          <c:smooth val="0"/>
        </c:ser>
        <c:dLbls>
          <c:showLegendKey val="0"/>
          <c:showVal val="0"/>
          <c:showCatName val="0"/>
          <c:showSerName val="0"/>
          <c:showPercent val="0"/>
          <c:showBubbleSize val="0"/>
        </c:dLbls>
        <c:axId val="698810544"/>
        <c:axId val="698834064"/>
      </c:scatterChart>
      <c:valAx>
        <c:axId val="69881054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34064"/>
        <c:crosses val="autoZero"/>
        <c:crossBetween val="midCat"/>
        <c:majorUnit val="5"/>
      </c:valAx>
      <c:valAx>
        <c:axId val="698834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1054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Istanbul (Anatolia),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(All)'!$AF$7:$AF$107</c:f>
              <c:numCache>
                <c:formatCode>0.0000</c:formatCode>
                <c:ptCount val="101"/>
                <c:pt idx="46" formatCode="_(* #,##0.0000_);_(* \(#,##0.0000\);_(* &quot;-&quot;??_);_(@_)">
                  <c:v>41.570459363957603</c:v>
                </c:pt>
                <c:pt idx="47" formatCode="_(* #,##0.0000_);_(* \(#,##0.0000\);_(* &quot;-&quot;??_);_(@_)">
                  <c:v>45.096678445229678</c:v>
                </c:pt>
                <c:pt idx="56" formatCode="_(* #,##0.0000_);_(* \(#,##0.0000\);_(* &quot;-&quot;??_);_(@_)">
                  <c:v>30.94600706713781</c:v>
                </c:pt>
                <c:pt idx="57" formatCode="_(* #,##0.0000_);_(* \(#,##0.0000\);_(* &quot;-&quot;??_);_(@_)">
                  <c:v>38.937243816254416</c:v>
                </c:pt>
                <c:pt idx="58" formatCode="_(* #,##0.0000_);_(* \(#,##0.0000\);_(* &quot;-&quot;??_);_(@_)">
                  <c:v>49.092296819787997</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42.646643109540641</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(All)'!$AF$7:$AF$107</c:f>
              <c:numCache>
                <c:formatCode>0.0000</c:formatCode>
                <c:ptCount val="101"/>
                <c:pt idx="46" formatCode="_(* #,##0.0000_);_(* \(#,##0.0000\);_(* &quot;-&quot;??_);_(@_)">
                  <c:v>41.570459363957603</c:v>
                </c:pt>
                <c:pt idx="47" formatCode="_(* #,##0.0000_);_(* \(#,##0.0000\);_(* &quot;-&quot;??_);_(@_)">
                  <c:v>45.096678445229678</c:v>
                </c:pt>
                <c:pt idx="56" formatCode="_(* #,##0.0000_);_(* \(#,##0.0000\);_(* &quot;-&quot;??_);_(@_)">
                  <c:v>30.94600706713781</c:v>
                </c:pt>
                <c:pt idx="57" formatCode="_(* #,##0.0000_);_(* \(#,##0.0000\);_(* &quot;-&quot;??_);_(@_)">
                  <c:v>38.937243816254416</c:v>
                </c:pt>
                <c:pt idx="58" formatCode="_(* #,##0.0000_);_(* \(#,##0.0000\);_(* &quot;-&quot;??_);_(@_)">
                  <c:v>49.092296819787997</c:v>
                </c:pt>
                <c:pt idx="59" formatCode="_(* #,##0.0000_);_(* \(#,##0.0000\);_(* &quot;-&quot;??_);_(@_)">
                  <c:v>45.085229681978802</c:v>
                </c:pt>
                <c:pt idx="60" formatCode="_(* #,##0.0000_);_(* \(#,##0.0000\);_(* &quot;-&quot;??_);_(@_)">
                  <c:v>39.784452296819794</c:v>
                </c:pt>
                <c:pt idx="61" formatCode="_(* #,##0.0000_);_(* \(#,##0.0000\);_(* &quot;-&quot;??_);_(@_)">
                  <c:v>37.013851590106007</c:v>
                </c:pt>
                <c:pt idx="62" formatCode="_(* #,##0.0000_);_(* \(#,##0.0000\);_(* &quot;-&quot;??_);_(@_)">
                  <c:v>36.498657243816254</c:v>
                </c:pt>
                <c:pt idx="63" formatCode="_(* #,##0.0000_);_(* \(#,##0.0000\);_(* &quot;-&quot;??_);_(@_)">
                  <c:v>40.219505300353362</c:v>
                </c:pt>
                <c:pt idx="64" formatCode="_(* #,##0.0000_);_(* \(#,##0.0000\);_(* &quot;-&quot;??_);_(@_)">
                  <c:v>42.646643109540641</c:v>
                </c:pt>
                <c:pt idx="65" formatCode="_(* #,##0.0000_);_(* \(#,##0.0000\);_(* &quot;-&quot;??_);_(@_)">
                  <c:v>44.787561837455826</c:v>
                </c:pt>
                <c:pt idx="66" formatCode="_(* #,##0.0000_);_(* \(#,##0.0000\);_(* &quot;-&quot;??_);_(@_)">
                  <c:v>42.452014134275608</c:v>
                </c:pt>
                <c:pt idx="67" formatCode="_(* #,##0.0000_);_(* \(#,##0.0000\);_(* &quot;-&quot;??_);_(@_)">
                  <c:v>52.87038869257951</c:v>
                </c:pt>
                <c:pt idx="68" formatCode="_(* #,##0.0000_);_(* \(#,##0.0000\);_(* &quot;-&quot;??_);_(@_)">
                  <c:v>61.880565371024751</c:v>
                </c:pt>
              </c:numCache>
            </c:numRef>
          </c:yVal>
          <c:smooth val="0"/>
        </c:ser>
        <c:dLbls>
          <c:showLegendKey val="0"/>
          <c:showVal val="0"/>
          <c:showCatName val="0"/>
          <c:showSerName val="0"/>
          <c:showPercent val="0"/>
          <c:showBubbleSize val="0"/>
        </c:dLbls>
        <c:axId val="698860944"/>
        <c:axId val="698860384"/>
      </c:scatterChart>
      <c:valAx>
        <c:axId val="69886094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60384"/>
        <c:crosses val="autoZero"/>
        <c:crossBetween val="midCat"/>
        <c:majorUnit val="5"/>
      </c:valAx>
      <c:valAx>
        <c:axId val="698860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6094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Istanbul (Rumeli), Exports,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(All)'!$AD$7:$AD$107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(All)'!$AD$7:$AD$107</c:f>
              <c:numCache>
                <c:formatCode>0.0000</c:formatCode>
                <c:ptCount val="101"/>
              </c:numCache>
            </c:numRef>
          </c:yVal>
          <c:smooth val="0"/>
        </c:ser>
        <c:dLbls>
          <c:showLegendKey val="0"/>
          <c:showVal val="0"/>
          <c:showCatName val="0"/>
          <c:showSerName val="0"/>
          <c:showPercent val="0"/>
          <c:showBubbleSize val="0"/>
        </c:dLbls>
        <c:axId val="698856464"/>
        <c:axId val="698825664"/>
      </c:scatterChart>
      <c:valAx>
        <c:axId val="6988564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25664"/>
        <c:crosses val="autoZero"/>
        <c:crossBetween val="midCat"/>
        <c:majorUnit val="5"/>
      </c:valAx>
      <c:valAx>
        <c:axId val="698825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564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Istanbul (Rumeli), Bazaar (Local),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(All)'!$AE$7:$AE$107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(All)'!$AE$7:$AE$107</c:f>
              <c:numCache>
                <c:formatCode>0.0000</c:formatCode>
                <c:ptCount val="101"/>
              </c:numCache>
            </c:numRef>
          </c:yVal>
          <c:smooth val="0"/>
        </c:ser>
        <c:dLbls>
          <c:showLegendKey val="0"/>
          <c:showVal val="0"/>
          <c:showCatName val="0"/>
          <c:showSerName val="0"/>
          <c:showPercent val="0"/>
          <c:showBubbleSize val="0"/>
        </c:dLbls>
        <c:axId val="698854784"/>
        <c:axId val="698857024"/>
      </c:scatterChart>
      <c:valAx>
        <c:axId val="69885478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57024"/>
        <c:crosses val="autoZero"/>
        <c:crossBetween val="midCat"/>
        <c:majorUnit val="5"/>
      </c:valAx>
      <c:valAx>
        <c:axId val="698857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5478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Istanbul (Anatolia),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(All)'!$AG$7:$AG$107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(All)'!$AG$7:$AG$107</c:f>
              <c:numCache>
                <c:formatCode>0.0000</c:formatCode>
                <c:ptCount val="101"/>
              </c:numCache>
            </c:numRef>
          </c:yVal>
          <c:smooth val="0"/>
        </c:ser>
        <c:dLbls>
          <c:showLegendKey val="0"/>
          <c:showVal val="0"/>
          <c:showCatName val="0"/>
          <c:showSerName val="0"/>
          <c:showPercent val="0"/>
          <c:showBubbleSize val="0"/>
        </c:dLbls>
        <c:axId val="698857584"/>
        <c:axId val="698864304"/>
      </c:scatterChart>
      <c:valAx>
        <c:axId val="69885758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64304"/>
        <c:crosses val="autoZero"/>
        <c:crossBetween val="midCat"/>
        <c:majorUnit val="5"/>
      </c:valAx>
      <c:valAx>
        <c:axId val="698864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5758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Istanbul (Anatolia),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(All)'!$AH$7:$AH$107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(All)'!$AH$7:$AH$107</c:f>
              <c:numCache>
                <c:formatCode>0.0000</c:formatCode>
                <c:ptCount val="101"/>
              </c:numCache>
            </c:numRef>
          </c:yVal>
          <c:smooth val="0"/>
        </c:ser>
        <c:dLbls>
          <c:showLegendKey val="0"/>
          <c:showVal val="0"/>
          <c:showCatName val="0"/>
          <c:showSerName val="0"/>
          <c:showPercent val="0"/>
          <c:showBubbleSize val="0"/>
        </c:dLbls>
        <c:axId val="698869904"/>
        <c:axId val="698870464"/>
      </c:scatterChart>
      <c:valAx>
        <c:axId val="6988699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70464"/>
        <c:crosses val="autoZero"/>
        <c:crossBetween val="midCat"/>
        <c:majorUnit val="5"/>
      </c:valAx>
      <c:valAx>
        <c:axId val="6988704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699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Turkey,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(All)'!$AM$7:$AM$107</c:f>
              <c:numCache>
                <c:formatCode>0.0000</c:formatCode>
                <c:ptCount val="101"/>
                <c:pt idx="44">
                  <c:v>89.772367558462705</c:v>
                </c:pt>
                <c:pt idx="45">
                  <c:v>85.760074394249131</c:v>
                </c:pt>
                <c:pt idx="52">
                  <c:v>36.657359173582904</c:v>
                </c:pt>
                <c:pt idx="53">
                  <c:v>32.1276175948312</c:v>
                </c:pt>
                <c:pt idx="54">
                  <c:v>32.797219393052416</c:v>
                </c:pt>
                <c:pt idx="55">
                  <c:v>40.260826771653534</c:v>
                </c:pt>
                <c:pt idx="56">
                  <c:v>41.710256968641104</c:v>
                </c:pt>
                <c:pt idx="60">
                  <c:v>37.763428008998886</c:v>
                </c:pt>
                <c:pt idx="61">
                  <c:v>38.898694533163813</c:v>
                </c:pt>
                <c:pt idx="71">
                  <c:v>46.629708305269176</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(All)'!$AM$7:$AM$107</c:f>
              <c:numCache>
                <c:formatCode>0.0000</c:formatCode>
                <c:ptCount val="101"/>
                <c:pt idx="44">
                  <c:v>89.772367558462705</c:v>
                </c:pt>
                <c:pt idx="45">
                  <c:v>85.760074394249131</c:v>
                </c:pt>
                <c:pt idx="52">
                  <c:v>36.657359173582904</c:v>
                </c:pt>
                <c:pt idx="53">
                  <c:v>32.1276175948312</c:v>
                </c:pt>
                <c:pt idx="54">
                  <c:v>32.797219393052416</c:v>
                </c:pt>
                <c:pt idx="55">
                  <c:v>40.260826771653534</c:v>
                </c:pt>
                <c:pt idx="56">
                  <c:v>41.710256968641104</c:v>
                </c:pt>
                <c:pt idx="60">
                  <c:v>37.763428008998886</c:v>
                </c:pt>
                <c:pt idx="61">
                  <c:v>38.898694533163813</c:v>
                </c:pt>
                <c:pt idx="71">
                  <c:v>46.629708305269176</c:v>
                </c:pt>
              </c:numCache>
            </c:numRef>
          </c:yVal>
          <c:smooth val="0"/>
        </c:ser>
        <c:dLbls>
          <c:showLegendKey val="0"/>
          <c:showVal val="0"/>
          <c:showCatName val="0"/>
          <c:showSerName val="0"/>
          <c:showPercent val="0"/>
          <c:showBubbleSize val="0"/>
        </c:dLbls>
        <c:axId val="698873264"/>
        <c:axId val="698873824"/>
      </c:scatterChart>
      <c:valAx>
        <c:axId val="6988732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73824"/>
        <c:crosses val="autoZero"/>
        <c:crossBetween val="midCat"/>
        <c:majorUnit val="5"/>
      </c:valAx>
      <c:valAx>
        <c:axId val="6988738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732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Turkey,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(All)'!$AL$7:$AL$107</c:f>
              <c:numCache>
                <c:formatCode>0.0000</c:formatCode>
                <c:ptCount val="101"/>
                <c:pt idx="70">
                  <c:v>47.458576737058046</c:v>
                </c:pt>
                <c:pt idx="71">
                  <c:v>44.990941421190342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(All)'!$AL$7:$AL$107</c:f>
              <c:numCache>
                <c:formatCode>0.0000</c:formatCode>
                <c:ptCount val="101"/>
                <c:pt idx="70">
                  <c:v>47.458576737058046</c:v>
                </c:pt>
                <c:pt idx="71">
                  <c:v>44.990941421190342</c:v>
                </c:pt>
              </c:numCache>
            </c:numRef>
          </c:yVal>
          <c:smooth val="0"/>
        </c:ser>
        <c:dLbls>
          <c:showLegendKey val="0"/>
          <c:showVal val="0"/>
          <c:showCatName val="0"/>
          <c:showSerName val="0"/>
          <c:showPercent val="0"/>
          <c:showBubbleSize val="0"/>
        </c:dLbls>
        <c:axId val="698876064"/>
        <c:axId val="698876624"/>
      </c:scatterChart>
      <c:valAx>
        <c:axId val="6988760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76624"/>
        <c:crosses val="autoZero"/>
        <c:crossBetween val="midCat"/>
        <c:majorUnit val="5"/>
      </c:valAx>
      <c:valAx>
        <c:axId val="6988766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760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Turkey,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(All)'!$AN$7:$AN$107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(All)'!$AN$7:$AN$107</c:f>
              <c:numCache>
                <c:formatCode>0.0000</c:formatCode>
                <c:ptCount val="101"/>
              </c:numCache>
            </c:numRef>
          </c:yVal>
          <c:smooth val="0"/>
        </c:ser>
        <c:dLbls>
          <c:showLegendKey val="0"/>
          <c:showVal val="0"/>
          <c:showCatName val="0"/>
          <c:showSerName val="0"/>
          <c:showPercent val="0"/>
          <c:showBubbleSize val="0"/>
        </c:dLbls>
        <c:axId val="698879424"/>
        <c:axId val="698879984"/>
      </c:scatterChart>
      <c:valAx>
        <c:axId val="69887942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79984"/>
        <c:crosses val="autoZero"/>
        <c:crossBetween val="midCat"/>
        <c:majorUnit val="5"/>
      </c:valAx>
      <c:valAx>
        <c:axId val="6988799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7942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Constantinople,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(All)'!$AO$7:$AO$107</c:f>
              <c:numCache>
                <c:formatCode>0.0000</c:formatCode>
                <c:ptCount val="101"/>
                <c:pt idx="49">
                  <c:v>98.157671753255343</c:v>
                </c:pt>
                <c:pt idx="50">
                  <c:v>126.17116438830043</c:v>
                </c:pt>
                <c:pt idx="67">
                  <c:v>57.208375534591028</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(All)'!$AO$7:$AO$107</c:f>
              <c:numCache>
                <c:formatCode>0.0000</c:formatCode>
                <c:ptCount val="101"/>
                <c:pt idx="49">
                  <c:v>98.157671753255343</c:v>
                </c:pt>
                <c:pt idx="50">
                  <c:v>126.17116438830043</c:v>
                </c:pt>
                <c:pt idx="67">
                  <c:v>57.208375534591028</c:v>
                </c:pt>
              </c:numCache>
            </c:numRef>
          </c:yVal>
          <c:smooth val="0"/>
        </c:ser>
        <c:dLbls>
          <c:showLegendKey val="0"/>
          <c:showVal val="0"/>
          <c:showCatName val="0"/>
          <c:showSerName val="0"/>
          <c:showPercent val="0"/>
          <c:showBubbleSize val="0"/>
        </c:dLbls>
        <c:axId val="698882784"/>
        <c:axId val="698883344"/>
      </c:scatterChart>
      <c:valAx>
        <c:axId val="69888278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83344"/>
        <c:crosses val="autoZero"/>
        <c:crossBetween val="midCat"/>
        <c:majorUnit val="5"/>
      </c:valAx>
      <c:valAx>
        <c:axId val="6988833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8278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Baghdad,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(All)'!$H$7:$H$107</c:f>
              <c:numCache>
                <c:formatCode>0.0000</c:formatCode>
                <c:ptCount val="101"/>
                <c:pt idx="21" formatCode="_(* #,##0.0000_);_(* \(#,##0.0000\);_(* &quot;-&quot;??_);_(@_)">
                  <c:v>31.632259911804287</c:v>
                </c:pt>
                <c:pt idx="22" formatCode="_(* #,##0.0000_);_(* \(#,##0.0000\);_(* &quot;-&quot;??_);_(@_)">
                  <c:v>31.632259911804287</c:v>
                </c:pt>
                <c:pt idx="23" formatCode="_(* #,##0.0000_);_(* \(#,##0.0000\);_(* &quot;-&quot;??_);_(@_)">
                  <c:v>31.632259911804287</c:v>
                </c:pt>
                <c:pt idx="24" formatCode="_(* #,##0.0000_);_(* \(#,##0.0000\);_(* &quot;-&quot;??_);_(@_)">
                  <c:v>31.632259911804287</c:v>
                </c:pt>
                <c:pt idx="25" formatCode="_(* #,##0.0000_);_(* \(#,##0.0000\);_(* &quot;-&quot;??_);_(@_)">
                  <c:v>31.632259911804287</c:v>
                </c:pt>
                <c:pt idx="26" formatCode="_(* #,##0.0000_);_(* \(#,##0.0000\);_(* &quot;-&quot;??_);_(@_)">
                  <c:v>49.881640630152958</c:v>
                </c:pt>
                <c:pt idx="27" formatCode="_(* #,##0.0000_);_(* \(#,##0.0000\);_(* &quot;-&quot;??_);_(@_)">
                  <c:v>71.172584801559651</c:v>
                </c:pt>
                <c:pt idx="28" formatCode="_(* #,##0.0000_);_(* \(#,##0.0000\);_(* &quot;-&quot;??_);_(@_)">
                  <c:v>42.932681994399552</c:v>
                </c:pt>
                <c:pt idx="29" formatCode="_(* #,##0.0000_);_(* \(#,##0.0000\);_(* &quot;-&quot;??_);_(@_)">
                  <c:v>35.2415818760999</c:v>
                </c:pt>
                <c:pt idx="30" formatCode="_(* #,##0.0000_);_(* \(#,##0.0000\);_(* &quot;-&quot;??_);_(@_)">
                  <c:v>75.633544532711511</c:v>
                </c:pt>
                <c:pt idx="31" formatCode="_(* #,##0.0000_);_(* \(#,##0.0000\);_(* &quot;-&quot;??_);_(@_)">
                  <c:v>121.66253812232425</c:v>
                </c:pt>
                <c:pt idx="34" formatCode="_(* #,##0.0000_);_(* \(#,##0.0000\);_(* &quot;-&quot;??_);_(@_)">
                  <c:v>27.716417910447696</c:v>
                </c:pt>
                <c:pt idx="35" formatCode="_(* #,##0.0000_);_(* \(#,##0.0000\);_(* &quot;-&quot;??_);_(@_)">
                  <c:v>24.253731343283615</c:v>
                </c:pt>
                <c:pt idx="36" formatCode="_(* #,##0.0000_);_(* \(#,##0.0000\);_(* &quot;-&quot;??_);_(@_)">
                  <c:v>24.40298507462683</c:v>
                </c:pt>
                <c:pt idx="37" formatCode="_(* #,##0.0000_);_(* \(#,##0.0000\);_(* &quot;-&quot;??_);_(@_)">
                  <c:v>30.109090909090895</c:v>
                </c:pt>
                <c:pt idx="38" formatCode="_(* #,##0.0000_);_(* \(#,##0.0000\);_(* &quot;-&quot;??_);_(@_)">
                  <c:v>36.909090909090864</c:v>
                </c:pt>
                <c:pt idx="39" formatCode="_(* #,##0.0000_);_(* \(#,##0.0000\);_(* &quot;-&quot;??_);_(@_)">
                  <c:v>52.363636363636417</c:v>
                </c:pt>
                <c:pt idx="54" formatCode="_(* #,##0.0000_);_(* \(#,##0.0000\);_(* &quot;-&quot;??_);_(@_)">
                  <c:v>19.832142857142813</c:v>
                </c:pt>
                <c:pt idx="55" formatCode="_(* #,##0.0000_);_(* \(#,##0.0000\);_(* &quot;-&quot;??_);_(@_)">
                  <c:v>18.348267857142815</c:v>
                </c:pt>
                <c:pt idx="56" formatCode="_(* #,##0.0000_);_(* \(#,##0.0000\);_(* &quot;-&quot;??_);_(@_)">
                  <c:v>32.544642857142819</c:v>
                </c:pt>
                <c:pt idx="61" formatCode="_(* #,##0.0000_);_(* \(#,##0.0000\);_(* &quot;-&quot;??_);_(@_)">
                  <c:v>37.50000000000005</c:v>
                </c:pt>
                <c:pt idx="62" formatCode="_(* #,##0.0000_);_(* \(#,##0.0000\);_(* &quot;-&quot;??_);_(@_)">
                  <c:v>38.736263736263808</c:v>
                </c:pt>
                <c:pt idx="63" formatCode="_(* #,##0.0000_);_(* \(#,##0.0000\);_(* &quot;-&quot;??_);_(@_)">
                  <c:v>25.024038461538478</c:v>
                </c:pt>
                <c:pt idx="64" formatCode="_(* #,##0.0000_);_(* \(#,##0.0000\);_(* &quot;-&quot;??_);_(@_)">
                  <c:v>29.965659340659411</c:v>
                </c:pt>
                <c:pt idx="65" formatCode="_(* #,##0.0000_);_(* \(#,##0.0000\);_(* &quot;-&quot;??_);_(@_)">
                  <c:v>24.065934065934048</c:v>
                </c:pt>
                <c:pt idx="66" formatCode="_(* #,##0.0000_);_(* \(#,##0.0000\);_(* &quot;-&quot;??_);_(@_)">
                  <c:v>32.916892992938635</c:v>
                </c:pt>
                <c:pt idx="67" formatCode="_(* #,##0.0000_);_(* \(#,##0.0000\);_(* &quot;-&quot;??_);_(@_)">
                  <c:v>36.026615969581684</c:v>
                </c:pt>
                <c:pt idx="68" formatCode="_(* #,##0.0000_);_(* \(#,##0.0000\);_(* &quot;-&quot;??_);_(@_)">
                  <c:v>39.533541553503504</c:v>
                </c:pt>
                <c:pt idx="69" formatCode="_(* #,##0.0000_);_(* \(#,##0.0000\);_(* &quot;-&quot;??_);_(@_)">
                  <c:v>55.608365019011472</c:v>
                </c:pt>
                <c:pt idx="70" formatCode="_(* #,##0.0000_);_(* \(#,##0.0000\);_(* &quot;-&quot;??_);_(@_)">
                  <c:v>37.241988049972804</c:v>
                </c:pt>
                <c:pt idx="71" formatCode="_(* #,##0.0000_);_(* \(#,##0.0000\);_(* &quot;-&quot;??_);_(@_)">
                  <c:v>35.198261814231365</c:v>
                </c:pt>
                <c:pt idx="72" formatCode="_(* #,##0.0000_);_(* \(#,##0.0000\);_(* &quot;-&quot;??_);_(@_)">
                  <c:v>51.428571428571409</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(All)'!$H$7:$H$107</c:f>
              <c:numCache>
                <c:formatCode>0.0000</c:formatCode>
                <c:ptCount val="101"/>
                <c:pt idx="21" formatCode="_(* #,##0.0000_);_(* \(#,##0.0000\);_(* &quot;-&quot;??_);_(@_)">
                  <c:v>31.632259911804287</c:v>
                </c:pt>
                <c:pt idx="22" formatCode="_(* #,##0.0000_);_(* \(#,##0.0000\);_(* &quot;-&quot;??_);_(@_)">
                  <c:v>31.632259911804287</c:v>
                </c:pt>
                <c:pt idx="23" formatCode="_(* #,##0.0000_);_(* \(#,##0.0000\);_(* &quot;-&quot;??_);_(@_)">
                  <c:v>31.632259911804287</c:v>
                </c:pt>
                <c:pt idx="24" formatCode="_(* #,##0.0000_);_(* \(#,##0.0000\);_(* &quot;-&quot;??_);_(@_)">
                  <c:v>31.632259911804287</c:v>
                </c:pt>
                <c:pt idx="25" formatCode="_(* #,##0.0000_);_(* \(#,##0.0000\);_(* &quot;-&quot;??_);_(@_)">
                  <c:v>31.632259911804287</c:v>
                </c:pt>
                <c:pt idx="26" formatCode="_(* #,##0.0000_);_(* \(#,##0.0000\);_(* &quot;-&quot;??_);_(@_)">
                  <c:v>49.881640630152958</c:v>
                </c:pt>
                <c:pt idx="27" formatCode="_(* #,##0.0000_);_(* \(#,##0.0000\);_(* &quot;-&quot;??_);_(@_)">
                  <c:v>71.172584801559651</c:v>
                </c:pt>
                <c:pt idx="28" formatCode="_(* #,##0.0000_);_(* \(#,##0.0000\);_(* &quot;-&quot;??_);_(@_)">
                  <c:v>42.932681994399552</c:v>
                </c:pt>
                <c:pt idx="29" formatCode="_(* #,##0.0000_);_(* \(#,##0.0000\);_(* &quot;-&quot;??_);_(@_)">
                  <c:v>35.2415818760999</c:v>
                </c:pt>
                <c:pt idx="30" formatCode="_(* #,##0.0000_);_(* \(#,##0.0000\);_(* &quot;-&quot;??_);_(@_)">
                  <c:v>75.633544532711511</c:v>
                </c:pt>
                <c:pt idx="31" formatCode="_(* #,##0.0000_);_(* \(#,##0.0000\);_(* &quot;-&quot;??_);_(@_)">
                  <c:v>121.66253812232425</c:v>
                </c:pt>
                <c:pt idx="34" formatCode="_(* #,##0.0000_);_(* \(#,##0.0000\);_(* &quot;-&quot;??_);_(@_)">
                  <c:v>27.716417910447696</c:v>
                </c:pt>
                <c:pt idx="35" formatCode="_(* #,##0.0000_);_(* \(#,##0.0000\);_(* &quot;-&quot;??_);_(@_)">
                  <c:v>24.253731343283615</c:v>
                </c:pt>
                <c:pt idx="36" formatCode="_(* #,##0.0000_);_(* \(#,##0.0000\);_(* &quot;-&quot;??_);_(@_)">
                  <c:v>24.40298507462683</c:v>
                </c:pt>
                <c:pt idx="37" formatCode="_(* #,##0.0000_);_(* \(#,##0.0000\);_(* &quot;-&quot;??_);_(@_)">
                  <c:v>30.109090909090895</c:v>
                </c:pt>
                <c:pt idx="38" formatCode="_(* #,##0.0000_);_(* \(#,##0.0000\);_(* &quot;-&quot;??_);_(@_)">
                  <c:v>36.909090909090864</c:v>
                </c:pt>
                <c:pt idx="39" formatCode="_(* #,##0.0000_);_(* \(#,##0.0000\);_(* &quot;-&quot;??_);_(@_)">
                  <c:v>52.363636363636417</c:v>
                </c:pt>
                <c:pt idx="54" formatCode="_(* #,##0.0000_);_(* \(#,##0.0000\);_(* &quot;-&quot;??_);_(@_)">
                  <c:v>19.832142857142813</c:v>
                </c:pt>
                <c:pt idx="55" formatCode="_(* #,##0.0000_);_(* \(#,##0.0000\);_(* &quot;-&quot;??_);_(@_)">
                  <c:v>18.348267857142815</c:v>
                </c:pt>
                <c:pt idx="56" formatCode="_(* #,##0.0000_);_(* \(#,##0.0000\);_(* &quot;-&quot;??_);_(@_)">
                  <c:v>32.544642857142819</c:v>
                </c:pt>
                <c:pt idx="61" formatCode="_(* #,##0.0000_);_(* \(#,##0.0000\);_(* &quot;-&quot;??_);_(@_)">
                  <c:v>37.50000000000005</c:v>
                </c:pt>
                <c:pt idx="62" formatCode="_(* #,##0.0000_);_(* \(#,##0.0000\);_(* &quot;-&quot;??_);_(@_)">
                  <c:v>38.736263736263808</c:v>
                </c:pt>
                <c:pt idx="63" formatCode="_(* #,##0.0000_);_(* \(#,##0.0000\);_(* &quot;-&quot;??_);_(@_)">
                  <c:v>25.024038461538478</c:v>
                </c:pt>
                <c:pt idx="64" formatCode="_(* #,##0.0000_);_(* \(#,##0.0000\);_(* &quot;-&quot;??_);_(@_)">
                  <c:v>29.965659340659411</c:v>
                </c:pt>
                <c:pt idx="65" formatCode="_(* #,##0.0000_);_(* \(#,##0.0000\);_(* &quot;-&quot;??_);_(@_)">
                  <c:v>24.065934065934048</c:v>
                </c:pt>
                <c:pt idx="66" formatCode="_(* #,##0.0000_);_(* \(#,##0.0000\);_(* &quot;-&quot;??_);_(@_)">
                  <c:v>32.916892992938635</c:v>
                </c:pt>
                <c:pt idx="67" formatCode="_(* #,##0.0000_);_(* \(#,##0.0000\);_(* &quot;-&quot;??_);_(@_)">
                  <c:v>36.026615969581684</c:v>
                </c:pt>
                <c:pt idx="68" formatCode="_(* #,##0.0000_);_(* \(#,##0.0000\);_(* &quot;-&quot;??_);_(@_)">
                  <c:v>39.533541553503504</c:v>
                </c:pt>
                <c:pt idx="69" formatCode="_(* #,##0.0000_);_(* \(#,##0.0000\);_(* &quot;-&quot;??_);_(@_)">
                  <c:v>55.608365019011472</c:v>
                </c:pt>
                <c:pt idx="70" formatCode="_(* #,##0.0000_);_(* \(#,##0.0000\);_(* &quot;-&quot;??_);_(@_)">
                  <c:v>37.241988049972804</c:v>
                </c:pt>
                <c:pt idx="71" formatCode="_(* #,##0.0000_);_(* \(#,##0.0000\);_(* &quot;-&quot;??_);_(@_)">
                  <c:v>35.198261814231365</c:v>
                </c:pt>
                <c:pt idx="72" formatCode="_(* #,##0.0000_);_(* \(#,##0.0000\);_(* &quot;-&quot;??_);_(@_)">
                  <c:v>51.428571428571409</c:v>
                </c:pt>
              </c:numCache>
            </c:numRef>
          </c:yVal>
          <c:smooth val="0"/>
        </c:ser>
        <c:dLbls>
          <c:showLegendKey val="0"/>
          <c:showVal val="0"/>
          <c:showCatName val="0"/>
          <c:showSerName val="0"/>
          <c:showPercent val="0"/>
          <c:showBubbleSize val="0"/>
        </c:dLbls>
        <c:axId val="299071808"/>
        <c:axId val="299024208"/>
      </c:scatterChart>
      <c:valAx>
        <c:axId val="29907180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24208"/>
        <c:crosses val="autoZero"/>
        <c:crossBetween val="midCat"/>
        <c:majorUnit val="5"/>
      </c:valAx>
      <c:valAx>
        <c:axId val="29902420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7180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Constantinople,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(All)'!$AP$7:$AP$107</c:f>
              <c:numCache>
                <c:formatCode>0.0000</c:formatCode>
                <c:ptCount val="101"/>
                <c:pt idx="6">
                  <c:v>39.433092993825618</c:v>
                </c:pt>
                <c:pt idx="22">
                  <c:v>43.285714285714256</c:v>
                </c:pt>
                <c:pt idx="32">
                  <c:v>59.142857142857132</c:v>
                </c:pt>
                <c:pt idx="49">
                  <c:v>85.196111759747993</c:v>
                </c:pt>
                <c:pt idx="50">
                  <c:v>88.019877485057776</c:v>
                </c:pt>
                <c:pt idx="71">
                  <c:v>13.660714285714285</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(All)'!$AP$7:$AP$107</c:f>
              <c:numCache>
                <c:formatCode>0.0000</c:formatCode>
                <c:ptCount val="101"/>
                <c:pt idx="6">
                  <c:v>39.433092993825618</c:v>
                </c:pt>
                <c:pt idx="22">
                  <c:v>43.285714285714256</c:v>
                </c:pt>
                <c:pt idx="32">
                  <c:v>59.142857142857132</c:v>
                </c:pt>
                <c:pt idx="49">
                  <c:v>85.196111759747993</c:v>
                </c:pt>
                <c:pt idx="50">
                  <c:v>88.019877485057776</c:v>
                </c:pt>
                <c:pt idx="71">
                  <c:v>13.660714285714285</c:v>
                </c:pt>
              </c:numCache>
            </c:numRef>
          </c:yVal>
          <c:smooth val="0"/>
        </c:ser>
        <c:dLbls>
          <c:showLegendKey val="0"/>
          <c:showVal val="0"/>
          <c:showCatName val="0"/>
          <c:showSerName val="0"/>
          <c:showPercent val="0"/>
          <c:showBubbleSize val="0"/>
        </c:dLbls>
        <c:axId val="698886144"/>
        <c:axId val="698886704"/>
      </c:scatterChart>
      <c:valAx>
        <c:axId val="69888614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86704"/>
        <c:crosses val="autoZero"/>
        <c:crossBetween val="midCat"/>
        <c:majorUnit val="5"/>
      </c:valAx>
      <c:valAx>
        <c:axId val="6988867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8614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Constantinople,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(All)'!$AQ$7:$AQ$107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(All)'!$AQ$7:$AQ$107</c:f>
              <c:numCache>
                <c:formatCode>0.0000</c:formatCode>
                <c:ptCount val="101"/>
              </c:numCache>
            </c:numRef>
          </c:yVal>
          <c:smooth val="0"/>
        </c:ser>
        <c:dLbls>
          <c:showLegendKey val="0"/>
          <c:showVal val="0"/>
          <c:showCatName val="0"/>
          <c:showSerName val="0"/>
          <c:showPercent val="0"/>
          <c:showBubbleSize val="0"/>
        </c:dLbls>
        <c:axId val="698889504"/>
        <c:axId val="698890064"/>
      </c:scatterChart>
      <c:valAx>
        <c:axId val="6988895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90064"/>
        <c:crosses val="autoZero"/>
        <c:crossBetween val="midCat"/>
        <c:majorUnit val="5"/>
      </c:valAx>
      <c:valAx>
        <c:axId val="698890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895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Trebizond (Anatolia),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(All)'!$AR$7:$AR$107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(All)'!$AR$7:$AR$107</c:f>
              <c:numCache>
                <c:formatCode>0.0000</c:formatCode>
                <c:ptCount val="101"/>
              </c:numCache>
            </c:numRef>
          </c:yVal>
          <c:smooth val="0"/>
        </c:ser>
        <c:dLbls>
          <c:showLegendKey val="0"/>
          <c:showVal val="0"/>
          <c:showCatName val="0"/>
          <c:showSerName val="0"/>
          <c:showPercent val="0"/>
          <c:showBubbleSize val="0"/>
        </c:dLbls>
        <c:axId val="698892864"/>
        <c:axId val="698893424"/>
      </c:scatterChart>
      <c:valAx>
        <c:axId val="6988928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93424"/>
        <c:crosses val="autoZero"/>
        <c:crossBetween val="midCat"/>
        <c:majorUnit val="5"/>
      </c:valAx>
      <c:valAx>
        <c:axId val="6988934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928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Trebizond (Anatolia),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(All)'!$AS$7:$AS$107</c:f>
              <c:numCache>
                <c:formatCode>0.0000</c:formatCode>
                <c:ptCount val="101"/>
                <c:pt idx="29">
                  <c:v>60</c:v>
                </c:pt>
                <c:pt idx="30">
                  <c:v>60</c:v>
                </c:pt>
                <c:pt idx="31">
                  <c:v>60</c:v>
                </c:pt>
                <c:pt idx="32">
                  <c:v>60</c:v>
                </c:pt>
                <c:pt idx="33">
                  <c:v>60</c:v>
                </c:pt>
                <c:pt idx="35">
                  <c:v>48</c:v>
                </c:pt>
                <c:pt idx="44">
                  <c:v>45</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(All)'!$AT$7:$AT$107</c:f>
              <c:numCache>
                <c:formatCode>0.0000</c:formatCode>
                <c:ptCount val="101"/>
              </c:numCache>
            </c:numRef>
          </c:yVal>
          <c:smooth val="0"/>
        </c:ser>
        <c:dLbls>
          <c:showLegendKey val="0"/>
          <c:showVal val="0"/>
          <c:showCatName val="0"/>
          <c:showSerName val="0"/>
          <c:showPercent val="0"/>
          <c:showBubbleSize val="0"/>
        </c:dLbls>
        <c:axId val="698896224"/>
        <c:axId val="698896784"/>
      </c:scatterChart>
      <c:valAx>
        <c:axId val="69889622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896784"/>
        <c:crosses val="autoZero"/>
        <c:crossBetween val="midCat"/>
        <c:majorUnit val="5"/>
      </c:valAx>
      <c:valAx>
        <c:axId val="698896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9622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Trebizond (Anatolia),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(All)'!$AT$7:$AT$107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(All)'!$AT$7:$AT$107</c:f>
              <c:numCache>
                <c:formatCode>0.0000</c:formatCode>
                <c:ptCount val="101"/>
              </c:numCache>
            </c:numRef>
          </c:yVal>
          <c:smooth val="0"/>
        </c:ser>
        <c:dLbls>
          <c:showLegendKey val="0"/>
          <c:showVal val="0"/>
          <c:showCatName val="0"/>
          <c:showSerName val="0"/>
          <c:showPercent val="0"/>
          <c:showBubbleSize val="0"/>
        </c:dLbls>
        <c:axId val="698899584"/>
        <c:axId val="698900144"/>
      </c:scatterChart>
      <c:valAx>
        <c:axId val="69889958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00144"/>
        <c:crosses val="autoZero"/>
        <c:crossBetween val="midCat"/>
        <c:majorUnit val="5"/>
      </c:valAx>
      <c:valAx>
        <c:axId val="698900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89958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Trebizond (Persia), Imports,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(All)'!$AU$7:$AU$107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(All)'!$AU$7:$AU$107</c:f>
              <c:numCache>
                <c:formatCode>0.0000</c:formatCode>
                <c:ptCount val="101"/>
              </c:numCache>
            </c:numRef>
          </c:yVal>
          <c:smooth val="0"/>
        </c:ser>
        <c:dLbls>
          <c:showLegendKey val="0"/>
          <c:showVal val="0"/>
          <c:showCatName val="0"/>
          <c:showSerName val="0"/>
          <c:showPercent val="0"/>
          <c:showBubbleSize val="0"/>
        </c:dLbls>
        <c:axId val="698902944"/>
        <c:axId val="698903504"/>
      </c:scatterChart>
      <c:valAx>
        <c:axId val="69890294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03504"/>
        <c:crosses val="autoZero"/>
        <c:crossBetween val="midCat"/>
        <c:majorUnit val="5"/>
      </c:valAx>
      <c:valAx>
        <c:axId val="6989035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0294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Trebizond (Persia),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(All)'!$AV$7:$AV$107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(All)'!$AV$7:$AV$107</c:f>
              <c:numCache>
                <c:formatCode>0.0000</c:formatCode>
                <c:ptCount val="101"/>
              </c:numCache>
            </c:numRef>
          </c:yVal>
          <c:smooth val="0"/>
        </c:ser>
        <c:dLbls>
          <c:showLegendKey val="0"/>
          <c:showVal val="0"/>
          <c:showCatName val="0"/>
          <c:showSerName val="0"/>
          <c:showPercent val="0"/>
          <c:showBubbleSize val="0"/>
        </c:dLbls>
        <c:axId val="698906304"/>
        <c:axId val="698906864"/>
      </c:scatterChart>
      <c:valAx>
        <c:axId val="6989063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06864"/>
        <c:crosses val="autoZero"/>
        <c:crossBetween val="midCat"/>
        <c:majorUnit val="5"/>
      </c:valAx>
      <c:valAx>
        <c:axId val="6989068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063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Trebizond (Persia),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(All)'!$AW$7:$AW$107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(All)'!$AW$7:$AW$107</c:f>
              <c:numCache>
                <c:formatCode>0.0000</c:formatCode>
                <c:ptCount val="101"/>
              </c:numCache>
            </c:numRef>
          </c:yVal>
          <c:smooth val="0"/>
        </c:ser>
        <c:dLbls>
          <c:showLegendKey val="0"/>
          <c:showVal val="0"/>
          <c:showCatName val="0"/>
          <c:showSerName val="0"/>
          <c:showPercent val="0"/>
          <c:showBubbleSize val="0"/>
        </c:dLbls>
        <c:axId val="698909664"/>
        <c:axId val="698910224"/>
      </c:scatterChart>
      <c:valAx>
        <c:axId val="6989096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10224"/>
        <c:crosses val="autoZero"/>
        <c:crossBetween val="midCat"/>
        <c:majorUnit val="5"/>
      </c:valAx>
      <c:valAx>
        <c:axId val="698910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096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Izmir,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(All)'!$AX$7:$AX$107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(All)'!$AX$7:$AX$107</c:f>
              <c:numCache>
                <c:formatCode>0.0000</c:formatCode>
                <c:ptCount val="101"/>
              </c:numCache>
            </c:numRef>
          </c:yVal>
          <c:smooth val="0"/>
        </c:ser>
        <c:dLbls>
          <c:showLegendKey val="0"/>
          <c:showVal val="0"/>
          <c:showCatName val="0"/>
          <c:showSerName val="0"/>
          <c:showPercent val="0"/>
          <c:showBubbleSize val="0"/>
        </c:dLbls>
        <c:axId val="698913024"/>
        <c:axId val="698913584"/>
      </c:scatterChart>
      <c:valAx>
        <c:axId val="69891302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13584"/>
        <c:crosses val="autoZero"/>
        <c:crossBetween val="midCat"/>
        <c:majorUnit val="5"/>
      </c:valAx>
      <c:valAx>
        <c:axId val="698913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1302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Alexandretta,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(All)'!$BB$7:$BB$107</c:f>
              <c:numCache>
                <c:formatCode>0.0000</c:formatCode>
                <c:ptCount val="101"/>
                <c:pt idx="38">
                  <c:v>64.816864855354282</c:v>
                </c:pt>
                <c:pt idx="39">
                  <c:v>64.285714285714207</c:v>
                </c:pt>
                <c:pt idx="40">
                  <c:v>58.731167180976549</c:v>
                </c:pt>
                <c:pt idx="41">
                  <c:v>51.42857142857136</c:v>
                </c:pt>
                <c:pt idx="42">
                  <c:v>51.42857142857136</c:v>
                </c:pt>
                <c:pt idx="43">
                  <c:v>51.430959811476967</c:v>
                </c:pt>
                <c:pt idx="45">
                  <c:v>48.821043389941345</c:v>
                </c:pt>
                <c:pt idx="46">
                  <c:v>48.9197641340592</c:v>
                </c:pt>
                <c:pt idx="47">
                  <c:v>50.808964091965841</c:v>
                </c:pt>
                <c:pt idx="48">
                  <c:v>46.215744836076766</c:v>
                </c:pt>
                <c:pt idx="49">
                  <c:v>44.325220600957302</c:v>
                </c:pt>
                <c:pt idx="50">
                  <c:v>36.886106198919784</c:v>
                </c:pt>
                <c:pt idx="51">
                  <c:v>37.261709361627233</c:v>
                </c:pt>
                <c:pt idx="52">
                  <c:v>32.726697595951045</c:v>
                </c:pt>
                <c:pt idx="53">
                  <c:v>27.811493018259938</c:v>
                </c:pt>
                <c:pt idx="54">
                  <c:v>31.58718330849473</c:v>
                </c:pt>
                <c:pt idx="55">
                  <c:v>31.922474472092759</c:v>
                </c:pt>
                <c:pt idx="56">
                  <c:v>35.664391878599567</c:v>
                </c:pt>
                <c:pt idx="57">
                  <c:v>30.997105660355977</c:v>
                </c:pt>
                <c:pt idx="58">
                  <c:v>31.422996752144979</c:v>
                </c:pt>
                <c:pt idx="59">
                  <c:v>28.909653096096964</c:v>
                </c:pt>
                <c:pt idx="60">
                  <c:v>30.976555455365141</c:v>
                </c:pt>
                <c:pt idx="61">
                  <c:v>31.827580314422395</c:v>
                </c:pt>
                <c:pt idx="62">
                  <c:v>29.398170208710532</c:v>
                </c:pt>
                <c:pt idx="63">
                  <c:v>28.813684834123197</c:v>
                </c:pt>
                <c:pt idx="64">
                  <c:v>29.455160320641273</c:v>
                </c:pt>
                <c:pt idx="65">
                  <c:v>32.281322474023455</c:v>
                </c:pt>
                <c:pt idx="66">
                  <c:v>31.624464032682493</c:v>
                </c:pt>
                <c:pt idx="67">
                  <c:v>36.48818125516101</c:v>
                </c:pt>
                <c:pt idx="68">
                  <c:v>37.425654242664493</c:v>
                </c:pt>
                <c:pt idx="69">
                  <c:v>38.657950394154938</c:v>
                </c:pt>
                <c:pt idx="70">
                  <c:v>41.781035558328107</c:v>
                </c:pt>
                <c:pt idx="71">
                  <c:v>45.565314063368525</c:v>
                </c:pt>
                <c:pt idx="72">
                  <c:v>37.635048231511242</c:v>
                </c:pt>
                <c:pt idx="73">
                  <c:v>39.455036994877645</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(All)'!$BB$7:$BB$107</c:f>
              <c:numCache>
                <c:formatCode>0.0000</c:formatCode>
                <c:ptCount val="101"/>
                <c:pt idx="38">
                  <c:v>64.816864855354282</c:v>
                </c:pt>
                <c:pt idx="39">
                  <c:v>64.285714285714207</c:v>
                </c:pt>
                <c:pt idx="40">
                  <c:v>58.731167180976549</c:v>
                </c:pt>
                <c:pt idx="41">
                  <c:v>51.42857142857136</c:v>
                </c:pt>
                <c:pt idx="42">
                  <c:v>51.42857142857136</c:v>
                </c:pt>
                <c:pt idx="43">
                  <c:v>51.430959811476967</c:v>
                </c:pt>
                <c:pt idx="45">
                  <c:v>48.821043389941345</c:v>
                </c:pt>
                <c:pt idx="46">
                  <c:v>48.9197641340592</c:v>
                </c:pt>
                <c:pt idx="47">
                  <c:v>50.808964091965841</c:v>
                </c:pt>
                <c:pt idx="48">
                  <c:v>46.215744836076766</c:v>
                </c:pt>
                <c:pt idx="49">
                  <c:v>44.325220600957302</c:v>
                </c:pt>
                <c:pt idx="50">
                  <c:v>36.886106198919784</c:v>
                </c:pt>
                <c:pt idx="51">
                  <c:v>37.261709361627233</c:v>
                </c:pt>
                <c:pt idx="52">
                  <c:v>32.726697595951045</c:v>
                </c:pt>
                <c:pt idx="53">
                  <c:v>27.811493018259938</c:v>
                </c:pt>
                <c:pt idx="54">
                  <c:v>31.58718330849473</c:v>
                </c:pt>
                <c:pt idx="55">
                  <c:v>31.922474472092759</c:v>
                </c:pt>
                <c:pt idx="56">
                  <c:v>35.664391878599567</c:v>
                </c:pt>
                <c:pt idx="57">
                  <c:v>30.997105660355977</c:v>
                </c:pt>
                <c:pt idx="58">
                  <c:v>31.422996752144979</c:v>
                </c:pt>
                <c:pt idx="59">
                  <c:v>28.909653096096964</c:v>
                </c:pt>
                <c:pt idx="60">
                  <c:v>30.976555455365141</c:v>
                </c:pt>
                <c:pt idx="61">
                  <c:v>31.827580314422395</c:v>
                </c:pt>
                <c:pt idx="62">
                  <c:v>29.398170208710532</c:v>
                </c:pt>
                <c:pt idx="63">
                  <c:v>28.813684834123197</c:v>
                </c:pt>
                <c:pt idx="64">
                  <c:v>29.455160320641273</c:v>
                </c:pt>
                <c:pt idx="65">
                  <c:v>32.281322474023455</c:v>
                </c:pt>
                <c:pt idx="66">
                  <c:v>31.624464032682493</c:v>
                </c:pt>
                <c:pt idx="67">
                  <c:v>36.48818125516101</c:v>
                </c:pt>
                <c:pt idx="68">
                  <c:v>37.425654242664493</c:v>
                </c:pt>
                <c:pt idx="69">
                  <c:v>38.657950394154938</c:v>
                </c:pt>
                <c:pt idx="70">
                  <c:v>41.781035558328107</c:v>
                </c:pt>
                <c:pt idx="71">
                  <c:v>45.565314063368525</c:v>
                </c:pt>
                <c:pt idx="72">
                  <c:v>37.635048231511242</c:v>
                </c:pt>
                <c:pt idx="73">
                  <c:v>39.455036994877645</c:v>
                </c:pt>
              </c:numCache>
            </c:numRef>
          </c:yVal>
          <c:smooth val="0"/>
        </c:ser>
        <c:dLbls>
          <c:showLegendKey val="0"/>
          <c:showVal val="0"/>
          <c:showCatName val="0"/>
          <c:showSerName val="0"/>
          <c:showPercent val="0"/>
          <c:showBubbleSize val="0"/>
        </c:dLbls>
        <c:axId val="698916384"/>
        <c:axId val="698916944"/>
      </c:scatterChart>
      <c:valAx>
        <c:axId val="69891638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16944"/>
        <c:crosses val="autoZero"/>
        <c:crossBetween val="midCat"/>
        <c:majorUnit val="5"/>
      </c:valAx>
      <c:valAx>
        <c:axId val="6989169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1638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Basrah,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(All)'!$J$7:$J$107</c:f>
              <c:numCache>
                <c:formatCode>0.0000</c:formatCode>
                <c:ptCount val="101"/>
                <c:pt idx="48">
                  <c:v>37.914554125459873</c:v>
                </c:pt>
                <c:pt idx="49">
                  <c:v>32.775100350369122</c:v>
                </c:pt>
                <c:pt idx="50">
                  <c:v>33.637103877877919</c:v>
                </c:pt>
                <c:pt idx="51">
                  <c:v>34.25294873005776</c:v>
                </c:pt>
                <c:pt idx="52">
                  <c:v>36.267746639566603</c:v>
                </c:pt>
                <c:pt idx="53">
                  <c:v>18.367851018290974</c:v>
                </c:pt>
                <c:pt idx="54">
                  <c:v>18.947375941548671</c:v>
                </c:pt>
                <c:pt idx="55">
                  <c:v>19.836726560116272</c:v>
                </c:pt>
                <c:pt idx="56">
                  <c:v>24.107116341796704</c:v>
                </c:pt>
                <c:pt idx="57">
                  <c:v>7.0647338950232834</c:v>
                </c:pt>
                <c:pt idx="58">
                  <c:v>32.142857142857181</c:v>
                </c:pt>
                <c:pt idx="59">
                  <c:v>32.143331233288365</c:v>
                </c:pt>
                <c:pt idx="60">
                  <c:v>32.142857142857181</c:v>
                </c:pt>
                <c:pt idx="61">
                  <c:v>33.750599208157588</c:v>
                </c:pt>
                <c:pt idx="62">
                  <c:v>33.748119230612829</c:v>
                </c:pt>
                <c:pt idx="63">
                  <c:v>32.143127026375439</c:v>
                </c:pt>
                <c:pt idx="64">
                  <c:v>19.905998211342144</c:v>
                </c:pt>
                <c:pt idx="65">
                  <c:v>29.387832272930304</c:v>
                </c:pt>
                <c:pt idx="66">
                  <c:v>24.489719393972688</c:v>
                </c:pt>
                <c:pt idx="67">
                  <c:v>36.734693877551088</c:v>
                </c:pt>
                <c:pt idx="68">
                  <c:v>44.081596084935171</c:v>
                </c:pt>
                <c:pt idx="69">
                  <c:v>47.755102040816254</c:v>
                </c:pt>
                <c:pt idx="70">
                  <c:v>44.081500883587488</c:v>
                </c:pt>
                <c:pt idx="71">
                  <c:v>44.081632653061249</c:v>
                </c:pt>
                <c:pt idx="72">
                  <c:v>47.755259224846988</c:v>
                </c:pt>
                <c:pt idx="73">
                  <c:v>55.095160113944502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(All)'!$J$7:$J$107</c:f>
              <c:numCache>
                <c:formatCode>0.0000</c:formatCode>
                <c:ptCount val="101"/>
                <c:pt idx="48">
                  <c:v>37.914554125459873</c:v>
                </c:pt>
                <c:pt idx="49">
                  <c:v>32.775100350369122</c:v>
                </c:pt>
                <c:pt idx="50">
                  <c:v>33.637103877877919</c:v>
                </c:pt>
                <c:pt idx="51">
                  <c:v>34.25294873005776</c:v>
                </c:pt>
                <c:pt idx="52">
                  <c:v>36.267746639566603</c:v>
                </c:pt>
                <c:pt idx="53">
                  <c:v>18.367851018290974</c:v>
                </c:pt>
                <c:pt idx="54">
                  <c:v>18.947375941548671</c:v>
                </c:pt>
                <c:pt idx="55">
                  <c:v>19.836726560116272</c:v>
                </c:pt>
                <c:pt idx="56">
                  <c:v>24.107116341796704</c:v>
                </c:pt>
                <c:pt idx="57">
                  <c:v>7.0647338950232834</c:v>
                </c:pt>
                <c:pt idx="58">
                  <c:v>32.142857142857181</c:v>
                </c:pt>
                <c:pt idx="59">
                  <c:v>32.143331233288365</c:v>
                </c:pt>
                <c:pt idx="60">
                  <c:v>32.142857142857181</c:v>
                </c:pt>
                <c:pt idx="61">
                  <c:v>33.750599208157588</c:v>
                </c:pt>
                <c:pt idx="62">
                  <c:v>33.748119230612829</c:v>
                </c:pt>
                <c:pt idx="63">
                  <c:v>32.143127026375439</c:v>
                </c:pt>
                <c:pt idx="64">
                  <c:v>19.905998211342144</c:v>
                </c:pt>
                <c:pt idx="65">
                  <c:v>29.387832272930304</c:v>
                </c:pt>
                <c:pt idx="66">
                  <c:v>24.489719393972688</c:v>
                </c:pt>
                <c:pt idx="67">
                  <c:v>36.734693877551088</c:v>
                </c:pt>
                <c:pt idx="68">
                  <c:v>44.081596084935171</c:v>
                </c:pt>
                <c:pt idx="69">
                  <c:v>47.755102040816254</c:v>
                </c:pt>
                <c:pt idx="70">
                  <c:v>44.081500883587488</c:v>
                </c:pt>
                <c:pt idx="71">
                  <c:v>44.081632653061249</c:v>
                </c:pt>
                <c:pt idx="72">
                  <c:v>47.755259224846988</c:v>
                </c:pt>
                <c:pt idx="73">
                  <c:v>55.095160113944502</c:v>
                </c:pt>
              </c:numCache>
            </c:numRef>
          </c:yVal>
          <c:smooth val="0"/>
        </c:ser>
        <c:dLbls>
          <c:showLegendKey val="0"/>
          <c:showVal val="0"/>
          <c:showCatName val="0"/>
          <c:showSerName val="0"/>
          <c:showPercent val="0"/>
          <c:showBubbleSize val="0"/>
        </c:dLbls>
        <c:axId val="299032608"/>
        <c:axId val="299026448"/>
      </c:scatterChart>
      <c:valAx>
        <c:axId val="29903260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26448"/>
        <c:crosses val="autoZero"/>
        <c:crossBetween val="midCat"/>
        <c:majorUnit val="5"/>
      </c:valAx>
      <c:valAx>
        <c:axId val="2990264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3260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Ispahan,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(All)'!$BF$7:$BF$107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(All)'!$BF$7:$BF$107</c:f>
              <c:numCache>
                <c:formatCode>0.0000</c:formatCode>
                <c:ptCount val="101"/>
              </c:numCache>
            </c:numRef>
          </c:yVal>
          <c:smooth val="0"/>
        </c:ser>
        <c:dLbls>
          <c:showLegendKey val="0"/>
          <c:showVal val="0"/>
          <c:showCatName val="0"/>
          <c:showSerName val="0"/>
          <c:showPercent val="0"/>
          <c:showBubbleSize val="0"/>
        </c:dLbls>
        <c:axId val="698919744"/>
        <c:axId val="698920304"/>
      </c:scatterChart>
      <c:valAx>
        <c:axId val="69891974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20304"/>
        <c:crosses val="autoZero"/>
        <c:crossBetween val="midCat"/>
        <c:majorUnit val="5"/>
      </c:valAx>
      <c:valAx>
        <c:axId val="698920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1974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Izmir,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(All)'!$AY$7:$AY$107</c:f>
              <c:numCache>
                <c:formatCode>0.0000</c:formatCode>
                <c:ptCount val="101"/>
                <c:pt idx="49" formatCode="_(* #,##0.0000_);_(* \(#,##0.0000\);_(* &quot;-&quot;??_);_(@_)">
                  <c:v>58.831988913438529</c:v>
                </c:pt>
                <c:pt idx="50" formatCode="_(* #,##0.0000_);_(* \(#,##0.0000\);_(* &quot;-&quot;??_);_(@_)">
                  <c:v>72.949870247768914</c:v>
                </c:pt>
                <c:pt idx="51" formatCode="_(* #,##0.0000_);_(* \(#,##0.0000\);_(* &quot;-&quot;??_);_(@_)">
                  <c:v>58.831988913438529</c:v>
                </c:pt>
                <c:pt idx="52" formatCode="_(* #,##0.0000_);_(* \(#,##0.0000\);_(* &quot;-&quot;??_);_(@_)">
                  <c:v>58.831988913438529</c:v>
                </c:pt>
                <c:pt idx="54" formatCode="_(* #,##0.0000_);_(* \(#,##0.0000\);_(* &quot;-&quot;??_);_(@_)">
                  <c:v>58.831988913438529</c:v>
                </c:pt>
                <c:pt idx="61" formatCode="_(* #,##0.0000_);_(* \(#,##0.0000\);_(* &quot;-&quot;??_);_(@_)">
                  <c:v>22.678826166700631</c:v>
                </c:pt>
                <c:pt idx="67" formatCode="_(* #,##0.0000_);_(* \(#,##0.0000\);_(* &quot;-&quot;??_);_(@_)">
                  <c:v>7.5348999534667298</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(All)'!$AY$7:$AY$107</c:f>
              <c:numCache>
                <c:formatCode>0.0000</c:formatCode>
                <c:ptCount val="101"/>
                <c:pt idx="49" formatCode="_(* #,##0.0000_);_(* \(#,##0.0000\);_(* &quot;-&quot;??_);_(@_)">
                  <c:v>58.831988913438529</c:v>
                </c:pt>
                <c:pt idx="50" formatCode="_(* #,##0.0000_);_(* \(#,##0.0000\);_(* &quot;-&quot;??_);_(@_)">
                  <c:v>72.949870247768914</c:v>
                </c:pt>
                <c:pt idx="51" formatCode="_(* #,##0.0000_);_(* \(#,##0.0000\);_(* &quot;-&quot;??_);_(@_)">
                  <c:v>58.831988913438529</c:v>
                </c:pt>
                <c:pt idx="52" formatCode="_(* #,##0.0000_);_(* \(#,##0.0000\);_(* &quot;-&quot;??_);_(@_)">
                  <c:v>58.831988913438529</c:v>
                </c:pt>
                <c:pt idx="54" formatCode="_(* #,##0.0000_);_(* \(#,##0.0000\);_(* &quot;-&quot;??_);_(@_)">
                  <c:v>58.831988913438529</c:v>
                </c:pt>
                <c:pt idx="61" formatCode="_(* #,##0.0000_);_(* \(#,##0.0000\);_(* &quot;-&quot;??_);_(@_)">
                  <c:v>22.678826166700631</c:v>
                </c:pt>
                <c:pt idx="67" formatCode="_(* #,##0.0000_);_(* \(#,##0.0000\);_(* &quot;-&quot;??_);_(@_)">
                  <c:v>7.5348999534667298</c:v>
                </c:pt>
              </c:numCache>
            </c:numRef>
          </c:yVal>
          <c:smooth val="0"/>
        </c:ser>
        <c:dLbls>
          <c:showLegendKey val="0"/>
          <c:showVal val="0"/>
          <c:showCatName val="0"/>
          <c:showSerName val="0"/>
          <c:showPercent val="0"/>
          <c:showBubbleSize val="0"/>
        </c:dLbls>
        <c:axId val="698923104"/>
        <c:axId val="698923664"/>
      </c:scatterChart>
      <c:valAx>
        <c:axId val="6989231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23664"/>
        <c:crosses val="autoZero"/>
        <c:crossBetween val="midCat"/>
        <c:majorUnit val="5"/>
      </c:valAx>
      <c:valAx>
        <c:axId val="6989236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231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Ixmir,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(All)'!$AZ$7:$AZ$107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(All)'!$AZ$7:$AZ$107</c:f>
              <c:numCache>
                <c:formatCode>0.0000</c:formatCode>
                <c:ptCount val="101"/>
              </c:numCache>
            </c:numRef>
          </c:yVal>
          <c:smooth val="0"/>
        </c:ser>
        <c:dLbls>
          <c:showLegendKey val="0"/>
          <c:showVal val="0"/>
          <c:showCatName val="0"/>
          <c:showSerName val="0"/>
          <c:showPercent val="0"/>
          <c:showBubbleSize val="0"/>
        </c:dLbls>
        <c:axId val="698926464"/>
        <c:axId val="698927024"/>
      </c:scatterChart>
      <c:valAx>
        <c:axId val="69892646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27024"/>
        <c:crosses val="autoZero"/>
        <c:crossBetween val="midCat"/>
        <c:majorUnit val="5"/>
      </c:valAx>
      <c:valAx>
        <c:axId val="698927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2646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Alexandretta,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(All)'!$BA$7:$BA$107</c:f>
              <c:numCache>
                <c:formatCode>0.0000</c:formatCode>
                <c:ptCount val="101"/>
                <c:pt idx="40" formatCode="_(* #,##0.0000_);_(* \(#,##0.0000\);_(* &quot;-&quot;??_);_(@_)">
                  <c:v>63.080540858318656</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(All)'!$BA$7:$BA$107</c:f>
              <c:numCache>
                <c:formatCode>0.0000</c:formatCode>
                <c:ptCount val="101"/>
                <c:pt idx="40" formatCode="_(* #,##0.0000_);_(* \(#,##0.0000\);_(* &quot;-&quot;??_);_(@_)">
                  <c:v>63.080540858318656</c:v>
                </c:pt>
              </c:numCache>
            </c:numRef>
          </c:yVal>
          <c:smooth val="0"/>
        </c:ser>
        <c:dLbls>
          <c:showLegendKey val="0"/>
          <c:showVal val="0"/>
          <c:showCatName val="0"/>
          <c:showSerName val="0"/>
          <c:showPercent val="0"/>
          <c:showBubbleSize val="0"/>
        </c:dLbls>
        <c:axId val="698929824"/>
        <c:axId val="698930384"/>
      </c:scatterChart>
      <c:valAx>
        <c:axId val="69892982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30384"/>
        <c:crosses val="autoZero"/>
        <c:crossBetween val="midCat"/>
        <c:majorUnit val="5"/>
      </c:valAx>
      <c:valAx>
        <c:axId val="698930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2982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Alexandretta,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(All)'!$BC$7:$BC$107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(All)'!$BC$7:$BC$107</c:f>
              <c:numCache>
                <c:formatCode>0.0000</c:formatCode>
                <c:ptCount val="101"/>
              </c:numCache>
            </c:numRef>
          </c:yVal>
          <c:smooth val="0"/>
        </c:ser>
        <c:dLbls>
          <c:showLegendKey val="0"/>
          <c:showVal val="0"/>
          <c:showCatName val="0"/>
          <c:showSerName val="0"/>
          <c:showPercent val="0"/>
          <c:showBubbleSize val="0"/>
        </c:dLbls>
        <c:axId val="698933184"/>
        <c:axId val="698933744"/>
      </c:scatterChart>
      <c:valAx>
        <c:axId val="69893318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33744"/>
        <c:crosses val="autoZero"/>
        <c:crossBetween val="midCat"/>
        <c:majorUnit val="5"/>
      </c:valAx>
      <c:valAx>
        <c:axId val="6989337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3318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Ispahan,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(All)'!$BE$7:$BE$107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(All)'!$BE$7:$BE$107</c:f>
              <c:numCache>
                <c:formatCode>0.0000</c:formatCode>
                <c:ptCount val="101"/>
              </c:numCache>
            </c:numRef>
          </c:yVal>
          <c:smooth val="0"/>
        </c:ser>
        <c:dLbls>
          <c:showLegendKey val="0"/>
          <c:showVal val="0"/>
          <c:showCatName val="0"/>
          <c:showSerName val="0"/>
          <c:showPercent val="0"/>
          <c:showBubbleSize val="0"/>
        </c:dLbls>
        <c:axId val="698936544"/>
        <c:axId val="698937104"/>
      </c:scatterChart>
      <c:valAx>
        <c:axId val="69893654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37104"/>
        <c:crosses val="autoZero"/>
        <c:crossBetween val="midCat"/>
        <c:majorUnit val="5"/>
      </c:valAx>
      <c:valAx>
        <c:axId val="6989371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3654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Ispahan,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(All)'!$BD$7:$BD$107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(All)'!$BD$7:$BD$107</c:f>
              <c:numCache>
                <c:formatCode>0.0000</c:formatCode>
                <c:ptCount val="101"/>
              </c:numCache>
            </c:numRef>
          </c:yVal>
          <c:smooth val="0"/>
        </c:ser>
        <c:dLbls>
          <c:showLegendKey val="0"/>
          <c:showVal val="0"/>
          <c:showCatName val="0"/>
          <c:showSerName val="0"/>
          <c:showPercent val="0"/>
          <c:showBubbleSize val="0"/>
        </c:dLbls>
        <c:axId val="698939904"/>
        <c:axId val="698940464"/>
      </c:scatterChart>
      <c:valAx>
        <c:axId val="698939904"/>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98940464"/>
        <c:crosses val="autoZero"/>
        <c:crossBetween val="midCat"/>
        <c:majorUnit val="5"/>
      </c:valAx>
      <c:valAx>
        <c:axId val="6989404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98939904"/>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Yezd,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(All)'!$BG$7:$BG$107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(All)'!$BG$7:$BG$107</c:f>
              <c:numCache>
                <c:formatCode>0.0000</c:formatCode>
                <c:ptCount val="101"/>
              </c:numCache>
            </c:numRef>
          </c:yVal>
          <c:smooth val="0"/>
        </c:ser>
        <c:dLbls>
          <c:showLegendKey val="0"/>
          <c:showVal val="0"/>
          <c:showCatName val="0"/>
          <c:showSerName val="0"/>
          <c:showPercent val="0"/>
          <c:showBubbleSize val="0"/>
        </c:dLbls>
        <c:axId val="747706832"/>
        <c:axId val="747701792"/>
      </c:scatterChart>
      <c:valAx>
        <c:axId val="7477068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01792"/>
        <c:crosses val="autoZero"/>
        <c:crossBetween val="midCat"/>
        <c:majorUnit val="5"/>
      </c:valAx>
      <c:valAx>
        <c:axId val="747701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068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Yezd,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(All)'!$BH$7:$BH$107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(All)'!$BH$7:$BH$107</c:f>
              <c:numCache>
                <c:formatCode>0.0000</c:formatCode>
                <c:ptCount val="101"/>
              </c:numCache>
            </c:numRef>
          </c:yVal>
          <c:smooth val="0"/>
        </c:ser>
        <c:dLbls>
          <c:showLegendKey val="0"/>
          <c:showVal val="0"/>
          <c:showCatName val="0"/>
          <c:showSerName val="0"/>
          <c:showPercent val="0"/>
          <c:showBubbleSize val="0"/>
        </c:dLbls>
        <c:axId val="747668192"/>
        <c:axId val="747668752"/>
      </c:scatterChart>
      <c:valAx>
        <c:axId val="74766819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68752"/>
        <c:crosses val="autoZero"/>
        <c:crossBetween val="midCat"/>
        <c:majorUnit val="5"/>
      </c:valAx>
      <c:valAx>
        <c:axId val="7476687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6819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Yezd,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(All)'!$BI$7:$BI$107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(All)'!$BI$7:$BI$107</c:f>
              <c:numCache>
                <c:formatCode>0.0000</c:formatCode>
                <c:ptCount val="101"/>
              </c:numCache>
            </c:numRef>
          </c:yVal>
          <c:smooth val="0"/>
        </c:ser>
        <c:dLbls>
          <c:showLegendKey val="0"/>
          <c:showVal val="0"/>
          <c:showCatName val="0"/>
          <c:showSerName val="0"/>
          <c:showPercent val="0"/>
          <c:showBubbleSize val="0"/>
        </c:dLbls>
        <c:axId val="747671552"/>
        <c:axId val="747672112"/>
      </c:scatterChart>
      <c:valAx>
        <c:axId val="74767155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72112"/>
        <c:crosses val="autoZero"/>
        <c:crossBetween val="midCat"/>
        <c:majorUnit val="5"/>
      </c:valAx>
      <c:valAx>
        <c:axId val="747672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7155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Basrah,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(All)'!$K$7:$K$107</c:f>
              <c:numCache>
                <c:formatCode>0.0000</c:formatCode>
                <c:ptCount val="101"/>
                <c:pt idx="24">
                  <c:v>38.592471358428774</c:v>
                </c:pt>
                <c:pt idx="25">
                  <c:v>41.970540098199599</c:v>
                </c:pt>
                <c:pt idx="26">
                  <c:v>40.065466448445122</c:v>
                </c:pt>
                <c:pt idx="27">
                  <c:v>46.016366612111284</c:v>
                </c:pt>
                <c:pt idx="28">
                  <c:v>36.255319148936159</c:v>
                </c:pt>
                <c:pt idx="71">
                  <c:v>21.729112057667088</c:v>
                </c:pt>
                <c:pt idx="72">
                  <c:v>44.914351282681679</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(All)'!$K$7:$K$107</c:f>
              <c:numCache>
                <c:formatCode>0.0000</c:formatCode>
                <c:ptCount val="101"/>
                <c:pt idx="24">
                  <c:v>38.592471358428774</c:v>
                </c:pt>
                <c:pt idx="25">
                  <c:v>41.970540098199599</c:v>
                </c:pt>
                <c:pt idx="26">
                  <c:v>40.065466448445122</c:v>
                </c:pt>
                <c:pt idx="27">
                  <c:v>46.016366612111284</c:v>
                </c:pt>
                <c:pt idx="28">
                  <c:v>36.255319148936159</c:v>
                </c:pt>
                <c:pt idx="71">
                  <c:v>21.729112057667088</c:v>
                </c:pt>
                <c:pt idx="72">
                  <c:v>44.914351282681679</c:v>
                </c:pt>
              </c:numCache>
            </c:numRef>
          </c:yVal>
          <c:smooth val="0"/>
        </c:ser>
        <c:dLbls>
          <c:showLegendKey val="0"/>
          <c:showVal val="0"/>
          <c:showCatName val="0"/>
          <c:showSerName val="0"/>
          <c:showPercent val="0"/>
          <c:showBubbleSize val="0"/>
        </c:dLbls>
        <c:axId val="299014128"/>
        <c:axId val="299018048"/>
      </c:scatterChart>
      <c:valAx>
        <c:axId val="29901412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18048"/>
        <c:crosses val="autoZero"/>
        <c:crossBetween val="midCat"/>
        <c:majorUnit val="5"/>
      </c:valAx>
      <c:valAx>
        <c:axId val="2990180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1412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Khorasan,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(All)'!$BJ$7:$BJ$107</c:f>
              <c:numCache>
                <c:formatCode>0.0000</c:formatCode>
                <c:ptCount val="101"/>
                <c:pt idx="62">
                  <c:v>130.64224766611505</c:v>
                </c:pt>
                <c:pt idx="63">
                  <c:v>67.823154303878454</c:v>
                </c:pt>
                <c:pt idx="64">
                  <c:v>39.219942308341395</c:v>
                </c:pt>
                <c:pt idx="65">
                  <c:v>50.855782229486636</c:v>
                </c:pt>
                <c:pt idx="66">
                  <c:v>56.969658296908413</c:v>
                </c:pt>
                <c:pt idx="67">
                  <c:v>153.37278106508882</c:v>
                </c:pt>
                <c:pt idx="68">
                  <c:v>266.6666666666664</c:v>
                </c:pt>
                <c:pt idx="69">
                  <c:v>272.34042553191455</c:v>
                </c:pt>
                <c:pt idx="70">
                  <c:v>399.19977136324655</c:v>
                </c:pt>
                <c:pt idx="71">
                  <c:v>66.848505206583738</c:v>
                </c:pt>
                <c:pt idx="72">
                  <c:v>47.556476829568219</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(All)'!$BJ$7:$BJ$107</c:f>
              <c:numCache>
                <c:formatCode>0.0000</c:formatCode>
                <c:ptCount val="101"/>
                <c:pt idx="62">
                  <c:v>130.64224766611505</c:v>
                </c:pt>
                <c:pt idx="63">
                  <c:v>67.823154303878454</c:v>
                </c:pt>
                <c:pt idx="64">
                  <c:v>39.219942308341395</c:v>
                </c:pt>
                <c:pt idx="65">
                  <c:v>50.855782229486636</c:v>
                </c:pt>
                <c:pt idx="66">
                  <c:v>56.969658296908413</c:v>
                </c:pt>
                <c:pt idx="67">
                  <c:v>153.37278106508882</c:v>
                </c:pt>
                <c:pt idx="68">
                  <c:v>266.6666666666664</c:v>
                </c:pt>
                <c:pt idx="69">
                  <c:v>272.34042553191455</c:v>
                </c:pt>
                <c:pt idx="70">
                  <c:v>399.19977136324655</c:v>
                </c:pt>
                <c:pt idx="71">
                  <c:v>66.848505206583738</c:v>
                </c:pt>
                <c:pt idx="72">
                  <c:v>47.556476829568219</c:v>
                </c:pt>
              </c:numCache>
            </c:numRef>
          </c:yVal>
          <c:smooth val="0"/>
        </c:ser>
        <c:dLbls>
          <c:showLegendKey val="0"/>
          <c:showVal val="0"/>
          <c:showCatName val="0"/>
          <c:showSerName val="0"/>
          <c:showPercent val="0"/>
          <c:showBubbleSize val="0"/>
        </c:dLbls>
        <c:axId val="747674912"/>
        <c:axId val="747675472"/>
      </c:scatterChart>
      <c:valAx>
        <c:axId val="7476749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75472"/>
        <c:crosses val="autoZero"/>
        <c:crossBetween val="midCat"/>
        <c:majorUnit val="5"/>
      </c:valAx>
      <c:valAx>
        <c:axId val="7476754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749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Khorasan,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(All)'!$BK$7:$BK$107</c:f>
              <c:numCache>
                <c:formatCode>0.0000</c:formatCode>
                <c:ptCount val="101"/>
                <c:pt idx="62">
                  <c:v>30.209790209790242</c:v>
                </c:pt>
                <c:pt idx="63">
                  <c:v>70.349168290124453</c:v>
                </c:pt>
                <c:pt idx="68">
                  <c:v>22.613384347862688</c:v>
                </c:pt>
                <c:pt idx="69">
                  <c:v>27.382621840807246</c:v>
                </c:pt>
                <c:pt idx="70">
                  <c:v>43.488228801705411</c:v>
                </c:pt>
                <c:pt idx="71">
                  <c:v>5.0954208966412988</c:v>
                </c:pt>
                <c:pt idx="72">
                  <c:v>48.180682739923917</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(All)'!$BK$7:$BK$107</c:f>
              <c:numCache>
                <c:formatCode>0.0000</c:formatCode>
                <c:ptCount val="101"/>
                <c:pt idx="62">
                  <c:v>30.209790209790242</c:v>
                </c:pt>
                <c:pt idx="63">
                  <c:v>70.349168290124453</c:v>
                </c:pt>
                <c:pt idx="68">
                  <c:v>22.613384347862688</c:v>
                </c:pt>
                <c:pt idx="69">
                  <c:v>27.382621840807246</c:v>
                </c:pt>
                <c:pt idx="70">
                  <c:v>43.488228801705411</c:v>
                </c:pt>
                <c:pt idx="71">
                  <c:v>5.0954208966412988</c:v>
                </c:pt>
                <c:pt idx="72">
                  <c:v>48.180682739923917</c:v>
                </c:pt>
              </c:numCache>
            </c:numRef>
          </c:yVal>
          <c:smooth val="0"/>
        </c:ser>
        <c:dLbls>
          <c:showLegendKey val="0"/>
          <c:showVal val="0"/>
          <c:showCatName val="0"/>
          <c:showSerName val="0"/>
          <c:showPercent val="0"/>
          <c:showBubbleSize val="0"/>
        </c:dLbls>
        <c:axId val="747678272"/>
        <c:axId val="747678832"/>
      </c:scatterChart>
      <c:valAx>
        <c:axId val="7476782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78832"/>
        <c:crosses val="autoZero"/>
        <c:crossBetween val="midCat"/>
        <c:majorUnit val="5"/>
      </c:valAx>
      <c:valAx>
        <c:axId val="747678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782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Khorasan,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(All)'!$BL$7:$BL$107</c:f>
              <c:numCache>
                <c:formatCode>0.0000</c:formatCode>
                <c:ptCount val="101"/>
                <c:pt idx="49">
                  <c:v>24.642886449424608</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(All)'!$BL$7:$BL$107</c:f>
              <c:numCache>
                <c:formatCode>0.0000</c:formatCode>
                <c:ptCount val="101"/>
                <c:pt idx="49">
                  <c:v>24.642886449424608</c:v>
                </c:pt>
              </c:numCache>
            </c:numRef>
          </c:yVal>
          <c:smooth val="0"/>
        </c:ser>
        <c:dLbls>
          <c:showLegendKey val="0"/>
          <c:showVal val="0"/>
          <c:showCatName val="0"/>
          <c:showSerName val="0"/>
          <c:showPercent val="0"/>
          <c:showBubbleSize val="0"/>
        </c:dLbls>
        <c:axId val="747681632"/>
        <c:axId val="747682192"/>
      </c:scatterChart>
      <c:valAx>
        <c:axId val="7476816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82192"/>
        <c:crosses val="autoZero"/>
        <c:crossBetween val="midCat"/>
        <c:majorUnit val="5"/>
      </c:valAx>
      <c:valAx>
        <c:axId val="7476821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816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Kermanshah,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(All)'!$BM$7:$BM$107</c:f>
              <c:numCache>
                <c:formatCode>0.0000</c:formatCode>
                <c:ptCount val="101"/>
                <c:pt idx="63">
                  <c:v>39.289940828402401</c:v>
                </c:pt>
                <c:pt idx="64">
                  <c:v>66.993346649614111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(All)'!$BM$7:$BM$107</c:f>
              <c:numCache>
                <c:formatCode>0.0000</c:formatCode>
                <c:ptCount val="101"/>
                <c:pt idx="63">
                  <c:v>39.289940828402401</c:v>
                </c:pt>
                <c:pt idx="64">
                  <c:v>66.993346649614111</c:v>
                </c:pt>
              </c:numCache>
            </c:numRef>
          </c:yVal>
          <c:smooth val="0"/>
        </c:ser>
        <c:dLbls>
          <c:showLegendKey val="0"/>
          <c:showVal val="0"/>
          <c:showCatName val="0"/>
          <c:showSerName val="0"/>
          <c:showPercent val="0"/>
          <c:showBubbleSize val="0"/>
        </c:dLbls>
        <c:axId val="747684992"/>
        <c:axId val="747685552"/>
      </c:scatterChart>
      <c:valAx>
        <c:axId val="74768499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85552"/>
        <c:crosses val="autoZero"/>
        <c:crossBetween val="midCat"/>
        <c:majorUnit val="5"/>
      </c:valAx>
      <c:valAx>
        <c:axId val="7476855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8499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Kermanshah, Exports,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(All)'!$BN$7:$BN$107</c:f>
              <c:numCache>
                <c:formatCode>0.0000</c:formatCode>
                <c:ptCount val="101"/>
                <c:pt idx="68">
                  <c:v>21.790834887346712</c:v>
                </c:pt>
                <c:pt idx="69">
                  <c:v>22.71182971756037</c:v>
                </c:pt>
                <c:pt idx="70">
                  <c:v>19.293370385073427</c:v>
                </c:pt>
                <c:pt idx="71">
                  <c:v>32.977736549165051</c:v>
                </c:pt>
                <c:pt idx="72">
                  <c:v>140.66478076379011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(All)'!$BN$7:$BN$107</c:f>
              <c:numCache>
                <c:formatCode>0.0000</c:formatCode>
                <c:ptCount val="101"/>
                <c:pt idx="68">
                  <c:v>21.790834887346712</c:v>
                </c:pt>
                <c:pt idx="69">
                  <c:v>22.71182971756037</c:v>
                </c:pt>
                <c:pt idx="70">
                  <c:v>19.293370385073427</c:v>
                </c:pt>
                <c:pt idx="71">
                  <c:v>32.977736549165051</c:v>
                </c:pt>
                <c:pt idx="72">
                  <c:v>140.66478076379011</c:v>
                </c:pt>
              </c:numCache>
            </c:numRef>
          </c:yVal>
          <c:smooth val="0"/>
        </c:ser>
        <c:dLbls>
          <c:showLegendKey val="0"/>
          <c:showVal val="0"/>
          <c:showCatName val="0"/>
          <c:showSerName val="0"/>
          <c:showPercent val="0"/>
          <c:showBubbleSize val="0"/>
        </c:dLbls>
        <c:axId val="747688352"/>
        <c:axId val="747688912"/>
      </c:scatterChart>
      <c:valAx>
        <c:axId val="74768835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88912"/>
        <c:crosses val="autoZero"/>
        <c:crossBetween val="midCat"/>
        <c:majorUnit val="5"/>
      </c:valAx>
      <c:valAx>
        <c:axId val="7476889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8835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Kermanshah,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(All)'!$BO$7:$BO$107</c:f>
              <c:numCache>
                <c:formatCode>0.0000</c:formatCode>
                <c:ptCount val="101"/>
                <c:pt idx="62">
                  <c:v>5.4412955465587061</c:v>
                </c:pt>
                <c:pt idx="64">
                  <c:v>25.590251332825581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(All)'!$BO$7:$BO$107</c:f>
              <c:numCache>
                <c:formatCode>0.0000</c:formatCode>
                <c:ptCount val="101"/>
                <c:pt idx="62">
                  <c:v>5.4412955465587061</c:v>
                </c:pt>
                <c:pt idx="64">
                  <c:v>25.590251332825581</c:v>
                </c:pt>
              </c:numCache>
            </c:numRef>
          </c:yVal>
          <c:smooth val="0"/>
        </c:ser>
        <c:dLbls>
          <c:showLegendKey val="0"/>
          <c:showVal val="0"/>
          <c:showCatName val="0"/>
          <c:showSerName val="0"/>
          <c:showPercent val="0"/>
          <c:showBubbleSize val="0"/>
        </c:dLbls>
        <c:axId val="747691712"/>
        <c:axId val="747692272"/>
      </c:scatterChart>
      <c:valAx>
        <c:axId val="7476917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92272"/>
        <c:crosses val="autoZero"/>
        <c:crossBetween val="midCat"/>
        <c:majorUnit val="5"/>
      </c:valAx>
      <c:valAx>
        <c:axId val="7476922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917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Kerman, Imports,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(All)'!$BP$7:$BP$107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(All)'!$BP$7:$BP$107</c:f>
              <c:numCache>
                <c:formatCode>0.0000</c:formatCode>
                <c:ptCount val="101"/>
              </c:numCache>
            </c:numRef>
          </c:yVal>
          <c:smooth val="0"/>
        </c:ser>
        <c:dLbls>
          <c:showLegendKey val="0"/>
          <c:showVal val="0"/>
          <c:showCatName val="0"/>
          <c:showSerName val="0"/>
          <c:showPercent val="0"/>
          <c:showBubbleSize val="0"/>
        </c:dLbls>
        <c:axId val="747695072"/>
        <c:axId val="747695632"/>
      </c:scatterChart>
      <c:valAx>
        <c:axId val="7476950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95632"/>
        <c:crosses val="autoZero"/>
        <c:crossBetween val="midCat"/>
        <c:majorUnit val="5"/>
      </c:valAx>
      <c:valAx>
        <c:axId val="74769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950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Kerman,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(All)'!$BQ$7:$BQ$107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(All)'!$BQ$7:$BQ$107</c:f>
              <c:numCache>
                <c:formatCode>0.0000</c:formatCode>
                <c:ptCount val="101"/>
              </c:numCache>
            </c:numRef>
          </c:yVal>
          <c:smooth val="0"/>
        </c:ser>
        <c:dLbls>
          <c:showLegendKey val="0"/>
          <c:showVal val="0"/>
          <c:showCatName val="0"/>
          <c:showSerName val="0"/>
          <c:showPercent val="0"/>
          <c:showBubbleSize val="0"/>
        </c:dLbls>
        <c:axId val="747698432"/>
        <c:axId val="747698992"/>
      </c:scatterChart>
      <c:valAx>
        <c:axId val="7476984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98992"/>
        <c:crosses val="autoZero"/>
        <c:crossBetween val="midCat"/>
        <c:majorUnit val="5"/>
      </c:valAx>
      <c:valAx>
        <c:axId val="7476989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6984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baseline="0">
                <a:effectLst/>
              </a:rPr>
              <a:t>Kerman, Bazaar (Local), in d/bushel</a:t>
            </a:r>
            <a:endParaRPr lang="en-US">
              <a:effectLst/>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(All)'!$BR$7:$BR$107</c:f>
              <c:numCache>
                <c:formatCode>0.0000</c:formatCode>
                <c:ptCount val="101"/>
                <c:pt idx="70">
                  <c:v>67.467057101024821</c:v>
                </c:pt>
                <c:pt idx="71">
                  <c:v>65.358711566617814</c:v>
                </c:pt>
                <c:pt idx="72">
                  <c:v>63.053324393481219</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(All)'!$BR$7:$BR$107</c:f>
              <c:numCache>
                <c:formatCode>0.0000</c:formatCode>
                <c:ptCount val="101"/>
                <c:pt idx="70">
                  <c:v>67.467057101024821</c:v>
                </c:pt>
                <c:pt idx="71">
                  <c:v>65.358711566617814</c:v>
                </c:pt>
                <c:pt idx="72">
                  <c:v>63.053324393481219</c:v>
                </c:pt>
              </c:numCache>
            </c:numRef>
          </c:yVal>
          <c:smooth val="0"/>
        </c:ser>
        <c:dLbls>
          <c:showLegendKey val="0"/>
          <c:showVal val="0"/>
          <c:showCatName val="0"/>
          <c:showSerName val="0"/>
          <c:showPercent val="0"/>
          <c:showBubbleSize val="0"/>
        </c:dLbls>
        <c:axId val="747791392"/>
        <c:axId val="747789712"/>
      </c:scatterChart>
      <c:valAx>
        <c:axId val="74779139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89712"/>
        <c:crosses val="autoZero"/>
        <c:crossBetween val="midCat"/>
        <c:majorUnit val="5"/>
      </c:valAx>
      <c:valAx>
        <c:axId val="747789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9139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Bam,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(All)'!$BS$7:$BS$107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(All)'!$BS$7:$BS$107</c:f>
              <c:numCache>
                <c:formatCode>0.0000</c:formatCode>
                <c:ptCount val="101"/>
              </c:numCache>
            </c:numRef>
          </c:yVal>
          <c:smooth val="0"/>
        </c:ser>
        <c:dLbls>
          <c:showLegendKey val="0"/>
          <c:showVal val="0"/>
          <c:showCatName val="0"/>
          <c:showSerName val="0"/>
          <c:showPercent val="0"/>
          <c:showBubbleSize val="0"/>
        </c:dLbls>
        <c:axId val="747788032"/>
        <c:axId val="747707392"/>
      </c:scatterChart>
      <c:valAx>
        <c:axId val="7477880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07392"/>
        <c:crosses val="autoZero"/>
        <c:crossBetween val="midCat"/>
        <c:majorUnit val="5"/>
      </c:valAx>
      <c:valAx>
        <c:axId val="7477073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880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Palestine,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(All)'!$S$7:$S$107</c:f>
              <c:numCache>
                <c:formatCode>0.0000</c:formatCode>
                <c:ptCount val="101"/>
                <c:pt idx="37">
                  <c:v>76.502732240437197</c:v>
                </c:pt>
                <c:pt idx="39">
                  <c:v>70.214375788146299</c:v>
                </c:pt>
                <c:pt idx="62">
                  <c:v>75.089465253399752</c:v>
                </c:pt>
                <c:pt idx="67">
                  <c:v>38.571428571428591</c:v>
                </c:pt>
                <c:pt idx="70">
                  <c:v>62.655279503105518</c:v>
                </c:pt>
                <c:pt idx="72">
                  <c:v>66.758241758241752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(All)'!$S$7:$S$107</c:f>
              <c:numCache>
                <c:formatCode>0.0000</c:formatCode>
                <c:ptCount val="101"/>
                <c:pt idx="37">
                  <c:v>76.502732240437197</c:v>
                </c:pt>
                <c:pt idx="39">
                  <c:v>70.214375788146299</c:v>
                </c:pt>
                <c:pt idx="62">
                  <c:v>75.089465253399752</c:v>
                </c:pt>
                <c:pt idx="67">
                  <c:v>38.571428571428591</c:v>
                </c:pt>
                <c:pt idx="70">
                  <c:v>62.655279503105518</c:v>
                </c:pt>
                <c:pt idx="72">
                  <c:v>66.758241758241752</c:v>
                </c:pt>
              </c:numCache>
            </c:numRef>
          </c:yVal>
          <c:smooth val="0"/>
        </c:ser>
        <c:dLbls>
          <c:showLegendKey val="0"/>
          <c:showVal val="0"/>
          <c:showCatName val="0"/>
          <c:showSerName val="0"/>
          <c:showPercent val="0"/>
          <c:showBubbleSize val="0"/>
        </c:dLbls>
        <c:axId val="299072928"/>
        <c:axId val="299074048"/>
      </c:scatterChart>
      <c:valAx>
        <c:axId val="29907292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74048"/>
        <c:crosses val="autoZero"/>
        <c:crossBetween val="midCat"/>
        <c:majorUnit val="5"/>
      </c:valAx>
      <c:valAx>
        <c:axId val="2990740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7292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Bam, Exports, ,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(All)'!$BT$7:$BT$107</c:f>
              <c:numCache>
                <c:formatCode>0.0000</c:formatCode>
                <c:ptCount val="101"/>
                <c:pt idx="70">
                  <c:v>34.568642160540143</c:v>
                </c:pt>
                <c:pt idx="71">
                  <c:v>36.729182295573843</c:v>
                </c:pt>
                <c:pt idx="72">
                  <c:v>51.852963240810141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(All)'!$BT$7:$BT$107</c:f>
              <c:numCache>
                <c:formatCode>0.0000</c:formatCode>
                <c:ptCount val="101"/>
                <c:pt idx="70">
                  <c:v>34.568642160540143</c:v>
                </c:pt>
                <c:pt idx="71">
                  <c:v>36.729182295573843</c:v>
                </c:pt>
                <c:pt idx="72">
                  <c:v>51.852963240810141</c:v>
                </c:pt>
              </c:numCache>
            </c:numRef>
          </c:yVal>
          <c:smooth val="0"/>
        </c:ser>
        <c:dLbls>
          <c:showLegendKey val="0"/>
          <c:showVal val="0"/>
          <c:showCatName val="0"/>
          <c:showSerName val="0"/>
          <c:showPercent val="0"/>
          <c:showBubbleSize val="0"/>
        </c:dLbls>
        <c:axId val="747703472"/>
        <c:axId val="747699552"/>
      </c:scatterChart>
      <c:valAx>
        <c:axId val="7477034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699552"/>
        <c:crosses val="autoZero"/>
        <c:crossBetween val="midCat"/>
        <c:majorUnit val="5"/>
      </c:valAx>
      <c:valAx>
        <c:axId val="7476995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034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Bam,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(All)'!$BU$7:$BU$107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(All)'!$BU$7:$BU$107</c:f>
              <c:numCache>
                <c:formatCode>0.0000</c:formatCode>
                <c:ptCount val="101"/>
              </c:numCache>
            </c:numRef>
          </c:yVal>
          <c:smooth val="0"/>
        </c:ser>
        <c:dLbls>
          <c:showLegendKey val="0"/>
          <c:showVal val="0"/>
          <c:showCatName val="0"/>
          <c:showSerName val="0"/>
          <c:showPercent val="0"/>
          <c:showBubbleSize val="0"/>
        </c:dLbls>
        <c:axId val="747702912"/>
        <c:axId val="747715232"/>
      </c:scatterChart>
      <c:valAx>
        <c:axId val="7477029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15232"/>
        <c:crosses val="autoZero"/>
        <c:crossBetween val="midCat"/>
        <c:majorUnit val="5"/>
      </c:valAx>
      <c:valAx>
        <c:axId val="7477152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029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Resht,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(All)'!$BV$7:$BV$107</c:f>
              <c:numCache>
                <c:formatCode>0.0000</c:formatCode>
                <c:ptCount val="101"/>
                <c:pt idx="53">
                  <c:v>17.367010231434339</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(All)'!$BV$7:$BV$107</c:f>
              <c:numCache>
                <c:formatCode>0.0000</c:formatCode>
                <c:ptCount val="101"/>
                <c:pt idx="53">
                  <c:v>17.367010231434339</c:v>
                </c:pt>
              </c:numCache>
            </c:numRef>
          </c:yVal>
          <c:smooth val="0"/>
        </c:ser>
        <c:dLbls>
          <c:showLegendKey val="0"/>
          <c:showVal val="0"/>
          <c:showCatName val="0"/>
          <c:showSerName val="0"/>
          <c:showPercent val="0"/>
          <c:showBubbleSize val="0"/>
        </c:dLbls>
        <c:axId val="747716912"/>
        <c:axId val="747718592"/>
      </c:scatterChart>
      <c:valAx>
        <c:axId val="7477169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18592"/>
        <c:crosses val="autoZero"/>
        <c:crossBetween val="midCat"/>
        <c:majorUnit val="5"/>
      </c:valAx>
      <c:valAx>
        <c:axId val="7477185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169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Resht,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(All)'!$BW$7:$BW$107</c:f>
              <c:numCache>
                <c:formatCode>0.0000</c:formatCode>
                <c:ptCount val="101"/>
                <c:pt idx="33">
                  <c:v>37.661538461538527</c:v>
                </c:pt>
                <c:pt idx="34">
                  <c:v>37.677841373671342</c:v>
                </c:pt>
                <c:pt idx="35">
                  <c:v>43.482352941176394</c:v>
                </c:pt>
                <c:pt idx="53">
                  <c:v>25.062656641604065</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(All)'!$BW$7:$BW$107</c:f>
              <c:numCache>
                <c:formatCode>0.0000</c:formatCode>
                <c:ptCount val="101"/>
                <c:pt idx="33">
                  <c:v>37.661538461538527</c:v>
                </c:pt>
                <c:pt idx="34">
                  <c:v>37.677841373671342</c:v>
                </c:pt>
                <c:pt idx="35">
                  <c:v>43.482352941176394</c:v>
                </c:pt>
                <c:pt idx="53">
                  <c:v>25.062656641604065</c:v>
                </c:pt>
              </c:numCache>
            </c:numRef>
          </c:yVal>
          <c:smooth val="0"/>
        </c:ser>
        <c:dLbls>
          <c:showLegendKey val="0"/>
          <c:showVal val="0"/>
          <c:showCatName val="0"/>
          <c:showSerName val="0"/>
          <c:showPercent val="0"/>
          <c:showBubbleSize val="0"/>
        </c:dLbls>
        <c:axId val="747720272"/>
        <c:axId val="747721952"/>
      </c:scatterChart>
      <c:valAx>
        <c:axId val="7477202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21952"/>
        <c:crosses val="autoZero"/>
        <c:crossBetween val="midCat"/>
        <c:majorUnit val="5"/>
      </c:valAx>
      <c:valAx>
        <c:axId val="7477219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202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Resht,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(All)'!$BX$7:$BX$107</c:f>
              <c:numCache>
                <c:formatCode>0.0000</c:formatCode>
                <c:ptCount val="101"/>
                <c:pt idx="34">
                  <c:v>36.14117647058827</c:v>
                </c:pt>
                <c:pt idx="52">
                  <c:v>30.58823529411768</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(All)'!$BX$7:$BX$107</c:f>
              <c:numCache>
                <c:formatCode>0.0000</c:formatCode>
                <c:ptCount val="101"/>
                <c:pt idx="34">
                  <c:v>36.14117647058827</c:v>
                </c:pt>
                <c:pt idx="52">
                  <c:v>30.58823529411768</c:v>
                </c:pt>
              </c:numCache>
            </c:numRef>
          </c:yVal>
          <c:smooth val="0"/>
        </c:ser>
        <c:dLbls>
          <c:showLegendKey val="0"/>
          <c:showVal val="0"/>
          <c:showCatName val="0"/>
          <c:showSerName val="0"/>
          <c:showPercent val="0"/>
          <c:showBubbleSize val="0"/>
        </c:dLbls>
        <c:axId val="747723632"/>
        <c:axId val="747725312"/>
      </c:scatterChart>
      <c:valAx>
        <c:axId val="7477236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25312"/>
        <c:crosses val="autoZero"/>
        <c:crossBetween val="midCat"/>
        <c:majorUnit val="5"/>
      </c:valAx>
      <c:valAx>
        <c:axId val="7477253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236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Mazandaran,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(All)'!$BY$7:$BY$107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(All)'!$BY$7:$BY$107</c:f>
              <c:numCache>
                <c:formatCode>0.0000</c:formatCode>
                <c:ptCount val="101"/>
              </c:numCache>
            </c:numRef>
          </c:yVal>
          <c:smooth val="0"/>
        </c:ser>
        <c:dLbls>
          <c:showLegendKey val="0"/>
          <c:showVal val="0"/>
          <c:showCatName val="0"/>
          <c:showSerName val="0"/>
          <c:showPercent val="0"/>
          <c:showBubbleSize val="0"/>
        </c:dLbls>
        <c:axId val="747726992"/>
        <c:axId val="747728672"/>
      </c:scatterChart>
      <c:valAx>
        <c:axId val="74772699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28672"/>
        <c:crosses val="autoZero"/>
        <c:crossBetween val="midCat"/>
        <c:majorUnit val="5"/>
      </c:valAx>
      <c:valAx>
        <c:axId val="7477286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2699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Mazandaran,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(All)'!$BZ$7:$BZ$107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(All)'!$BZ$7:$BZ$107</c:f>
              <c:numCache>
                <c:formatCode>0.0000</c:formatCode>
                <c:ptCount val="101"/>
              </c:numCache>
            </c:numRef>
          </c:yVal>
          <c:smooth val="0"/>
        </c:ser>
        <c:dLbls>
          <c:showLegendKey val="0"/>
          <c:showVal val="0"/>
          <c:showCatName val="0"/>
          <c:showSerName val="0"/>
          <c:showPercent val="0"/>
          <c:showBubbleSize val="0"/>
        </c:dLbls>
        <c:axId val="747730352"/>
        <c:axId val="747732032"/>
      </c:scatterChart>
      <c:valAx>
        <c:axId val="74773035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32032"/>
        <c:crosses val="autoZero"/>
        <c:crossBetween val="midCat"/>
        <c:majorUnit val="5"/>
      </c:valAx>
      <c:valAx>
        <c:axId val="747732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3035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Mazandaran,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(All)'!$CA$7:$CA$107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(All)'!$CA$7:$CA$107</c:f>
              <c:numCache>
                <c:formatCode>0.0000</c:formatCode>
                <c:ptCount val="101"/>
              </c:numCache>
            </c:numRef>
          </c:yVal>
          <c:smooth val="0"/>
        </c:ser>
        <c:dLbls>
          <c:showLegendKey val="0"/>
          <c:showVal val="0"/>
          <c:showCatName val="0"/>
          <c:showSerName val="0"/>
          <c:showPercent val="0"/>
          <c:showBubbleSize val="0"/>
        </c:dLbls>
        <c:axId val="747733712"/>
        <c:axId val="747735392"/>
      </c:scatterChart>
      <c:valAx>
        <c:axId val="7477337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35392"/>
        <c:crosses val="autoZero"/>
        <c:crossBetween val="midCat"/>
        <c:majorUnit val="5"/>
      </c:valAx>
      <c:valAx>
        <c:axId val="7477353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337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Ghilan &amp; Tunekabun,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(All)'!$CB$7:$CB$107</c:f>
              <c:numCache>
                <c:formatCode>0.0000</c:formatCode>
                <c:ptCount val="101"/>
                <c:pt idx="66">
                  <c:v>47.522110982193077</c:v>
                </c:pt>
                <c:pt idx="67">
                  <c:v>49.207412509594995</c:v>
                </c:pt>
                <c:pt idx="68">
                  <c:v>48.768348473650221</c:v>
                </c:pt>
                <c:pt idx="69">
                  <c:v>44.891020317656299</c:v>
                </c:pt>
                <c:pt idx="70">
                  <c:v>44.590135843575361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(All)'!$CB$7:$CB$107</c:f>
              <c:numCache>
                <c:formatCode>0.0000</c:formatCode>
                <c:ptCount val="101"/>
                <c:pt idx="66">
                  <c:v>47.522110982193077</c:v>
                </c:pt>
                <c:pt idx="67">
                  <c:v>49.207412509594995</c:v>
                </c:pt>
                <c:pt idx="68">
                  <c:v>48.768348473650221</c:v>
                </c:pt>
                <c:pt idx="69">
                  <c:v>44.891020317656299</c:v>
                </c:pt>
                <c:pt idx="70">
                  <c:v>44.590135843575361</c:v>
                </c:pt>
              </c:numCache>
            </c:numRef>
          </c:yVal>
          <c:smooth val="0"/>
        </c:ser>
        <c:dLbls>
          <c:showLegendKey val="0"/>
          <c:showVal val="0"/>
          <c:showCatName val="0"/>
          <c:showSerName val="0"/>
          <c:showPercent val="0"/>
          <c:showBubbleSize val="0"/>
        </c:dLbls>
        <c:axId val="747737072"/>
        <c:axId val="747738752"/>
      </c:scatterChart>
      <c:valAx>
        <c:axId val="7477370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38752"/>
        <c:crosses val="autoZero"/>
        <c:crossBetween val="midCat"/>
        <c:majorUnit val="5"/>
      </c:valAx>
      <c:valAx>
        <c:axId val="7477387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370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Ghilan &amp; Tunekabun,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(All)'!$CC$7:$CC$107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(All)'!$CC$7:$CC$107</c:f>
              <c:numCache>
                <c:formatCode>0.0000</c:formatCode>
                <c:ptCount val="101"/>
              </c:numCache>
            </c:numRef>
          </c:yVal>
          <c:smooth val="0"/>
        </c:ser>
        <c:dLbls>
          <c:showLegendKey val="0"/>
          <c:showVal val="0"/>
          <c:showCatName val="0"/>
          <c:showSerName val="0"/>
          <c:showPercent val="0"/>
          <c:showBubbleSize val="0"/>
        </c:dLbls>
        <c:axId val="747740432"/>
        <c:axId val="747742112"/>
      </c:scatterChart>
      <c:valAx>
        <c:axId val="7477404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42112"/>
        <c:crosses val="autoZero"/>
        <c:crossBetween val="midCat"/>
        <c:majorUnit val="5"/>
      </c:valAx>
      <c:valAx>
        <c:axId val="747742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404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Palestine,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(All)'!$T$7:$T$107</c:f>
              <c:numCache>
                <c:formatCode>0.0000</c:formatCode>
                <c:ptCount val="101"/>
                <c:pt idx="16">
                  <c:v>59.937216602720547</c:v>
                </c:pt>
                <c:pt idx="17">
                  <c:v>45.706313219393088</c:v>
                </c:pt>
                <c:pt idx="18">
                  <c:v>32.581952505952849</c:v>
                </c:pt>
                <c:pt idx="19">
                  <c:v>49.381020230589215</c:v>
                </c:pt>
                <c:pt idx="20">
                  <c:v>75.540885403201784</c:v>
                </c:pt>
                <c:pt idx="21">
                  <c:v>59.016293153288352</c:v>
                </c:pt>
                <c:pt idx="22">
                  <c:v>41.867618205257564</c:v>
                </c:pt>
                <c:pt idx="23">
                  <c:v>40.213675047501212</c:v>
                </c:pt>
                <c:pt idx="33">
                  <c:v>56.206088992974237</c:v>
                </c:pt>
                <c:pt idx="34">
                  <c:v>42.611241217798657</c:v>
                </c:pt>
                <c:pt idx="35">
                  <c:v>38.360655737704946</c:v>
                </c:pt>
                <c:pt idx="36">
                  <c:v>37.888132454659292</c:v>
                </c:pt>
                <c:pt idx="37">
                  <c:v>59.016393442622878</c:v>
                </c:pt>
                <c:pt idx="38">
                  <c:v>57.330210772833695</c:v>
                </c:pt>
                <c:pt idx="39">
                  <c:v>67.576023025904149</c:v>
                </c:pt>
                <c:pt idx="40">
                  <c:v>53.099737204354845</c:v>
                </c:pt>
                <c:pt idx="41">
                  <c:v>43.715846994535589</c:v>
                </c:pt>
                <c:pt idx="42">
                  <c:v>35.62841219064768</c:v>
                </c:pt>
                <c:pt idx="43">
                  <c:v>34.843627124795809</c:v>
                </c:pt>
                <c:pt idx="44">
                  <c:v>31.243972999035741</c:v>
                </c:pt>
                <c:pt idx="45">
                  <c:v>58.108448928121057</c:v>
                </c:pt>
                <c:pt idx="46">
                  <c:v>63.556116015132424</c:v>
                </c:pt>
                <c:pt idx="47">
                  <c:v>43.581336696090865</c:v>
                </c:pt>
                <c:pt idx="48">
                  <c:v>45.324590163934459</c:v>
                </c:pt>
                <c:pt idx="49">
                  <c:v>43.565915133211824</c:v>
                </c:pt>
                <c:pt idx="50">
                  <c:v>34.772900223749467</c:v>
                </c:pt>
                <c:pt idx="51">
                  <c:v>44.470751730704933</c:v>
                </c:pt>
                <c:pt idx="55">
                  <c:v>26.014345848102529</c:v>
                </c:pt>
                <c:pt idx="56">
                  <c:v>63.913967656961766</c:v>
                </c:pt>
                <c:pt idx="58">
                  <c:v>50.84489281210589</c:v>
                </c:pt>
                <c:pt idx="66">
                  <c:v>68.571428571428541</c:v>
                </c:pt>
                <c:pt idx="68">
                  <c:v>55.076893310024928</c:v>
                </c:pt>
                <c:pt idx="69">
                  <c:v>80.357142857142819</c:v>
                </c:pt>
                <c:pt idx="71">
                  <c:v>55.498458376156179</c:v>
                </c:pt>
                <c:pt idx="72">
                  <c:v>53.912337662337698</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(All)'!$T$7:$T$107</c:f>
              <c:numCache>
                <c:formatCode>0.0000</c:formatCode>
                <c:ptCount val="101"/>
                <c:pt idx="16">
                  <c:v>59.937216602720547</c:v>
                </c:pt>
                <c:pt idx="17">
                  <c:v>45.706313219393088</c:v>
                </c:pt>
                <c:pt idx="18">
                  <c:v>32.581952505952849</c:v>
                </c:pt>
                <c:pt idx="19">
                  <c:v>49.381020230589215</c:v>
                </c:pt>
                <c:pt idx="20">
                  <c:v>75.540885403201784</c:v>
                </c:pt>
                <c:pt idx="21">
                  <c:v>59.016293153288352</c:v>
                </c:pt>
                <c:pt idx="22">
                  <c:v>41.867618205257564</c:v>
                </c:pt>
                <c:pt idx="23">
                  <c:v>40.213675047501212</c:v>
                </c:pt>
                <c:pt idx="33">
                  <c:v>56.206088992974237</c:v>
                </c:pt>
                <c:pt idx="34">
                  <c:v>42.611241217798657</c:v>
                </c:pt>
                <c:pt idx="35">
                  <c:v>38.360655737704946</c:v>
                </c:pt>
                <c:pt idx="36">
                  <c:v>37.888132454659292</c:v>
                </c:pt>
                <c:pt idx="37">
                  <c:v>59.016393442622878</c:v>
                </c:pt>
                <c:pt idx="38">
                  <c:v>57.330210772833695</c:v>
                </c:pt>
                <c:pt idx="39">
                  <c:v>67.576023025904149</c:v>
                </c:pt>
                <c:pt idx="40">
                  <c:v>53.099737204354845</c:v>
                </c:pt>
                <c:pt idx="41">
                  <c:v>43.715846994535589</c:v>
                </c:pt>
                <c:pt idx="42">
                  <c:v>35.62841219064768</c:v>
                </c:pt>
                <c:pt idx="43">
                  <c:v>34.843627124795809</c:v>
                </c:pt>
                <c:pt idx="44">
                  <c:v>31.243972999035741</c:v>
                </c:pt>
                <c:pt idx="45">
                  <c:v>58.108448928121057</c:v>
                </c:pt>
                <c:pt idx="46">
                  <c:v>63.556116015132424</c:v>
                </c:pt>
                <c:pt idx="47">
                  <c:v>43.581336696090865</c:v>
                </c:pt>
                <c:pt idx="48">
                  <c:v>45.324590163934459</c:v>
                </c:pt>
                <c:pt idx="49">
                  <c:v>43.565915133211824</c:v>
                </c:pt>
                <c:pt idx="50">
                  <c:v>34.772900223749467</c:v>
                </c:pt>
                <c:pt idx="51">
                  <c:v>44.470751730704933</c:v>
                </c:pt>
                <c:pt idx="55">
                  <c:v>26.014345848102529</c:v>
                </c:pt>
                <c:pt idx="56">
                  <c:v>63.913967656961766</c:v>
                </c:pt>
                <c:pt idx="58">
                  <c:v>50.84489281210589</c:v>
                </c:pt>
                <c:pt idx="66">
                  <c:v>68.571428571428541</c:v>
                </c:pt>
                <c:pt idx="68">
                  <c:v>55.076893310024928</c:v>
                </c:pt>
                <c:pt idx="69">
                  <c:v>80.357142857142819</c:v>
                </c:pt>
                <c:pt idx="71">
                  <c:v>55.498458376156179</c:v>
                </c:pt>
                <c:pt idx="72">
                  <c:v>53.912337662337698</c:v>
                </c:pt>
              </c:numCache>
            </c:numRef>
          </c:yVal>
          <c:smooth val="0"/>
        </c:ser>
        <c:dLbls>
          <c:showLegendKey val="0"/>
          <c:showVal val="0"/>
          <c:showCatName val="0"/>
          <c:showSerName val="0"/>
          <c:showPercent val="0"/>
          <c:showBubbleSize val="0"/>
        </c:dLbls>
        <c:axId val="299065088"/>
        <c:axId val="299069568"/>
      </c:scatterChart>
      <c:valAx>
        <c:axId val="29906508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69568"/>
        <c:crosses val="autoZero"/>
        <c:crossBetween val="midCat"/>
        <c:majorUnit val="5"/>
      </c:valAx>
      <c:valAx>
        <c:axId val="2990695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6508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Ghilan &amp; Tunekabun,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(All)'!$CD$7:$CD$107</c:f>
              <c:numCache>
                <c:formatCode>0.0000</c:formatCode>
                <c:ptCount val="101"/>
                <c:pt idx="35">
                  <c:v>27.321428571428594</c:v>
                </c:pt>
                <c:pt idx="36">
                  <c:v>29.99999999999995</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(All)'!$CD$7:$CD$107</c:f>
              <c:numCache>
                <c:formatCode>0.0000</c:formatCode>
                <c:ptCount val="101"/>
                <c:pt idx="35">
                  <c:v>27.321428571428594</c:v>
                </c:pt>
                <c:pt idx="36">
                  <c:v>29.99999999999995</c:v>
                </c:pt>
              </c:numCache>
            </c:numRef>
          </c:yVal>
          <c:smooth val="0"/>
        </c:ser>
        <c:dLbls>
          <c:showLegendKey val="0"/>
          <c:showVal val="0"/>
          <c:showCatName val="0"/>
          <c:showSerName val="0"/>
          <c:showPercent val="0"/>
          <c:showBubbleSize val="0"/>
        </c:dLbls>
        <c:axId val="747743792"/>
        <c:axId val="747745472"/>
      </c:scatterChart>
      <c:valAx>
        <c:axId val="74774379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45472"/>
        <c:crosses val="autoZero"/>
        <c:crossBetween val="midCat"/>
        <c:majorUnit val="5"/>
      </c:valAx>
      <c:valAx>
        <c:axId val="7477454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4379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Bender Gez &amp; Astarabad,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(All)'!$CE$7:$CE$107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(All)'!$CE$7:$CE$107</c:f>
              <c:numCache>
                <c:formatCode>0.0000</c:formatCode>
                <c:ptCount val="101"/>
              </c:numCache>
            </c:numRef>
          </c:yVal>
          <c:smooth val="0"/>
        </c:ser>
        <c:dLbls>
          <c:showLegendKey val="0"/>
          <c:showVal val="0"/>
          <c:showCatName val="0"/>
          <c:showSerName val="0"/>
          <c:showPercent val="0"/>
          <c:showBubbleSize val="0"/>
        </c:dLbls>
        <c:axId val="747747152"/>
        <c:axId val="747748832"/>
      </c:scatterChart>
      <c:valAx>
        <c:axId val="74774715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48832"/>
        <c:crosses val="autoZero"/>
        <c:crossBetween val="midCat"/>
        <c:majorUnit val="5"/>
      </c:valAx>
      <c:valAx>
        <c:axId val="747748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4715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Bender Gez &amp; Astarabad,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(All)'!$CF$7:$CF$107</c:f>
              <c:numCache>
                <c:formatCode>0.0000</c:formatCode>
                <c:ptCount val="101"/>
                <c:pt idx="66">
                  <c:v>22.207546809688321</c:v>
                </c:pt>
                <c:pt idx="67">
                  <c:v>26.899729148633185</c:v>
                </c:pt>
                <c:pt idx="68">
                  <c:v>51.328263573161571</c:v>
                </c:pt>
                <c:pt idx="69">
                  <c:v>21.028206735426529</c:v>
                </c:pt>
                <c:pt idx="70">
                  <c:v>24.799081515499442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(All)'!$CF$7:$CF$107</c:f>
              <c:numCache>
                <c:formatCode>0.0000</c:formatCode>
                <c:ptCount val="101"/>
                <c:pt idx="66">
                  <c:v>22.207546809688321</c:v>
                </c:pt>
                <c:pt idx="67">
                  <c:v>26.899729148633185</c:v>
                </c:pt>
                <c:pt idx="68">
                  <c:v>51.328263573161571</c:v>
                </c:pt>
                <c:pt idx="69">
                  <c:v>21.028206735426529</c:v>
                </c:pt>
                <c:pt idx="70">
                  <c:v>24.799081515499442</c:v>
                </c:pt>
              </c:numCache>
            </c:numRef>
          </c:yVal>
          <c:smooth val="0"/>
        </c:ser>
        <c:dLbls>
          <c:showLegendKey val="0"/>
          <c:showVal val="0"/>
          <c:showCatName val="0"/>
          <c:showSerName val="0"/>
          <c:showPercent val="0"/>
          <c:showBubbleSize val="0"/>
        </c:dLbls>
        <c:axId val="747750512"/>
        <c:axId val="747752192"/>
      </c:scatterChart>
      <c:valAx>
        <c:axId val="7477505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52192"/>
        <c:crosses val="autoZero"/>
        <c:crossBetween val="midCat"/>
        <c:majorUnit val="5"/>
      </c:valAx>
      <c:valAx>
        <c:axId val="7477521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505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Bender Gez &amp; Astarabad,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(All)'!$CG$7:$CG$107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(All)'!$CG$7:$CG$107</c:f>
              <c:numCache>
                <c:formatCode>0.0000</c:formatCode>
                <c:ptCount val="101"/>
              </c:numCache>
            </c:numRef>
          </c:yVal>
          <c:smooth val="0"/>
        </c:ser>
        <c:dLbls>
          <c:showLegendKey val="0"/>
          <c:showVal val="0"/>
          <c:showCatName val="0"/>
          <c:showSerName val="0"/>
          <c:showPercent val="0"/>
          <c:showBubbleSize val="0"/>
        </c:dLbls>
        <c:axId val="747753872"/>
        <c:axId val="747755552"/>
      </c:scatterChart>
      <c:valAx>
        <c:axId val="7477538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55552"/>
        <c:crosses val="autoZero"/>
        <c:crossBetween val="midCat"/>
        <c:majorUnit val="5"/>
      </c:valAx>
      <c:valAx>
        <c:axId val="7477555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538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Astara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(All)'!$CH$7:$CH$107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(All)'!$CH$7:$CH$107</c:f>
              <c:numCache>
                <c:formatCode>0.0000</c:formatCode>
                <c:ptCount val="101"/>
              </c:numCache>
            </c:numRef>
          </c:yVal>
          <c:smooth val="0"/>
        </c:ser>
        <c:dLbls>
          <c:showLegendKey val="0"/>
          <c:showVal val="0"/>
          <c:showCatName val="0"/>
          <c:showSerName val="0"/>
          <c:showPercent val="0"/>
          <c:showBubbleSize val="0"/>
        </c:dLbls>
        <c:axId val="747757232"/>
        <c:axId val="747758912"/>
      </c:scatterChart>
      <c:valAx>
        <c:axId val="7477572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58912"/>
        <c:crosses val="autoZero"/>
        <c:crossBetween val="midCat"/>
        <c:majorUnit val="5"/>
      </c:valAx>
      <c:valAx>
        <c:axId val="7477589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572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Astara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(All)'!$CI$7:$CI$107</c:f>
              <c:numCache>
                <c:formatCode>0.0000</c:formatCode>
                <c:ptCount val="101"/>
                <c:pt idx="68">
                  <c:v>40.804403562705744</c:v>
                </c:pt>
                <c:pt idx="69">
                  <c:v>28.646990231231086</c:v>
                </c:pt>
                <c:pt idx="70">
                  <c:v>19.684854036654624</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(All)'!$CI$7:$CI$107</c:f>
              <c:numCache>
                <c:formatCode>0.0000</c:formatCode>
                <c:ptCount val="101"/>
                <c:pt idx="68">
                  <c:v>40.804403562705744</c:v>
                </c:pt>
                <c:pt idx="69">
                  <c:v>28.646990231231086</c:v>
                </c:pt>
                <c:pt idx="70">
                  <c:v>19.684854036654624</c:v>
                </c:pt>
              </c:numCache>
            </c:numRef>
          </c:yVal>
          <c:smooth val="0"/>
        </c:ser>
        <c:dLbls>
          <c:showLegendKey val="0"/>
          <c:showVal val="0"/>
          <c:showCatName val="0"/>
          <c:showSerName val="0"/>
          <c:showPercent val="0"/>
          <c:showBubbleSize val="0"/>
        </c:dLbls>
        <c:axId val="747760592"/>
        <c:axId val="747762272"/>
      </c:scatterChart>
      <c:valAx>
        <c:axId val="74776059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62272"/>
        <c:crosses val="autoZero"/>
        <c:crossBetween val="midCat"/>
        <c:majorUnit val="5"/>
      </c:valAx>
      <c:valAx>
        <c:axId val="7477622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6059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Astara,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(All)'!$CJ$7:$CJ$107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(All)'!$CJ$7:$CJ$107</c:f>
              <c:numCache>
                <c:formatCode>0.0000</c:formatCode>
                <c:ptCount val="101"/>
              </c:numCache>
            </c:numRef>
          </c:yVal>
          <c:smooth val="0"/>
        </c:ser>
        <c:dLbls>
          <c:showLegendKey val="0"/>
          <c:showVal val="0"/>
          <c:showCatName val="0"/>
          <c:showSerName val="0"/>
          <c:showPercent val="0"/>
          <c:showBubbleSize val="0"/>
        </c:dLbls>
        <c:axId val="747763952"/>
        <c:axId val="747765632"/>
      </c:scatterChart>
      <c:valAx>
        <c:axId val="74776395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65632"/>
        <c:crosses val="autoZero"/>
        <c:crossBetween val="midCat"/>
        <c:majorUnit val="5"/>
      </c:valAx>
      <c:valAx>
        <c:axId val="747765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6395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Sultanabad,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(All)'!$CK$7:$CK$107</c:f>
              <c:numCache>
                <c:formatCode>0.0000</c:formatCode>
                <c:ptCount val="101"/>
                <c:pt idx="70">
                  <c:v>53.169230769230737</c:v>
                </c:pt>
                <c:pt idx="71">
                  <c:v>110.76923076923073</c:v>
                </c:pt>
                <c:pt idx="72">
                  <c:v>81.876923076923134</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(All)'!$CK$7:$CK$107</c:f>
              <c:numCache>
                <c:formatCode>0.0000</c:formatCode>
                <c:ptCount val="101"/>
                <c:pt idx="70">
                  <c:v>53.169230769230737</c:v>
                </c:pt>
                <c:pt idx="71">
                  <c:v>110.76923076923073</c:v>
                </c:pt>
                <c:pt idx="72">
                  <c:v>81.876923076923134</c:v>
                </c:pt>
              </c:numCache>
            </c:numRef>
          </c:yVal>
          <c:smooth val="0"/>
        </c:ser>
        <c:dLbls>
          <c:showLegendKey val="0"/>
          <c:showVal val="0"/>
          <c:showCatName val="0"/>
          <c:showSerName val="0"/>
          <c:showPercent val="0"/>
          <c:showBubbleSize val="0"/>
        </c:dLbls>
        <c:axId val="747767312"/>
        <c:axId val="747768992"/>
      </c:scatterChart>
      <c:valAx>
        <c:axId val="7477673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68992"/>
        <c:crosses val="autoZero"/>
        <c:crossBetween val="midCat"/>
        <c:majorUnit val="5"/>
      </c:valAx>
      <c:valAx>
        <c:axId val="7477689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673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Sultanabad,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(All)'!$CL$7:$CL$107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(All)'!$CL$7:$CL$107</c:f>
              <c:numCache>
                <c:formatCode>0.0000</c:formatCode>
                <c:ptCount val="101"/>
              </c:numCache>
            </c:numRef>
          </c:yVal>
          <c:smooth val="0"/>
        </c:ser>
        <c:dLbls>
          <c:showLegendKey val="0"/>
          <c:showVal val="0"/>
          <c:showCatName val="0"/>
          <c:showSerName val="0"/>
          <c:showPercent val="0"/>
          <c:showBubbleSize val="0"/>
        </c:dLbls>
        <c:axId val="747770672"/>
        <c:axId val="747772352"/>
      </c:scatterChart>
      <c:valAx>
        <c:axId val="7477706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72352"/>
        <c:crosses val="autoZero"/>
        <c:crossBetween val="midCat"/>
        <c:majorUnit val="5"/>
      </c:valAx>
      <c:valAx>
        <c:axId val="7477723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706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Sultanabad,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(All)'!$CM$7:$CM$107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(All)'!$CM$7:$CM$107</c:f>
              <c:numCache>
                <c:formatCode>0.0000</c:formatCode>
                <c:ptCount val="101"/>
              </c:numCache>
            </c:numRef>
          </c:yVal>
          <c:smooth val="0"/>
        </c:ser>
        <c:dLbls>
          <c:showLegendKey val="0"/>
          <c:showVal val="0"/>
          <c:showCatName val="0"/>
          <c:showSerName val="0"/>
          <c:showPercent val="0"/>
          <c:showBubbleSize val="0"/>
        </c:dLbls>
        <c:axId val="747774032"/>
        <c:axId val="747775712"/>
      </c:scatterChart>
      <c:valAx>
        <c:axId val="74777403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75712"/>
        <c:crosses val="autoZero"/>
        <c:crossBetween val="midCat"/>
        <c:majorUnit val="5"/>
      </c:valAx>
      <c:valAx>
        <c:axId val="747775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7403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Palestine,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(All)'!$U$7:$U$107</c:f>
              <c:numCache>
                <c:formatCode>0.0000</c:formatCode>
                <c:ptCount val="101"/>
                <c:pt idx="22">
                  <c:v>45.245901639344261</c:v>
                </c:pt>
                <c:pt idx="23">
                  <c:v>40.140691971189987</c:v>
                </c:pt>
                <c:pt idx="70">
                  <c:v>57.049180327868825</c:v>
                </c:pt>
                <c:pt idx="72">
                  <c:v>76.721311475409891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(All)'!$U$7:$U$107</c:f>
              <c:numCache>
                <c:formatCode>0.0000</c:formatCode>
                <c:ptCount val="101"/>
                <c:pt idx="22">
                  <c:v>45.245901639344261</c:v>
                </c:pt>
                <c:pt idx="23">
                  <c:v>40.140691971189987</c:v>
                </c:pt>
                <c:pt idx="70">
                  <c:v>57.049180327868825</c:v>
                </c:pt>
                <c:pt idx="72">
                  <c:v>76.721311475409891</c:v>
                </c:pt>
              </c:numCache>
            </c:numRef>
          </c:yVal>
          <c:smooth val="0"/>
        </c:ser>
        <c:dLbls>
          <c:showLegendKey val="0"/>
          <c:showVal val="0"/>
          <c:showCatName val="0"/>
          <c:showSerName val="0"/>
          <c:showPercent val="0"/>
          <c:showBubbleSize val="0"/>
        </c:dLbls>
        <c:axId val="299057248"/>
        <c:axId val="299056688"/>
      </c:scatterChart>
      <c:valAx>
        <c:axId val="29905724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56688"/>
        <c:crosses val="autoZero"/>
        <c:crossBetween val="midCat"/>
        <c:majorUnit val="5"/>
      </c:valAx>
      <c:valAx>
        <c:axId val="2990566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5724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Bahrain,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(All)'!$CN$7:$CN$107</c:f>
              <c:numCache>
                <c:formatCode>0.0000</c:formatCode>
                <c:ptCount val="101"/>
                <c:pt idx="56">
                  <c:v>34.745559845559846</c:v>
                </c:pt>
                <c:pt idx="57">
                  <c:v>44.597642755537493</c:v>
                </c:pt>
                <c:pt idx="58">
                  <c:v>41.653442959917783</c:v>
                </c:pt>
                <c:pt idx="61">
                  <c:v>47.141560406310781</c:v>
                </c:pt>
                <c:pt idx="62">
                  <c:v>42.896981459727257</c:v>
                </c:pt>
                <c:pt idx="63">
                  <c:v>34.285714285714285</c:v>
                </c:pt>
                <c:pt idx="64">
                  <c:v>46.886884446611404</c:v>
                </c:pt>
                <c:pt idx="65">
                  <c:v>38.465873291186739</c:v>
                </c:pt>
                <c:pt idx="66">
                  <c:v>40.734513230623321</c:v>
                </c:pt>
                <c:pt idx="67">
                  <c:v>51.428571428571431</c:v>
                </c:pt>
                <c:pt idx="68">
                  <c:v>67.263423524463775</c:v>
                </c:pt>
                <c:pt idx="69">
                  <c:v>81.246992681135566</c:v>
                </c:pt>
                <c:pt idx="70">
                  <c:v>48.920507751534707</c:v>
                </c:pt>
                <c:pt idx="71">
                  <c:v>57.14236076640524</c:v>
                </c:pt>
                <c:pt idx="72">
                  <c:v>56.819805194805191</c:v>
                </c:pt>
                <c:pt idx="73">
                  <c:v>59.934513703613874</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(All)'!$CN$7:$CN$107</c:f>
              <c:numCache>
                <c:formatCode>0.0000</c:formatCode>
                <c:ptCount val="101"/>
                <c:pt idx="56">
                  <c:v>34.745559845559846</c:v>
                </c:pt>
                <c:pt idx="57">
                  <c:v>44.597642755537493</c:v>
                </c:pt>
                <c:pt idx="58">
                  <c:v>41.653442959917783</c:v>
                </c:pt>
                <c:pt idx="61">
                  <c:v>47.141560406310781</c:v>
                </c:pt>
                <c:pt idx="62">
                  <c:v>42.896981459727257</c:v>
                </c:pt>
                <c:pt idx="63">
                  <c:v>34.285714285714285</c:v>
                </c:pt>
                <c:pt idx="64">
                  <c:v>46.886884446611404</c:v>
                </c:pt>
                <c:pt idx="65">
                  <c:v>38.465873291186739</c:v>
                </c:pt>
                <c:pt idx="66">
                  <c:v>40.734513230623321</c:v>
                </c:pt>
                <c:pt idx="67">
                  <c:v>51.428571428571431</c:v>
                </c:pt>
                <c:pt idx="68">
                  <c:v>67.263423524463775</c:v>
                </c:pt>
                <c:pt idx="69">
                  <c:v>81.246992681135566</c:v>
                </c:pt>
                <c:pt idx="70">
                  <c:v>48.920507751534707</c:v>
                </c:pt>
                <c:pt idx="71">
                  <c:v>57.14236076640524</c:v>
                </c:pt>
                <c:pt idx="72">
                  <c:v>56.819805194805191</c:v>
                </c:pt>
                <c:pt idx="73">
                  <c:v>59.934513703613874</c:v>
                </c:pt>
              </c:numCache>
            </c:numRef>
          </c:yVal>
          <c:smooth val="0"/>
        </c:ser>
        <c:dLbls>
          <c:showLegendKey val="0"/>
          <c:showVal val="0"/>
          <c:showCatName val="0"/>
          <c:showSerName val="0"/>
          <c:showPercent val="0"/>
          <c:showBubbleSize val="0"/>
        </c:dLbls>
        <c:axId val="747777392"/>
        <c:axId val="747779072"/>
      </c:scatterChart>
      <c:valAx>
        <c:axId val="74777739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79072"/>
        <c:crosses val="autoZero"/>
        <c:crossBetween val="midCat"/>
        <c:majorUnit val="5"/>
      </c:valAx>
      <c:valAx>
        <c:axId val="7477790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7739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Bahrain,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(All)'!$CO$7:$CO$107</c:f>
              <c:numCache>
                <c:formatCode>0.0000</c:formatCode>
                <c:ptCount val="101"/>
                <c:pt idx="56">
                  <c:v>37.811688311688307</c:v>
                </c:pt>
                <c:pt idx="57">
                  <c:v>52.246153846153845</c:v>
                </c:pt>
                <c:pt idx="58">
                  <c:v>44.193277310924373</c:v>
                </c:pt>
                <c:pt idx="64">
                  <c:v>52.922554767047217</c:v>
                </c:pt>
                <c:pt idx="65">
                  <c:v>40.712727272727271</c:v>
                </c:pt>
                <c:pt idx="66">
                  <c:v>42.857142857142854</c:v>
                </c:pt>
                <c:pt idx="67">
                  <c:v>51.428571428571431</c:v>
                </c:pt>
                <c:pt idx="68">
                  <c:v>64.846416382252556</c:v>
                </c:pt>
                <c:pt idx="69">
                  <c:v>66.623376623376615</c:v>
                </c:pt>
                <c:pt idx="70">
                  <c:v>67.881355932203377</c:v>
                </c:pt>
                <c:pt idx="71">
                  <c:v>38.543838136112811</c:v>
                </c:pt>
                <c:pt idx="72">
                  <c:v>42.264437689969611</c:v>
                </c:pt>
                <c:pt idx="73">
                  <c:v>39.489795918367356</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(All)'!$CO$7:$CO$107</c:f>
              <c:numCache>
                <c:formatCode>0.0000</c:formatCode>
                <c:ptCount val="101"/>
                <c:pt idx="56">
                  <c:v>37.811688311688307</c:v>
                </c:pt>
                <c:pt idx="57">
                  <c:v>52.246153846153845</c:v>
                </c:pt>
                <c:pt idx="58">
                  <c:v>44.193277310924373</c:v>
                </c:pt>
                <c:pt idx="64">
                  <c:v>52.922554767047217</c:v>
                </c:pt>
                <c:pt idx="65">
                  <c:v>40.712727272727271</c:v>
                </c:pt>
                <c:pt idx="66">
                  <c:v>42.857142857142854</c:v>
                </c:pt>
                <c:pt idx="67">
                  <c:v>51.428571428571431</c:v>
                </c:pt>
                <c:pt idx="68">
                  <c:v>64.846416382252556</c:v>
                </c:pt>
                <c:pt idx="69">
                  <c:v>66.623376623376615</c:v>
                </c:pt>
                <c:pt idx="70">
                  <c:v>67.881355932203377</c:v>
                </c:pt>
                <c:pt idx="71">
                  <c:v>38.543838136112811</c:v>
                </c:pt>
                <c:pt idx="72">
                  <c:v>42.264437689969611</c:v>
                </c:pt>
                <c:pt idx="73">
                  <c:v>39.489795918367356</c:v>
                </c:pt>
              </c:numCache>
            </c:numRef>
          </c:yVal>
          <c:smooth val="0"/>
        </c:ser>
        <c:dLbls>
          <c:showLegendKey val="0"/>
          <c:showVal val="0"/>
          <c:showCatName val="0"/>
          <c:showSerName val="0"/>
          <c:showPercent val="0"/>
          <c:showBubbleSize val="0"/>
        </c:dLbls>
        <c:axId val="747781312"/>
        <c:axId val="747711312"/>
      </c:scatterChart>
      <c:valAx>
        <c:axId val="7477813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11312"/>
        <c:crosses val="autoZero"/>
        <c:crossBetween val="midCat"/>
        <c:majorUnit val="5"/>
      </c:valAx>
      <c:valAx>
        <c:axId val="7477113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813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Bahrain,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(All)'!$CP$7:$CP$107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(All)'!$CP$7:$CP$107</c:f>
              <c:numCache>
                <c:formatCode>0.0000</c:formatCode>
                <c:ptCount val="101"/>
              </c:numCache>
            </c:numRef>
          </c:yVal>
          <c:smooth val="0"/>
        </c:ser>
        <c:dLbls>
          <c:showLegendKey val="0"/>
          <c:showVal val="0"/>
          <c:showCatName val="0"/>
          <c:showSerName val="0"/>
          <c:showPercent val="0"/>
          <c:showBubbleSize val="0"/>
        </c:dLbls>
        <c:axId val="747783552"/>
        <c:axId val="747782992"/>
      </c:scatterChart>
      <c:valAx>
        <c:axId val="74778355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82992"/>
        <c:crosses val="autoZero"/>
        <c:crossBetween val="midCat"/>
        <c:majorUnit val="5"/>
      </c:valAx>
      <c:valAx>
        <c:axId val="7477829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8355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Muscat,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(All)'!$CQ$7:$CQ$107</c:f>
              <c:numCache>
                <c:formatCode>0.0000</c:formatCode>
                <c:ptCount val="101"/>
                <c:pt idx="34">
                  <c:v>42.341164703592888</c:v>
                </c:pt>
                <c:pt idx="35">
                  <c:v>33.939567286461134</c:v>
                </c:pt>
                <c:pt idx="36">
                  <c:v>27.980458891109294</c:v>
                </c:pt>
                <c:pt idx="37">
                  <c:v>51.840349219552238</c:v>
                </c:pt>
                <c:pt idx="38">
                  <c:v>49.712353128441762</c:v>
                </c:pt>
                <c:pt idx="39">
                  <c:v>48.471022075294023</c:v>
                </c:pt>
                <c:pt idx="40">
                  <c:v>34.154748671795609</c:v>
                </c:pt>
                <c:pt idx="41">
                  <c:v>39.147763339002985</c:v>
                </c:pt>
                <c:pt idx="42">
                  <c:v>32.53370442707314</c:v>
                </c:pt>
                <c:pt idx="43">
                  <c:v>35.26577398797312</c:v>
                </c:pt>
                <c:pt idx="44">
                  <c:v>33.862437798509568</c:v>
                </c:pt>
                <c:pt idx="45">
                  <c:v>29.946156591897381</c:v>
                </c:pt>
                <c:pt idx="46">
                  <c:v>36.299933321104284</c:v>
                </c:pt>
                <c:pt idx="47">
                  <c:v>34.377714629781678</c:v>
                </c:pt>
                <c:pt idx="48">
                  <c:v>30.488832884331252</c:v>
                </c:pt>
                <c:pt idx="49">
                  <c:v>31.919940390593311</c:v>
                </c:pt>
                <c:pt idx="50">
                  <c:v>41.007557182562607</c:v>
                </c:pt>
                <c:pt idx="51">
                  <c:v>35.460882574764554</c:v>
                </c:pt>
                <c:pt idx="52">
                  <c:v>37.271215008806529</c:v>
                </c:pt>
                <c:pt idx="53">
                  <c:v>30.291071585854237</c:v>
                </c:pt>
                <c:pt idx="54">
                  <c:v>25.207731474009552</c:v>
                </c:pt>
                <c:pt idx="55">
                  <c:v>25.969952296117928</c:v>
                </c:pt>
                <c:pt idx="56">
                  <c:v>26.841061807098811</c:v>
                </c:pt>
                <c:pt idx="57">
                  <c:v>41.789480199449265</c:v>
                </c:pt>
                <c:pt idx="58">
                  <c:v>38.457367629744979</c:v>
                </c:pt>
                <c:pt idx="59">
                  <c:v>52.092658831696063</c:v>
                </c:pt>
                <c:pt idx="60">
                  <c:v>27.44208647075391</c:v>
                </c:pt>
                <c:pt idx="61">
                  <c:v>30.430437807147555</c:v>
                </c:pt>
                <c:pt idx="62">
                  <c:v>17.923551406851342</c:v>
                </c:pt>
                <c:pt idx="63">
                  <c:v>22.50199998193127</c:v>
                </c:pt>
                <c:pt idx="64">
                  <c:v>29.844630768058714</c:v>
                </c:pt>
                <c:pt idx="65">
                  <c:v>35.454545454545482</c:v>
                </c:pt>
                <c:pt idx="66">
                  <c:v>32.914285714285711</c:v>
                </c:pt>
                <c:pt idx="67">
                  <c:v>33.75</c:v>
                </c:pt>
                <c:pt idx="68">
                  <c:v>38.626457614534665</c:v>
                </c:pt>
                <c:pt idx="69">
                  <c:v>39.730937773882495</c:v>
                </c:pt>
                <c:pt idx="70">
                  <c:v>48.400180261378964</c:v>
                </c:pt>
                <c:pt idx="71">
                  <c:v>32.10445468509981</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(All)'!$CQ$7:$CQ$107</c:f>
              <c:numCache>
                <c:formatCode>0.0000</c:formatCode>
                <c:ptCount val="101"/>
                <c:pt idx="34">
                  <c:v>42.341164703592888</c:v>
                </c:pt>
                <c:pt idx="35">
                  <c:v>33.939567286461134</c:v>
                </c:pt>
                <c:pt idx="36">
                  <c:v>27.980458891109294</c:v>
                </c:pt>
                <c:pt idx="37">
                  <c:v>51.840349219552238</c:v>
                </c:pt>
                <c:pt idx="38">
                  <c:v>49.712353128441762</c:v>
                </c:pt>
                <c:pt idx="39">
                  <c:v>48.471022075294023</c:v>
                </c:pt>
                <c:pt idx="40">
                  <c:v>34.154748671795609</c:v>
                </c:pt>
                <c:pt idx="41">
                  <c:v>39.147763339002985</c:v>
                </c:pt>
                <c:pt idx="42">
                  <c:v>32.53370442707314</c:v>
                </c:pt>
                <c:pt idx="43">
                  <c:v>35.26577398797312</c:v>
                </c:pt>
                <c:pt idx="44">
                  <c:v>33.862437798509568</c:v>
                </c:pt>
                <c:pt idx="45">
                  <c:v>29.946156591897381</c:v>
                </c:pt>
                <c:pt idx="46">
                  <c:v>36.299933321104284</c:v>
                </c:pt>
                <c:pt idx="47">
                  <c:v>34.377714629781678</c:v>
                </c:pt>
                <c:pt idx="48">
                  <c:v>30.488832884331252</c:v>
                </c:pt>
                <c:pt idx="49">
                  <c:v>31.919940390593311</c:v>
                </c:pt>
                <c:pt idx="50">
                  <c:v>41.007557182562607</c:v>
                </c:pt>
                <c:pt idx="51">
                  <c:v>35.460882574764554</c:v>
                </c:pt>
                <c:pt idx="52">
                  <c:v>37.271215008806529</c:v>
                </c:pt>
                <c:pt idx="53">
                  <c:v>30.291071585854237</c:v>
                </c:pt>
                <c:pt idx="54">
                  <c:v>25.207731474009552</c:v>
                </c:pt>
                <c:pt idx="55">
                  <c:v>25.969952296117928</c:v>
                </c:pt>
                <c:pt idx="56">
                  <c:v>26.841061807098811</c:v>
                </c:pt>
                <c:pt idx="57">
                  <c:v>41.789480199449265</c:v>
                </c:pt>
                <c:pt idx="58">
                  <c:v>38.457367629744979</c:v>
                </c:pt>
                <c:pt idx="59">
                  <c:v>52.092658831696063</c:v>
                </c:pt>
                <c:pt idx="60">
                  <c:v>27.44208647075391</c:v>
                </c:pt>
                <c:pt idx="61">
                  <c:v>30.430437807147555</c:v>
                </c:pt>
                <c:pt idx="62">
                  <c:v>17.923551406851342</c:v>
                </c:pt>
                <c:pt idx="63">
                  <c:v>22.50199998193127</c:v>
                </c:pt>
                <c:pt idx="64">
                  <c:v>29.844630768058714</c:v>
                </c:pt>
                <c:pt idx="65">
                  <c:v>35.454545454545482</c:v>
                </c:pt>
                <c:pt idx="66">
                  <c:v>32.914285714285711</c:v>
                </c:pt>
                <c:pt idx="67">
                  <c:v>33.75</c:v>
                </c:pt>
                <c:pt idx="68">
                  <c:v>38.626457614534665</c:v>
                </c:pt>
                <c:pt idx="69">
                  <c:v>39.730937773882495</c:v>
                </c:pt>
                <c:pt idx="70">
                  <c:v>48.400180261378964</c:v>
                </c:pt>
                <c:pt idx="71">
                  <c:v>32.10445468509981</c:v>
                </c:pt>
              </c:numCache>
            </c:numRef>
          </c:yVal>
          <c:smooth val="0"/>
        </c:ser>
        <c:dLbls>
          <c:showLegendKey val="0"/>
          <c:showVal val="0"/>
          <c:showCatName val="0"/>
          <c:showSerName val="0"/>
          <c:showPercent val="0"/>
          <c:showBubbleSize val="0"/>
        </c:dLbls>
        <c:axId val="747786912"/>
        <c:axId val="747786352"/>
      </c:scatterChart>
      <c:valAx>
        <c:axId val="74778691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86352"/>
        <c:crosses val="autoZero"/>
        <c:crossBetween val="midCat"/>
        <c:majorUnit val="5"/>
      </c:valAx>
      <c:valAx>
        <c:axId val="7477863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8691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Muscat,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(All)'!$CR$7:$CR$107</c:f>
              <c:numCache>
                <c:formatCode>0.0000</c:formatCode>
                <c:ptCount val="101"/>
                <c:pt idx="34">
                  <c:v>50.262882981378034</c:v>
                </c:pt>
                <c:pt idx="35">
                  <c:v>37.710630318290058</c:v>
                </c:pt>
                <c:pt idx="36">
                  <c:v>30.778504780220281</c:v>
                </c:pt>
                <c:pt idx="37">
                  <c:v>50.880342752523767</c:v>
                </c:pt>
                <c:pt idx="38">
                  <c:v>52.276879281893393</c:v>
                </c:pt>
                <c:pt idx="39">
                  <c:v>56.068662440270856</c:v>
                </c:pt>
                <c:pt idx="40">
                  <c:v>45.515471948751724</c:v>
                </c:pt>
                <c:pt idx="41">
                  <c:v>38.593262441849909</c:v>
                </c:pt>
                <c:pt idx="42">
                  <c:v>38.54659586090451</c:v>
                </c:pt>
                <c:pt idx="43">
                  <c:v>37.753263984832707</c:v>
                </c:pt>
                <c:pt idx="44">
                  <c:v>37.799930565778105</c:v>
                </c:pt>
                <c:pt idx="45">
                  <c:v>33.574012402388654</c:v>
                </c:pt>
                <c:pt idx="46">
                  <c:v>33.639654519794057</c:v>
                </c:pt>
                <c:pt idx="47">
                  <c:v>33.366605375964596</c:v>
                </c:pt>
                <c:pt idx="48">
                  <c:v>30.488832884331252</c:v>
                </c:pt>
                <c:pt idx="49">
                  <c:v>30.102537297616582</c:v>
                </c:pt>
                <c:pt idx="50">
                  <c:v>30.559943864819569</c:v>
                </c:pt>
                <c:pt idx="51">
                  <c:v>33.646604861636995</c:v>
                </c:pt>
                <c:pt idx="52">
                  <c:v>36.275488921561497</c:v>
                </c:pt>
                <c:pt idx="53">
                  <c:v>26.805284095040609</c:v>
                </c:pt>
                <c:pt idx="54">
                  <c:v>20.00613609048381</c:v>
                </c:pt>
                <c:pt idx="70">
                  <c:v>48.979591836734691</c:v>
                </c:pt>
                <c:pt idx="71">
                  <c:v>48.111483399329828</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(All)'!$CR$7:$CR$107</c:f>
              <c:numCache>
                <c:formatCode>0.0000</c:formatCode>
                <c:ptCount val="101"/>
                <c:pt idx="34">
                  <c:v>50.262882981378034</c:v>
                </c:pt>
                <c:pt idx="35">
                  <c:v>37.710630318290058</c:v>
                </c:pt>
                <c:pt idx="36">
                  <c:v>30.778504780220281</c:v>
                </c:pt>
                <c:pt idx="37">
                  <c:v>50.880342752523767</c:v>
                </c:pt>
                <c:pt idx="38">
                  <c:v>52.276879281893393</c:v>
                </c:pt>
                <c:pt idx="39">
                  <c:v>56.068662440270856</c:v>
                </c:pt>
                <c:pt idx="40">
                  <c:v>45.515471948751724</c:v>
                </c:pt>
                <c:pt idx="41">
                  <c:v>38.593262441849909</c:v>
                </c:pt>
                <c:pt idx="42">
                  <c:v>38.54659586090451</c:v>
                </c:pt>
                <c:pt idx="43">
                  <c:v>37.753263984832707</c:v>
                </c:pt>
                <c:pt idx="44">
                  <c:v>37.799930565778105</c:v>
                </c:pt>
                <c:pt idx="45">
                  <c:v>33.574012402388654</c:v>
                </c:pt>
                <c:pt idx="46">
                  <c:v>33.639654519794057</c:v>
                </c:pt>
                <c:pt idx="47">
                  <c:v>33.366605375964596</c:v>
                </c:pt>
                <c:pt idx="48">
                  <c:v>30.488832884331252</c:v>
                </c:pt>
                <c:pt idx="49">
                  <c:v>30.102537297616582</c:v>
                </c:pt>
                <c:pt idx="50">
                  <c:v>30.559943864819569</c:v>
                </c:pt>
                <c:pt idx="51">
                  <c:v>33.646604861636995</c:v>
                </c:pt>
                <c:pt idx="52">
                  <c:v>36.275488921561497</c:v>
                </c:pt>
                <c:pt idx="53">
                  <c:v>26.805284095040609</c:v>
                </c:pt>
                <c:pt idx="54">
                  <c:v>20.00613609048381</c:v>
                </c:pt>
                <c:pt idx="70">
                  <c:v>48.979591836734691</c:v>
                </c:pt>
                <c:pt idx="71">
                  <c:v>48.111483399329828</c:v>
                </c:pt>
              </c:numCache>
            </c:numRef>
          </c:yVal>
          <c:smooth val="0"/>
        </c:ser>
        <c:dLbls>
          <c:showLegendKey val="0"/>
          <c:showVal val="0"/>
          <c:showCatName val="0"/>
          <c:showSerName val="0"/>
          <c:showPercent val="0"/>
          <c:showBubbleSize val="0"/>
        </c:dLbls>
        <c:axId val="747795872"/>
        <c:axId val="747795312"/>
      </c:scatterChart>
      <c:valAx>
        <c:axId val="747795872"/>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747795312"/>
        <c:crosses val="autoZero"/>
        <c:crossBetween val="midCat"/>
        <c:majorUnit val="5"/>
      </c:valAx>
      <c:valAx>
        <c:axId val="7477953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747795872"/>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Muscat,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(All)'!$CS$7:$CS$107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(All)'!$CS$7:$CS$107</c:f>
              <c:numCache>
                <c:formatCode>0.0000</c:formatCode>
                <c:ptCount val="101"/>
              </c:numCache>
            </c:numRef>
          </c:yVal>
          <c:smooth val="0"/>
        </c:ser>
        <c:dLbls>
          <c:showLegendKey val="0"/>
          <c:showVal val="0"/>
          <c:showCatName val="0"/>
          <c:showSerName val="0"/>
          <c:showPercent val="0"/>
          <c:showBubbleSize val="0"/>
        </c:dLbls>
        <c:axId val="622123616"/>
        <c:axId val="622120816"/>
      </c:scatterChart>
      <c:valAx>
        <c:axId val="62212361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20816"/>
        <c:crosses val="autoZero"/>
        <c:crossBetween val="midCat"/>
        <c:majorUnit val="5"/>
      </c:valAx>
      <c:valAx>
        <c:axId val="6221208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2361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Mohammerah,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(All)'!$CT$7:$CT$107</c:f>
              <c:numCache>
                <c:formatCode>0.0000</c:formatCode>
                <c:ptCount val="101"/>
                <c:pt idx="57">
                  <c:v>43.43643037290574</c:v>
                </c:pt>
                <c:pt idx="61">
                  <c:v>52.13463007580652</c:v>
                </c:pt>
                <c:pt idx="62">
                  <c:v>32.803282893049456</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(All)'!$CT$7:$CT$107</c:f>
              <c:numCache>
                <c:formatCode>0.0000</c:formatCode>
                <c:ptCount val="101"/>
                <c:pt idx="57">
                  <c:v>43.43643037290574</c:v>
                </c:pt>
                <c:pt idx="61">
                  <c:v>52.13463007580652</c:v>
                </c:pt>
                <c:pt idx="62">
                  <c:v>32.803282893049456</c:v>
                </c:pt>
              </c:numCache>
            </c:numRef>
          </c:yVal>
          <c:smooth val="0"/>
        </c:ser>
        <c:dLbls>
          <c:showLegendKey val="0"/>
          <c:showVal val="0"/>
          <c:showCatName val="0"/>
          <c:showSerName val="0"/>
          <c:showPercent val="0"/>
          <c:showBubbleSize val="0"/>
        </c:dLbls>
        <c:axId val="622066496"/>
        <c:axId val="622065936"/>
      </c:scatterChart>
      <c:valAx>
        <c:axId val="62206649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65936"/>
        <c:crosses val="autoZero"/>
        <c:crossBetween val="midCat"/>
        <c:majorUnit val="5"/>
      </c:valAx>
      <c:valAx>
        <c:axId val="6220659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6649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Mohammerah,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(All)'!$CU$7:$CU$107</c:f>
              <c:numCache>
                <c:formatCode>0.0000</c:formatCode>
                <c:ptCount val="101"/>
                <c:pt idx="50">
                  <c:v>26.334405144694539</c:v>
                </c:pt>
                <c:pt idx="51">
                  <c:v>28.95226533789441</c:v>
                </c:pt>
                <c:pt idx="52">
                  <c:v>32.593392343814145</c:v>
                </c:pt>
                <c:pt idx="53">
                  <c:v>28.860405499883441</c:v>
                </c:pt>
                <c:pt idx="54">
                  <c:v>12.747438231266763</c:v>
                </c:pt>
                <c:pt idx="55">
                  <c:v>15.592681866502412</c:v>
                </c:pt>
                <c:pt idx="56">
                  <c:v>40.88681155709331</c:v>
                </c:pt>
                <c:pt idx="57">
                  <c:v>43.27192285092115</c:v>
                </c:pt>
                <c:pt idx="58">
                  <c:v>32.998160637645555</c:v>
                </c:pt>
                <c:pt idx="59">
                  <c:v>32.354124748490953</c:v>
                </c:pt>
                <c:pt idx="60">
                  <c:v>58.950155404627573</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(All)'!$CU$7:$CU$107</c:f>
              <c:numCache>
                <c:formatCode>0.0000</c:formatCode>
                <c:ptCount val="101"/>
                <c:pt idx="50">
                  <c:v>26.334405144694539</c:v>
                </c:pt>
                <c:pt idx="51">
                  <c:v>28.95226533789441</c:v>
                </c:pt>
                <c:pt idx="52">
                  <c:v>32.593392343814145</c:v>
                </c:pt>
                <c:pt idx="53">
                  <c:v>28.860405499883441</c:v>
                </c:pt>
                <c:pt idx="54">
                  <c:v>12.747438231266763</c:v>
                </c:pt>
                <c:pt idx="55">
                  <c:v>15.592681866502412</c:v>
                </c:pt>
                <c:pt idx="56">
                  <c:v>40.88681155709331</c:v>
                </c:pt>
                <c:pt idx="57">
                  <c:v>43.27192285092115</c:v>
                </c:pt>
                <c:pt idx="58">
                  <c:v>32.998160637645555</c:v>
                </c:pt>
                <c:pt idx="59">
                  <c:v>32.354124748490953</c:v>
                </c:pt>
                <c:pt idx="60">
                  <c:v>58.950155404627573</c:v>
                </c:pt>
              </c:numCache>
            </c:numRef>
          </c:yVal>
          <c:smooth val="0"/>
        </c:ser>
        <c:dLbls>
          <c:showLegendKey val="0"/>
          <c:showVal val="0"/>
          <c:showCatName val="0"/>
          <c:showSerName val="0"/>
          <c:showPercent val="0"/>
          <c:showBubbleSize val="0"/>
        </c:dLbls>
        <c:axId val="622069856"/>
        <c:axId val="622069296"/>
      </c:scatterChart>
      <c:valAx>
        <c:axId val="62206985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69296"/>
        <c:crosses val="autoZero"/>
        <c:crossBetween val="midCat"/>
        <c:majorUnit val="5"/>
      </c:valAx>
      <c:valAx>
        <c:axId val="6220692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6985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Mohammerah,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(All)'!$CV$7:$CV$107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(All)'!$CV$7:$CV$107</c:f>
              <c:numCache>
                <c:formatCode>0.0000</c:formatCode>
                <c:ptCount val="101"/>
              </c:numCache>
            </c:numRef>
          </c:yVal>
          <c:smooth val="0"/>
        </c:ser>
        <c:dLbls>
          <c:showLegendKey val="0"/>
          <c:showVal val="0"/>
          <c:showCatName val="0"/>
          <c:showSerName val="0"/>
          <c:showPercent val="0"/>
          <c:showBubbleSize val="0"/>
        </c:dLbls>
        <c:axId val="622073216"/>
        <c:axId val="622072656"/>
      </c:scatterChart>
      <c:valAx>
        <c:axId val="62207321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72656"/>
        <c:crosses val="autoZero"/>
        <c:crossBetween val="midCat"/>
        <c:majorUnit val="5"/>
      </c:valAx>
      <c:valAx>
        <c:axId val="6220726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7321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Lingah,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(All)'!$CW$7:$CW$107</c:f>
              <c:numCache>
                <c:formatCode>0.0000</c:formatCode>
                <c:ptCount val="101"/>
                <c:pt idx="56">
                  <c:v>39.17374517374521</c:v>
                </c:pt>
                <c:pt idx="57">
                  <c:v>56.251567944250837</c:v>
                </c:pt>
                <c:pt idx="58">
                  <c:v>40.326578073089735</c:v>
                </c:pt>
                <c:pt idx="59">
                  <c:v>42.857142857142804</c:v>
                </c:pt>
                <c:pt idx="67">
                  <c:v>33.819875776397566</c:v>
                </c:pt>
                <c:pt idx="68">
                  <c:v>48.936940197231465</c:v>
                </c:pt>
                <c:pt idx="69">
                  <c:v>66.704220993513459</c:v>
                </c:pt>
                <c:pt idx="70">
                  <c:v>65.819224319792255</c:v>
                </c:pt>
                <c:pt idx="71">
                  <c:v>41.157960981749476</c:v>
                </c:pt>
                <c:pt idx="72">
                  <c:v>56.741440377804032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(All)'!$CW$7:$CW$107</c:f>
              <c:numCache>
                <c:formatCode>0.0000</c:formatCode>
                <c:ptCount val="101"/>
                <c:pt idx="56">
                  <c:v>39.17374517374521</c:v>
                </c:pt>
                <c:pt idx="57">
                  <c:v>56.251567944250837</c:v>
                </c:pt>
                <c:pt idx="58">
                  <c:v>40.326578073089735</c:v>
                </c:pt>
                <c:pt idx="59">
                  <c:v>42.857142857142804</c:v>
                </c:pt>
                <c:pt idx="67">
                  <c:v>33.819875776397566</c:v>
                </c:pt>
                <c:pt idx="68">
                  <c:v>48.936940197231465</c:v>
                </c:pt>
                <c:pt idx="69">
                  <c:v>66.704220993513459</c:v>
                </c:pt>
                <c:pt idx="70">
                  <c:v>65.819224319792255</c:v>
                </c:pt>
                <c:pt idx="71">
                  <c:v>41.157960981749476</c:v>
                </c:pt>
                <c:pt idx="72">
                  <c:v>56.741440377804032</c:v>
                </c:pt>
              </c:numCache>
            </c:numRef>
          </c:yVal>
          <c:smooth val="0"/>
        </c:ser>
        <c:dLbls>
          <c:showLegendKey val="0"/>
          <c:showVal val="0"/>
          <c:showCatName val="0"/>
          <c:showSerName val="0"/>
          <c:showPercent val="0"/>
          <c:showBubbleSize val="0"/>
        </c:dLbls>
        <c:axId val="622076576"/>
        <c:axId val="622076016"/>
      </c:scatterChart>
      <c:valAx>
        <c:axId val="62207657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76016"/>
        <c:crosses val="autoZero"/>
        <c:crossBetween val="midCat"/>
        <c:majorUnit val="5"/>
      </c:valAx>
      <c:valAx>
        <c:axId val="622076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7657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Baghdad,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(All)'!$F$7:$F$107</c:f>
              <c:numCache>
                <c:formatCode>0.0000</c:formatCode>
                <c:ptCount val="101"/>
                <c:pt idx="25" formatCode="_(* #,##0.0000_);_(* \(#,##0.0000\);_(* &quot;-&quot;??_);_(@_)">
                  <c:v>70.709313913400891</c:v>
                </c:pt>
                <c:pt idx="26" formatCode="_(* #,##0.0000_);_(* \(#,##0.0000\);_(* &quot;-&quot;??_);_(@_)">
                  <c:v>97.414383628555356</c:v>
                </c:pt>
                <c:pt idx="27" formatCode="_(* #,##0.0000_);_(* \(#,##0.0000\);_(* &quot;-&quot;??_);_(@_)">
                  <c:v>63.720419647238785</c:v>
                </c:pt>
                <c:pt idx="28" formatCode="_(* #,##0.0000_);_(* \(#,##0.0000\);_(* &quot;-&quot;??_);_(@_)">
                  <c:v>53.403130859594832</c:v>
                </c:pt>
                <c:pt idx="29" formatCode="_(* #,##0.0000_);_(* \(#,##0.0000\);_(* &quot;-&quot;??_);_(@_)">
                  <c:v>43.604076987975454</c:v>
                </c:pt>
                <c:pt idx="30" formatCode="_(* #,##0.0000_);_(* \(#,##0.0000\);_(* &quot;-&quot;??_);_(@_)">
                  <c:v>61.922483052737036</c:v>
                </c:pt>
                <c:pt idx="37" formatCode="_(* #,##0.0000_);_(* \(#,##0.0000\);_(* &quot;-&quot;??_);_(@_)">
                  <c:v>21.246101834259601</c:v>
                </c:pt>
                <c:pt idx="47">
                  <c:v>53.877551020408227</c:v>
                </c:pt>
                <c:pt idx="48">
                  <c:v>51.407401599498243</c:v>
                </c:pt>
                <c:pt idx="49">
                  <c:v>45.112781954887204</c:v>
                </c:pt>
                <c:pt idx="50">
                  <c:v>48.214285714285772</c:v>
                </c:pt>
                <c:pt idx="51">
                  <c:v>51.291793313069903</c:v>
                </c:pt>
                <c:pt idx="52">
                  <c:v>45.283018867924461</c:v>
                </c:pt>
                <c:pt idx="59">
                  <c:v>98.901098901098919</c:v>
                </c:pt>
                <c:pt idx="60">
                  <c:v>98.901098901098919</c:v>
                </c:pt>
                <c:pt idx="61">
                  <c:v>79.120879120879053</c:v>
                </c:pt>
                <c:pt idx="62">
                  <c:v>67.843070070241524</c:v>
                </c:pt>
                <c:pt idx="65">
                  <c:v>118.34319526627219</c:v>
                </c:pt>
                <c:pt idx="66">
                  <c:v>118.68131868131866</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(All)'!$F$7:$F$107</c:f>
              <c:numCache>
                <c:formatCode>0.0000</c:formatCode>
                <c:ptCount val="101"/>
                <c:pt idx="25" formatCode="_(* #,##0.0000_);_(* \(#,##0.0000\);_(* &quot;-&quot;??_);_(@_)">
                  <c:v>70.709313913400891</c:v>
                </c:pt>
                <c:pt idx="26" formatCode="_(* #,##0.0000_);_(* \(#,##0.0000\);_(* &quot;-&quot;??_);_(@_)">
                  <c:v>97.414383628555356</c:v>
                </c:pt>
                <c:pt idx="27" formatCode="_(* #,##0.0000_);_(* \(#,##0.0000\);_(* &quot;-&quot;??_);_(@_)">
                  <c:v>63.720419647238785</c:v>
                </c:pt>
                <c:pt idx="28" formatCode="_(* #,##0.0000_);_(* \(#,##0.0000\);_(* &quot;-&quot;??_);_(@_)">
                  <c:v>53.403130859594832</c:v>
                </c:pt>
                <c:pt idx="29" formatCode="_(* #,##0.0000_);_(* \(#,##0.0000\);_(* &quot;-&quot;??_);_(@_)">
                  <c:v>43.604076987975454</c:v>
                </c:pt>
                <c:pt idx="30" formatCode="_(* #,##0.0000_);_(* \(#,##0.0000\);_(* &quot;-&quot;??_);_(@_)">
                  <c:v>61.922483052737036</c:v>
                </c:pt>
                <c:pt idx="37" formatCode="_(* #,##0.0000_);_(* \(#,##0.0000\);_(* &quot;-&quot;??_);_(@_)">
                  <c:v>21.246101834259601</c:v>
                </c:pt>
                <c:pt idx="47">
                  <c:v>53.877551020408227</c:v>
                </c:pt>
                <c:pt idx="48">
                  <c:v>51.407401599498243</c:v>
                </c:pt>
                <c:pt idx="49">
                  <c:v>45.112781954887204</c:v>
                </c:pt>
                <c:pt idx="50">
                  <c:v>48.214285714285772</c:v>
                </c:pt>
                <c:pt idx="51">
                  <c:v>51.291793313069903</c:v>
                </c:pt>
                <c:pt idx="52">
                  <c:v>45.283018867924461</c:v>
                </c:pt>
                <c:pt idx="59">
                  <c:v>98.901098901098919</c:v>
                </c:pt>
                <c:pt idx="60">
                  <c:v>98.901098901098919</c:v>
                </c:pt>
                <c:pt idx="61">
                  <c:v>79.120879120879053</c:v>
                </c:pt>
                <c:pt idx="62">
                  <c:v>67.843070070241524</c:v>
                </c:pt>
                <c:pt idx="65">
                  <c:v>118.34319526627219</c:v>
                </c:pt>
                <c:pt idx="66">
                  <c:v>118.68131868131866</c:v>
                </c:pt>
              </c:numCache>
            </c:numRef>
          </c:yVal>
          <c:smooth val="0"/>
        </c:ser>
        <c:dLbls>
          <c:showLegendKey val="0"/>
          <c:showVal val="0"/>
          <c:showCatName val="0"/>
          <c:showSerName val="0"/>
          <c:showPercent val="0"/>
          <c:showBubbleSize val="0"/>
        </c:dLbls>
        <c:axId val="299061168"/>
        <c:axId val="299061728"/>
      </c:scatterChart>
      <c:valAx>
        <c:axId val="299061168"/>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299061728"/>
        <c:crosses val="autoZero"/>
        <c:crossBetween val="midCat"/>
        <c:majorUnit val="5"/>
      </c:valAx>
      <c:valAx>
        <c:axId val="2990617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299061168"/>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Lingah,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(All)'!$CX$7:$CX$107</c:f>
              <c:numCache>
                <c:formatCode>0.0000</c:formatCode>
                <c:ptCount val="101"/>
                <c:pt idx="56">
                  <c:v>37.819047619047595</c:v>
                </c:pt>
                <c:pt idx="57">
                  <c:v>56.253061224489848</c:v>
                </c:pt>
                <c:pt idx="58">
                  <c:v>40.174904942965789</c:v>
                </c:pt>
                <c:pt idx="59">
                  <c:v>42.857142857142804</c:v>
                </c:pt>
                <c:pt idx="67">
                  <c:v>39.692731024994266</c:v>
                </c:pt>
                <c:pt idx="68">
                  <c:v>48.404555192242668</c:v>
                </c:pt>
                <c:pt idx="70">
                  <c:v>33.735521235521176</c:v>
                </c:pt>
                <c:pt idx="71">
                  <c:v>43.890480291021554</c:v>
                </c:pt>
                <c:pt idx="72">
                  <c:v>43.727717436365182</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(All)'!$CX$7:$CX$107</c:f>
              <c:numCache>
                <c:formatCode>0.0000</c:formatCode>
                <c:ptCount val="101"/>
                <c:pt idx="56">
                  <c:v>37.819047619047595</c:v>
                </c:pt>
                <c:pt idx="57">
                  <c:v>56.253061224489848</c:v>
                </c:pt>
                <c:pt idx="58">
                  <c:v>40.174904942965789</c:v>
                </c:pt>
                <c:pt idx="59">
                  <c:v>42.857142857142804</c:v>
                </c:pt>
                <c:pt idx="67">
                  <c:v>39.692731024994266</c:v>
                </c:pt>
                <c:pt idx="68">
                  <c:v>48.404555192242668</c:v>
                </c:pt>
                <c:pt idx="70">
                  <c:v>33.735521235521176</c:v>
                </c:pt>
                <c:pt idx="71">
                  <c:v>43.890480291021554</c:v>
                </c:pt>
                <c:pt idx="72">
                  <c:v>43.727717436365182</c:v>
                </c:pt>
              </c:numCache>
            </c:numRef>
          </c:yVal>
          <c:smooth val="0"/>
        </c:ser>
        <c:dLbls>
          <c:showLegendKey val="0"/>
          <c:showVal val="0"/>
          <c:showCatName val="0"/>
          <c:showSerName val="0"/>
          <c:showPercent val="0"/>
          <c:showBubbleSize val="0"/>
        </c:dLbls>
        <c:axId val="622086656"/>
        <c:axId val="622079376"/>
      </c:scatterChart>
      <c:valAx>
        <c:axId val="62208665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79376"/>
        <c:crosses val="autoZero"/>
        <c:crossBetween val="midCat"/>
        <c:majorUnit val="5"/>
      </c:valAx>
      <c:valAx>
        <c:axId val="6220793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8665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Lingah,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(All)'!$CY$7:$CY$107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(All)'!$CY$7:$CY$107</c:f>
              <c:numCache>
                <c:formatCode>0.0000</c:formatCode>
                <c:ptCount val="101"/>
              </c:numCache>
            </c:numRef>
          </c:yVal>
          <c:smooth val="0"/>
        </c:ser>
        <c:dLbls>
          <c:showLegendKey val="0"/>
          <c:showVal val="0"/>
          <c:showCatName val="0"/>
          <c:showSerName val="0"/>
          <c:showPercent val="0"/>
          <c:showBubbleSize val="0"/>
        </c:dLbls>
        <c:axId val="622082736"/>
        <c:axId val="622082176"/>
      </c:scatterChart>
      <c:valAx>
        <c:axId val="62208273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82176"/>
        <c:crosses val="autoZero"/>
        <c:crossBetween val="midCat"/>
        <c:majorUnit val="5"/>
      </c:valAx>
      <c:valAx>
        <c:axId val="6220821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8273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Shiraz,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(All)'!$CZ$7:$CZ$107</c:f>
              <c:numCache>
                <c:formatCode>General</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(All)'!$CZ$7:$CZ$107</c:f>
              <c:numCache>
                <c:formatCode>General</c:formatCode>
                <c:ptCount val="101"/>
              </c:numCache>
            </c:numRef>
          </c:yVal>
          <c:smooth val="0"/>
        </c:ser>
        <c:dLbls>
          <c:showLegendKey val="0"/>
          <c:showVal val="0"/>
          <c:showCatName val="0"/>
          <c:showSerName val="0"/>
          <c:showPercent val="0"/>
          <c:showBubbleSize val="0"/>
        </c:dLbls>
        <c:axId val="622086096"/>
        <c:axId val="622085536"/>
      </c:scatterChart>
      <c:valAx>
        <c:axId val="62208609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85536"/>
        <c:crosses val="autoZero"/>
        <c:crossBetween val="midCat"/>
        <c:majorUnit val="5"/>
      </c:valAx>
      <c:valAx>
        <c:axId val="6220855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8609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Shiraz, Exports,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(All)'!$DA$7:$DA$107</c:f>
              <c:numCache>
                <c:formatCode>General</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(All)'!$DA$7:$DA$107</c:f>
              <c:numCache>
                <c:formatCode>General</c:formatCode>
                <c:ptCount val="101"/>
              </c:numCache>
            </c:numRef>
          </c:yVal>
          <c:smooth val="0"/>
        </c:ser>
        <c:dLbls>
          <c:showLegendKey val="0"/>
          <c:showVal val="0"/>
          <c:showCatName val="0"/>
          <c:showSerName val="0"/>
          <c:showPercent val="0"/>
          <c:showBubbleSize val="0"/>
        </c:dLbls>
        <c:axId val="622090016"/>
        <c:axId val="622089456"/>
      </c:scatterChart>
      <c:valAx>
        <c:axId val="62209001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89456"/>
        <c:crosses val="autoZero"/>
        <c:crossBetween val="midCat"/>
        <c:majorUnit val="5"/>
      </c:valAx>
      <c:valAx>
        <c:axId val="6220894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9001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baseline="0">
                <a:effectLst/>
              </a:rPr>
              <a:t>Shiraz, Bazaar (Local), in d/bushel</a:t>
            </a:r>
            <a:endParaRPr lang="en-US" sz="1800" b="1" i="0" u="none" strike="noStrike" kern="1200" baseline="0">
              <a:solidFill>
                <a:srgbClr val="000000"/>
              </a:solidFill>
              <a:latin typeface="Calibri"/>
              <a:ea typeface="Calibri"/>
              <a:cs typeface="Calibri"/>
            </a:endParaRP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(All)'!$DB$7:$DB$107</c:f>
              <c:numCache>
                <c:formatCode>General</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(All)'!$DB$7:$DB$107</c:f>
              <c:numCache>
                <c:formatCode>General</c:formatCode>
                <c:ptCount val="101"/>
              </c:numCache>
            </c:numRef>
          </c:yVal>
          <c:smooth val="0"/>
        </c:ser>
        <c:dLbls>
          <c:showLegendKey val="0"/>
          <c:showVal val="0"/>
          <c:showCatName val="0"/>
          <c:showSerName val="0"/>
          <c:showPercent val="0"/>
          <c:showBubbleSize val="0"/>
        </c:dLbls>
        <c:axId val="622093376"/>
        <c:axId val="622092816"/>
      </c:scatterChart>
      <c:valAx>
        <c:axId val="62209337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92816"/>
        <c:crosses val="autoZero"/>
        <c:crossBetween val="midCat"/>
        <c:majorUnit val="5"/>
      </c:valAx>
      <c:valAx>
        <c:axId val="6220928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9337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Egypt,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(All)'!$O$7:$O$107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(All)'!$O$7:$O$107</c:f>
              <c:numCache>
                <c:formatCode>0.0000</c:formatCode>
                <c:ptCount val="101"/>
              </c:numCache>
            </c:numRef>
          </c:yVal>
          <c:smooth val="0"/>
        </c:ser>
        <c:dLbls>
          <c:showLegendKey val="0"/>
          <c:showVal val="0"/>
          <c:showCatName val="0"/>
          <c:showSerName val="0"/>
          <c:showPercent val="0"/>
          <c:showBubbleSize val="0"/>
        </c:dLbls>
        <c:axId val="622096736"/>
        <c:axId val="622096176"/>
      </c:scatterChart>
      <c:valAx>
        <c:axId val="62209673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96176"/>
        <c:crosses val="autoZero"/>
        <c:crossBetween val="midCat"/>
        <c:majorUnit val="5"/>
      </c:valAx>
      <c:valAx>
        <c:axId val="6220961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09673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Egypt, Bazaar (Local),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6.4465260807916258E-2"/>
          <c:y val="1.8024038777882567E-2"/>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(All)'!$Q$7:$Q$107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(All)'!$Q$7:$Q$107</c:f>
              <c:numCache>
                <c:formatCode>0.0000</c:formatCode>
                <c:ptCount val="101"/>
              </c:numCache>
            </c:numRef>
          </c:yVal>
          <c:smooth val="0"/>
        </c:ser>
        <c:dLbls>
          <c:showLegendKey val="0"/>
          <c:showVal val="0"/>
          <c:showCatName val="0"/>
          <c:showSerName val="0"/>
          <c:showPercent val="0"/>
          <c:showBubbleSize val="0"/>
        </c:dLbls>
        <c:axId val="622100096"/>
        <c:axId val="622099536"/>
      </c:scatterChart>
      <c:valAx>
        <c:axId val="62210009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099536"/>
        <c:crosses val="autoZero"/>
        <c:crossBetween val="midCat"/>
        <c:majorUnit val="5"/>
      </c:valAx>
      <c:valAx>
        <c:axId val="6220995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0009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Egypt,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(All)'!$P$7:$P$107</c:f>
              <c:numCache>
                <c:formatCode>0.0000</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(All)'!$P$7:$P$107</c:f>
              <c:numCache>
                <c:formatCode>0.0000</c:formatCode>
                <c:ptCount val="101"/>
              </c:numCache>
            </c:numRef>
          </c:yVal>
          <c:smooth val="0"/>
        </c:ser>
        <c:dLbls>
          <c:showLegendKey val="0"/>
          <c:showVal val="0"/>
          <c:showCatName val="0"/>
          <c:showSerName val="0"/>
          <c:showPercent val="0"/>
          <c:showBubbleSize val="0"/>
        </c:dLbls>
        <c:axId val="622103456"/>
        <c:axId val="622102896"/>
      </c:scatterChart>
      <c:valAx>
        <c:axId val="62210345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02896"/>
        <c:crosses val="autoZero"/>
        <c:crossBetween val="midCat"/>
        <c:majorUnit val="5"/>
      </c:valAx>
      <c:valAx>
        <c:axId val="6221028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0345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India, Imports,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(All)'!$DC$7:$DC$107</c:f>
              <c:numCache>
                <c:formatCode>General</c:formatCode>
                <c:ptCount val="101"/>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(All)'!$DC$7:$DC$107</c:f>
              <c:numCache>
                <c:formatCode>General</c:formatCode>
                <c:ptCount val="101"/>
              </c:numCache>
            </c:numRef>
          </c:yVal>
          <c:smooth val="0"/>
        </c:ser>
        <c:dLbls>
          <c:showLegendKey val="0"/>
          <c:showVal val="0"/>
          <c:showCatName val="0"/>
          <c:showSerName val="0"/>
          <c:showPercent val="0"/>
          <c:showBubbleSize val="0"/>
        </c:dLbls>
        <c:axId val="622124176"/>
        <c:axId val="622123056"/>
      </c:scatterChart>
      <c:valAx>
        <c:axId val="62212417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23056"/>
        <c:crosses val="autoZero"/>
        <c:crossBetween val="midCat"/>
        <c:majorUnit val="5"/>
      </c:valAx>
      <c:valAx>
        <c:axId val="6221230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2417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r>
              <a:rPr lang="en-US" sz="1800" b="1" i="0" u="none" strike="noStrike" kern="1200" baseline="0">
                <a:solidFill>
                  <a:srgbClr val="000000"/>
                </a:solidFill>
                <a:latin typeface="Calibri"/>
                <a:ea typeface="Calibri"/>
                <a:cs typeface="Calibri"/>
              </a:rPr>
              <a:t>India, Exports, in d/bushel</a:t>
            </a:r>
          </a:p>
        </c:rich>
      </c:tx>
      <c:overlay val="0"/>
      <c:spPr>
        <a:noFill/>
        <a:ln>
          <a:noFill/>
        </a:ln>
        <a:effectLst/>
      </c:spPr>
      <c:txPr>
        <a:bodyPr rot="0" spcFirstLastPara="1" vertOverflow="ellipsis" vert="horz" wrap="square" anchor="ctr" anchorCtr="1"/>
        <a:lstStyle/>
        <a:p>
          <a:pPr algn="ctr" rtl="0">
            <a:defRPr lang="en-US" sz="1800" b="1" i="0" u="none" strike="noStrike" kern="1200" spc="0" baseline="0">
              <a:solidFill>
                <a:srgbClr val="000000"/>
              </a:solidFill>
              <a:latin typeface="Calibri"/>
              <a:ea typeface="Calibri"/>
              <a:cs typeface="Calibri"/>
            </a:defRPr>
          </a:pPr>
          <a:endParaRPr lang="en-US"/>
        </a:p>
      </c:txPr>
    </c:title>
    <c:autoTitleDeleted val="0"/>
    <c:plotArea>
      <c:layout>
        <c:manualLayout>
          <c:layoutTarget val="inner"/>
          <c:xMode val="edge"/>
          <c:yMode val="edge"/>
          <c:x val="8.3622348930521617E-2"/>
          <c:y val="0.10716057530380958"/>
          <c:w val="0.89530485413461247"/>
          <c:h val="0.80598493468663235"/>
        </c:manualLayout>
      </c:layout>
      <c:scatterChart>
        <c:scatterStyle val="lineMarker"/>
        <c:varyColors val="0"/>
        <c:ser>
          <c:idx val="1"/>
          <c:order val="0"/>
          <c:spPr>
            <a:ln w="19050" cap="rnd" cmpd="sng">
              <a:solidFill>
                <a:schemeClr val="accent1">
                  <a:lumMod val="50000"/>
                </a:schemeClr>
              </a:solidFill>
              <a:round/>
            </a:ln>
            <a:effectLst>
              <a:glow>
                <a:schemeClr val="accent1">
                  <a:alpha val="40000"/>
                </a:schemeClr>
              </a:glow>
            </a:effectLst>
          </c:spPr>
          <c:marker>
            <c:symbol val="circle"/>
            <c:size val="5"/>
            <c:spPr>
              <a:solidFill>
                <a:schemeClr val="accent2"/>
              </a:solidFill>
              <a:ln w="9525">
                <a:solidFill>
                  <a:schemeClr val="accent2"/>
                </a:solidFill>
              </a:ln>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(All)'!$DD$7:$DD$107</c:f>
              <c:numCache>
                <c:formatCode>General</c:formatCode>
                <c:ptCount val="101"/>
                <c:pt idx="21" formatCode="0.0000">
                  <c:v>45.798465616883675</c:v>
                </c:pt>
                <c:pt idx="22" formatCode="0.0000">
                  <c:v>42.853151712720816</c:v>
                </c:pt>
                <c:pt idx="23" formatCode="0.0000">
                  <c:v>35.192458031018845</c:v>
                </c:pt>
                <c:pt idx="24" formatCode="0.0000">
                  <c:v>52.000490633384445</c:v>
                </c:pt>
                <c:pt idx="25" formatCode="0.0000">
                  <c:v>54.347968961976974</c:v>
                </c:pt>
                <c:pt idx="26" formatCode="0.0000">
                  <c:v>71.668187467191629</c:v>
                </c:pt>
                <c:pt idx="27" formatCode="0.0000">
                  <c:v>53.63068228321675</c:v>
                </c:pt>
                <c:pt idx="28" formatCode="0.0000">
                  <c:v>46.868016536253833</c:v>
                </c:pt>
                <c:pt idx="29" formatCode="0.0000">
                  <c:v>55.483197561542937</c:v>
                </c:pt>
                <c:pt idx="30" formatCode="0.0000">
                  <c:v>62.209305395659285</c:v>
                </c:pt>
                <c:pt idx="31" formatCode="0.0000">
                  <c:v>41.811190082786993</c:v>
                </c:pt>
                <c:pt idx="32" formatCode="0.0000">
                  <c:v>47.60630927936451</c:v>
                </c:pt>
                <c:pt idx="33" formatCode="0.0000">
                  <c:v>59.250141681994762</c:v>
                </c:pt>
                <c:pt idx="34" formatCode="0.0000">
                  <c:v>55.228225849330407</c:v>
                </c:pt>
                <c:pt idx="35" formatCode="0.0000">
                  <c:v>49.05245949324609</c:v>
                </c:pt>
                <c:pt idx="36" formatCode="0.0000">
                  <c:v>42.603157167845751</c:v>
                </c:pt>
                <c:pt idx="37" formatCode="0.0000">
                  <c:v>51.182410101896046</c:v>
                </c:pt>
                <c:pt idx="38" formatCode="0.0000">
                  <c:v>57.76172109010561</c:v>
                </c:pt>
                <c:pt idx="39" formatCode="0.0000">
                  <c:v>59.398399472022142</c:v>
                </c:pt>
                <c:pt idx="40" formatCode="0.0000">
                  <c:v>56.893448003854708</c:v>
                </c:pt>
                <c:pt idx="41" formatCode="0.0000">
                  <c:v>46.846797214011232</c:v>
                </c:pt>
                <c:pt idx="42" formatCode="0.0000">
                  <c:v>49.237241852211852</c:v>
                </c:pt>
                <c:pt idx="43" formatCode="0.0000">
                  <c:v>45.063773314078858</c:v>
                </c:pt>
                <c:pt idx="44" formatCode="0.0000">
                  <c:v>40.264772848301753</c:v>
                </c:pt>
                <c:pt idx="45" formatCode="0.0000">
                  <c:v>37.019422784391566</c:v>
                </c:pt>
                <c:pt idx="46" formatCode="0.0000">
                  <c:v>36.714928807616126</c:v>
                </c:pt>
                <c:pt idx="47" formatCode="0.0000">
                  <c:v>39.194847631999743</c:v>
                </c:pt>
                <c:pt idx="48" formatCode="0.0000">
                  <c:v>38.940689482979629</c:v>
                </c:pt>
                <c:pt idx="49" formatCode="0.0000">
                  <c:v>39.083852147924617</c:v>
                </c:pt>
                <c:pt idx="50" formatCode="0.0000">
                  <c:v>41.608947679970008</c:v>
                </c:pt>
                <c:pt idx="51" formatCode="0.0000">
                  <c:v>42.743333423064108</c:v>
                </c:pt>
                <c:pt idx="52" formatCode="0.0000">
                  <c:v>41.761671246829117</c:v>
                </c:pt>
                <c:pt idx="53" formatCode="0.0000">
                  <c:v>36.720161859974439</c:v>
                </c:pt>
                <c:pt idx="54" formatCode="0.0000">
                  <c:v>27.081061322308653</c:v>
                </c:pt>
                <c:pt idx="55" formatCode="0.0000">
                  <c:v>27.374778822519495</c:v>
                </c:pt>
                <c:pt idx="56" formatCode="0.0000">
                  <c:v>37.922893574179298</c:v>
                </c:pt>
                <c:pt idx="57" formatCode="0.0000">
                  <c:v>48.336886130841343</c:v>
                </c:pt>
                <c:pt idx="58" formatCode="0.0000">
                  <c:v>41.45923520289665</c:v>
                </c:pt>
                <c:pt idx="59" formatCode="0.0000">
                  <c:v>38.814505656181865</c:v>
                </c:pt>
                <c:pt idx="60" formatCode="0.0000">
                  <c:v>39.343848718872792</c:v>
                </c:pt>
                <c:pt idx="61" formatCode="0.0000">
                  <c:v>42.675491515452919</c:v>
                </c:pt>
                <c:pt idx="62" formatCode="0.0000">
                  <c:v>36.172634581341093</c:v>
                </c:pt>
                <c:pt idx="63" formatCode="0.0000">
                  <c:v>33.309057529789854</c:v>
                </c:pt>
                <c:pt idx="64" formatCode="0.0000">
                  <c:v>33.725886748339967</c:v>
                </c:pt>
                <c:pt idx="65" formatCode="0.0000">
                  <c:v>34.112863746293748</c:v>
                </c:pt>
                <c:pt idx="66" formatCode="0.0000">
                  <c:v>39.640595503052459</c:v>
                </c:pt>
                <c:pt idx="67" formatCode="0.0000">
                  <c:v>39.711134331590173</c:v>
                </c:pt>
                <c:pt idx="68" formatCode="0.0000">
                  <c:v>51.624014581499921</c:v>
                </c:pt>
                <c:pt idx="69" formatCode="0.0000">
                  <c:v>50.481507703879004</c:v>
                </c:pt>
                <c:pt idx="70" formatCode="0.0000">
                  <c:v>42.011151414823694</c:v>
                </c:pt>
                <c:pt idx="71" formatCode="0.0000">
                  <c:v>37.128793518654767</c:v>
                </c:pt>
                <c:pt idx="72" formatCode="0.0000">
                  <c:v>38.423749089864003</c:v>
                </c:pt>
                <c:pt idx="73" formatCode="0.0000">
                  <c:v>40.995690176821299</c:v>
                </c:pt>
                <c:pt idx="74" formatCode="0.0000">
                  <c:v>32.347749107755632</c:v>
                </c:pt>
                <c:pt idx="75" formatCode="0.0000">
                  <c:v>37.669130620015608</c:v>
                </c:pt>
                <c:pt idx="76" formatCode="0.0000">
                  <c:v>36.203562794517651</c:v>
                </c:pt>
                <c:pt idx="77" formatCode="0.0000">
                  <c:v>35.771624143382873</c:v>
                </c:pt>
                <c:pt idx="78" formatCode="0.0000">
                  <c:v>42.891739838038283</c:v>
                </c:pt>
                <c:pt idx="79" formatCode="0.0000">
                  <c:v>55.703926309381202</c:v>
                </c:pt>
                <c:pt idx="80" formatCode="0.0000">
                  <c:v>68.590947070074805</c:v>
                </c:pt>
                <c:pt idx="81" formatCode="0.0000">
                  <c:v>46.824624038712201</c:v>
                </c:pt>
                <c:pt idx="82" formatCode="0.0000">
                  <c:v>64.25030413625305</c:v>
                </c:pt>
                <c:pt idx="83" formatCode="0.0000">
                  <c:v>41.563080438607926</c:v>
                </c:pt>
                <c:pt idx="84" formatCode="0.0000">
                  <c:v>40.181103634428233</c:v>
                </c:pt>
                <c:pt idx="85" formatCode="0.0000">
                  <c:v>44.039268878171704</c:v>
                </c:pt>
                <c:pt idx="86" formatCode="0.0000">
                  <c:v>45.807379920490099</c:v>
                </c:pt>
                <c:pt idx="87" formatCode="0.0000">
                  <c:v>44.307129415406678</c:v>
                </c:pt>
                <c:pt idx="88" formatCode="0.0000">
                  <c:v>42.277919436478975</c:v>
                </c:pt>
                <c:pt idx="89" formatCode="0.0000">
                  <c:v>47.723384004605499</c:v>
                </c:pt>
                <c:pt idx="90" formatCode="0.0000">
                  <c:v>34.382705636999326</c:v>
                </c:pt>
                <c:pt idx="91" formatCode="0.0000">
                  <c:v>23.918514486086405</c:v>
                </c:pt>
              </c:numCache>
            </c:numRef>
          </c:yVal>
          <c:smooth val="0"/>
        </c:ser>
        <c:ser>
          <c:idx val="0"/>
          <c:order val="1"/>
          <c:spPr>
            <a:ln w="19050" cap="rnd" cmpd="sng">
              <a:solidFill>
                <a:schemeClr val="accent1">
                  <a:lumMod val="50000"/>
                </a:schemeClr>
              </a:solidFill>
              <a:round/>
            </a:ln>
            <a:effectLst>
              <a:glow>
                <a:schemeClr val="accent1">
                  <a:alpha val="40000"/>
                </a:schemeClr>
              </a:glow>
            </a:effectLst>
          </c:spPr>
          <c:marker>
            <c:symbol val="circle"/>
            <c:size val="5"/>
            <c:spPr>
              <a:solidFill>
                <a:schemeClr val="accent1">
                  <a:lumMod val="40000"/>
                  <a:lumOff val="60000"/>
                </a:schemeClr>
              </a:solidFill>
              <a:ln w="9525">
                <a:solidFill>
                  <a:schemeClr val="accent1"/>
                </a:solidFill>
              </a:ln>
              <a:effectLst>
                <a:glow>
                  <a:schemeClr val="accent1">
                    <a:alpha val="40000"/>
                  </a:schemeClr>
                </a:glow>
              </a:effectLst>
            </c:spPr>
          </c:marker>
          <c:xVal>
            <c:numRef>
              <c:f>'Wheat (All)'!$A$7:$A$107</c:f>
              <c:numCache>
                <c:formatCode>General</c:formatCode>
                <c:ptCount val="101"/>
                <c:pt idx="0">
                  <c:v>1840</c:v>
                </c:pt>
                <c:pt idx="1">
                  <c:v>1841</c:v>
                </c:pt>
                <c:pt idx="2">
                  <c:v>1842</c:v>
                </c:pt>
                <c:pt idx="3">
                  <c:v>1843</c:v>
                </c:pt>
                <c:pt idx="4">
                  <c:v>1844</c:v>
                </c:pt>
                <c:pt idx="5">
                  <c:v>1845</c:v>
                </c:pt>
                <c:pt idx="6">
                  <c:v>1846</c:v>
                </c:pt>
                <c:pt idx="7">
                  <c:v>1847</c:v>
                </c:pt>
                <c:pt idx="8">
                  <c:v>1848</c:v>
                </c:pt>
                <c:pt idx="9">
                  <c:v>1849</c:v>
                </c:pt>
                <c:pt idx="10">
                  <c:v>1850</c:v>
                </c:pt>
                <c:pt idx="11">
                  <c:v>1851</c:v>
                </c:pt>
                <c:pt idx="12">
                  <c:v>1852</c:v>
                </c:pt>
                <c:pt idx="13">
                  <c:v>1853</c:v>
                </c:pt>
                <c:pt idx="14">
                  <c:v>1854</c:v>
                </c:pt>
                <c:pt idx="15">
                  <c:v>1855</c:v>
                </c:pt>
                <c:pt idx="16">
                  <c:v>1856</c:v>
                </c:pt>
                <c:pt idx="17">
                  <c:v>1857</c:v>
                </c:pt>
                <c:pt idx="18">
                  <c:v>1858</c:v>
                </c:pt>
                <c:pt idx="19">
                  <c:v>1859</c:v>
                </c:pt>
                <c:pt idx="20">
                  <c:v>1860</c:v>
                </c:pt>
                <c:pt idx="21">
                  <c:v>1861</c:v>
                </c:pt>
                <c:pt idx="22">
                  <c:v>1862</c:v>
                </c:pt>
                <c:pt idx="23">
                  <c:v>1863</c:v>
                </c:pt>
                <c:pt idx="24">
                  <c:v>1864</c:v>
                </c:pt>
                <c:pt idx="25">
                  <c:v>1865</c:v>
                </c:pt>
                <c:pt idx="26">
                  <c:v>1866</c:v>
                </c:pt>
                <c:pt idx="27">
                  <c:v>1867</c:v>
                </c:pt>
                <c:pt idx="28">
                  <c:v>1868</c:v>
                </c:pt>
                <c:pt idx="29">
                  <c:v>1869</c:v>
                </c:pt>
                <c:pt idx="30">
                  <c:v>1870</c:v>
                </c:pt>
                <c:pt idx="31">
                  <c:v>1871</c:v>
                </c:pt>
                <c:pt idx="32">
                  <c:v>1872</c:v>
                </c:pt>
                <c:pt idx="33">
                  <c:v>1873</c:v>
                </c:pt>
                <c:pt idx="34">
                  <c:v>1874</c:v>
                </c:pt>
                <c:pt idx="35">
                  <c:v>1875</c:v>
                </c:pt>
                <c:pt idx="36">
                  <c:v>1876</c:v>
                </c:pt>
                <c:pt idx="37">
                  <c:v>1877</c:v>
                </c:pt>
                <c:pt idx="38">
                  <c:v>1878</c:v>
                </c:pt>
                <c:pt idx="39">
                  <c:v>1879</c:v>
                </c:pt>
                <c:pt idx="40">
                  <c:v>1880</c:v>
                </c:pt>
                <c:pt idx="41">
                  <c:v>1881</c:v>
                </c:pt>
                <c:pt idx="42">
                  <c:v>1882</c:v>
                </c:pt>
                <c:pt idx="43">
                  <c:v>1883</c:v>
                </c:pt>
                <c:pt idx="44">
                  <c:v>1884</c:v>
                </c:pt>
                <c:pt idx="45">
                  <c:v>1885</c:v>
                </c:pt>
                <c:pt idx="46">
                  <c:v>1886</c:v>
                </c:pt>
                <c:pt idx="47">
                  <c:v>1887</c:v>
                </c:pt>
                <c:pt idx="48">
                  <c:v>1888</c:v>
                </c:pt>
                <c:pt idx="49">
                  <c:v>1889</c:v>
                </c:pt>
                <c:pt idx="50">
                  <c:v>1890</c:v>
                </c:pt>
                <c:pt idx="51">
                  <c:v>1891</c:v>
                </c:pt>
                <c:pt idx="52">
                  <c:v>1892</c:v>
                </c:pt>
                <c:pt idx="53">
                  <c:v>1893</c:v>
                </c:pt>
                <c:pt idx="54">
                  <c:v>1894</c:v>
                </c:pt>
                <c:pt idx="55">
                  <c:v>1895</c:v>
                </c:pt>
                <c:pt idx="56">
                  <c:v>1896</c:v>
                </c:pt>
                <c:pt idx="57">
                  <c:v>1897</c:v>
                </c:pt>
                <c:pt idx="58">
                  <c:v>1898</c:v>
                </c:pt>
                <c:pt idx="59">
                  <c:v>1899</c:v>
                </c:pt>
                <c:pt idx="60">
                  <c:v>1900</c:v>
                </c:pt>
                <c:pt idx="61">
                  <c:v>1901</c:v>
                </c:pt>
                <c:pt idx="62">
                  <c:v>1902</c:v>
                </c:pt>
                <c:pt idx="63">
                  <c:v>1903</c:v>
                </c:pt>
                <c:pt idx="64">
                  <c:v>1904</c:v>
                </c:pt>
                <c:pt idx="65">
                  <c:v>1905</c:v>
                </c:pt>
                <c:pt idx="66">
                  <c:v>1906</c:v>
                </c:pt>
                <c:pt idx="67">
                  <c:v>1907</c:v>
                </c:pt>
                <c:pt idx="68">
                  <c:v>1908</c:v>
                </c:pt>
                <c:pt idx="69">
                  <c:v>1909</c:v>
                </c:pt>
                <c:pt idx="70">
                  <c:v>1910</c:v>
                </c:pt>
                <c:pt idx="71">
                  <c:v>1911</c:v>
                </c:pt>
                <c:pt idx="72">
                  <c:v>1912</c:v>
                </c:pt>
                <c:pt idx="73">
                  <c:v>1913</c:v>
                </c:pt>
                <c:pt idx="74">
                  <c:v>1914</c:v>
                </c:pt>
                <c:pt idx="75">
                  <c:v>1915</c:v>
                </c:pt>
                <c:pt idx="76">
                  <c:v>1916</c:v>
                </c:pt>
                <c:pt idx="77">
                  <c:v>1917</c:v>
                </c:pt>
                <c:pt idx="78">
                  <c:v>1918</c:v>
                </c:pt>
                <c:pt idx="79">
                  <c:v>1919</c:v>
                </c:pt>
                <c:pt idx="80">
                  <c:v>1920</c:v>
                </c:pt>
                <c:pt idx="81">
                  <c:v>1921</c:v>
                </c:pt>
                <c:pt idx="82">
                  <c:v>1922</c:v>
                </c:pt>
                <c:pt idx="83">
                  <c:v>1923</c:v>
                </c:pt>
                <c:pt idx="84">
                  <c:v>1924</c:v>
                </c:pt>
                <c:pt idx="85">
                  <c:v>1925</c:v>
                </c:pt>
                <c:pt idx="86">
                  <c:v>1926</c:v>
                </c:pt>
                <c:pt idx="87">
                  <c:v>1927</c:v>
                </c:pt>
                <c:pt idx="88">
                  <c:v>1928</c:v>
                </c:pt>
                <c:pt idx="89">
                  <c:v>1929</c:v>
                </c:pt>
                <c:pt idx="90">
                  <c:v>1930</c:v>
                </c:pt>
                <c:pt idx="91">
                  <c:v>1931</c:v>
                </c:pt>
                <c:pt idx="92">
                  <c:v>1932</c:v>
                </c:pt>
                <c:pt idx="93">
                  <c:v>1933</c:v>
                </c:pt>
                <c:pt idx="94">
                  <c:v>1934</c:v>
                </c:pt>
                <c:pt idx="95">
                  <c:v>1935</c:v>
                </c:pt>
                <c:pt idx="96">
                  <c:v>1936</c:v>
                </c:pt>
                <c:pt idx="97">
                  <c:v>1937</c:v>
                </c:pt>
                <c:pt idx="98">
                  <c:v>1938</c:v>
                </c:pt>
                <c:pt idx="99">
                  <c:v>1939</c:v>
                </c:pt>
                <c:pt idx="100">
                  <c:v>1940</c:v>
                </c:pt>
              </c:numCache>
            </c:numRef>
          </c:xVal>
          <c:yVal>
            <c:numRef>
              <c:f>'Wheat (All)'!$DD$7:$DD$107</c:f>
              <c:numCache>
                <c:formatCode>General</c:formatCode>
                <c:ptCount val="101"/>
                <c:pt idx="21" formatCode="0.0000">
                  <c:v>45.798465616883675</c:v>
                </c:pt>
                <c:pt idx="22" formatCode="0.0000">
                  <c:v>42.853151712720816</c:v>
                </c:pt>
                <c:pt idx="23" formatCode="0.0000">
                  <c:v>35.192458031018845</c:v>
                </c:pt>
                <c:pt idx="24" formatCode="0.0000">
                  <c:v>52.000490633384445</c:v>
                </c:pt>
                <c:pt idx="25" formatCode="0.0000">
                  <c:v>54.347968961976974</c:v>
                </c:pt>
                <c:pt idx="26" formatCode="0.0000">
                  <c:v>71.668187467191629</c:v>
                </c:pt>
                <c:pt idx="27" formatCode="0.0000">
                  <c:v>53.63068228321675</c:v>
                </c:pt>
                <c:pt idx="28" formatCode="0.0000">
                  <c:v>46.868016536253833</c:v>
                </c:pt>
                <c:pt idx="29" formatCode="0.0000">
                  <c:v>55.483197561542937</c:v>
                </c:pt>
                <c:pt idx="30" formatCode="0.0000">
                  <c:v>62.209305395659285</c:v>
                </c:pt>
                <c:pt idx="31" formatCode="0.0000">
                  <c:v>41.811190082786993</c:v>
                </c:pt>
                <c:pt idx="32" formatCode="0.0000">
                  <c:v>47.60630927936451</c:v>
                </c:pt>
                <c:pt idx="33" formatCode="0.0000">
                  <c:v>59.250141681994762</c:v>
                </c:pt>
                <c:pt idx="34" formatCode="0.0000">
                  <c:v>55.228225849330407</c:v>
                </c:pt>
                <c:pt idx="35" formatCode="0.0000">
                  <c:v>49.05245949324609</c:v>
                </c:pt>
                <c:pt idx="36" formatCode="0.0000">
                  <c:v>42.603157167845751</c:v>
                </c:pt>
                <c:pt idx="37" formatCode="0.0000">
                  <c:v>51.182410101896046</c:v>
                </c:pt>
                <c:pt idx="38" formatCode="0.0000">
                  <c:v>57.76172109010561</c:v>
                </c:pt>
                <c:pt idx="39" formatCode="0.0000">
                  <c:v>59.398399472022142</c:v>
                </c:pt>
                <c:pt idx="40" formatCode="0.0000">
                  <c:v>56.893448003854708</c:v>
                </c:pt>
                <c:pt idx="41" formatCode="0.0000">
                  <c:v>46.846797214011232</c:v>
                </c:pt>
                <c:pt idx="42" formatCode="0.0000">
                  <c:v>49.237241852211852</c:v>
                </c:pt>
                <c:pt idx="43" formatCode="0.0000">
                  <c:v>45.063773314078858</c:v>
                </c:pt>
                <c:pt idx="44" formatCode="0.0000">
                  <c:v>40.264772848301753</c:v>
                </c:pt>
                <c:pt idx="45" formatCode="0.0000">
                  <c:v>37.019422784391566</c:v>
                </c:pt>
                <c:pt idx="46" formatCode="0.0000">
                  <c:v>36.714928807616126</c:v>
                </c:pt>
                <c:pt idx="47" formatCode="0.0000">
                  <c:v>39.194847631999743</c:v>
                </c:pt>
                <c:pt idx="48" formatCode="0.0000">
                  <c:v>38.940689482979629</c:v>
                </c:pt>
                <c:pt idx="49" formatCode="0.0000">
                  <c:v>39.083852147924617</c:v>
                </c:pt>
                <c:pt idx="50" formatCode="0.0000">
                  <c:v>41.608947679970008</c:v>
                </c:pt>
                <c:pt idx="51" formatCode="0.0000">
                  <c:v>42.743333423064108</c:v>
                </c:pt>
                <c:pt idx="52" formatCode="0.0000">
                  <c:v>41.761671246829117</c:v>
                </c:pt>
                <c:pt idx="53" formatCode="0.0000">
                  <c:v>36.720161859974439</c:v>
                </c:pt>
                <c:pt idx="54" formatCode="0.0000">
                  <c:v>27.081061322308653</c:v>
                </c:pt>
                <c:pt idx="55" formatCode="0.0000">
                  <c:v>27.374778822519495</c:v>
                </c:pt>
                <c:pt idx="56" formatCode="0.0000">
                  <c:v>37.922893574179298</c:v>
                </c:pt>
                <c:pt idx="57" formatCode="0.0000">
                  <c:v>48.336886130841343</c:v>
                </c:pt>
                <c:pt idx="58" formatCode="0.0000">
                  <c:v>41.45923520289665</c:v>
                </c:pt>
                <c:pt idx="59" formatCode="0.0000">
                  <c:v>38.814505656181865</c:v>
                </c:pt>
                <c:pt idx="60" formatCode="0.0000">
                  <c:v>39.343848718872792</c:v>
                </c:pt>
                <c:pt idx="61" formatCode="0.0000">
                  <c:v>42.675491515452919</c:v>
                </c:pt>
                <c:pt idx="62" formatCode="0.0000">
                  <c:v>36.172634581341093</c:v>
                </c:pt>
                <c:pt idx="63" formatCode="0.0000">
                  <c:v>33.309057529789854</c:v>
                </c:pt>
                <c:pt idx="64" formatCode="0.0000">
                  <c:v>33.725886748339967</c:v>
                </c:pt>
                <c:pt idx="65" formatCode="0.0000">
                  <c:v>34.112863746293748</c:v>
                </c:pt>
                <c:pt idx="66" formatCode="0.0000">
                  <c:v>39.640595503052459</c:v>
                </c:pt>
                <c:pt idx="67" formatCode="0.0000">
                  <c:v>39.711134331590173</c:v>
                </c:pt>
                <c:pt idx="68" formatCode="0.0000">
                  <c:v>51.624014581499921</c:v>
                </c:pt>
                <c:pt idx="69" formatCode="0.0000">
                  <c:v>50.481507703879004</c:v>
                </c:pt>
                <c:pt idx="70" formatCode="0.0000">
                  <c:v>42.011151414823694</c:v>
                </c:pt>
                <c:pt idx="71" formatCode="0.0000">
                  <c:v>37.128793518654767</c:v>
                </c:pt>
                <c:pt idx="72" formatCode="0.0000">
                  <c:v>38.423749089864003</c:v>
                </c:pt>
                <c:pt idx="73" formatCode="0.0000">
                  <c:v>40.995690176821299</c:v>
                </c:pt>
                <c:pt idx="74" formatCode="0.0000">
                  <c:v>32.347749107755632</c:v>
                </c:pt>
                <c:pt idx="75" formatCode="0.0000">
                  <c:v>37.669130620015608</c:v>
                </c:pt>
                <c:pt idx="76" formatCode="0.0000">
                  <c:v>36.203562794517651</c:v>
                </c:pt>
                <c:pt idx="77" formatCode="0.0000">
                  <c:v>35.771624143382873</c:v>
                </c:pt>
                <c:pt idx="78" formatCode="0.0000">
                  <c:v>42.891739838038283</c:v>
                </c:pt>
                <c:pt idx="79" formatCode="0.0000">
                  <c:v>55.703926309381202</c:v>
                </c:pt>
                <c:pt idx="80" formatCode="0.0000">
                  <c:v>68.590947070074805</c:v>
                </c:pt>
                <c:pt idx="81" formatCode="0.0000">
                  <c:v>46.824624038712201</c:v>
                </c:pt>
                <c:pt idx="82" formatCode="0.0000">
                  <c:v>64.25030413625305</c:v>
                </c:pt>
                <c:pt idx="83" formatCode="0.0000">
                  <c:v>41.563080438607926</c:v>
                </c:pt>
                <c:pt idx="84" formatCode="0.0000">
                  <c:v>40.181103634428233</c:v>
                </c:pt>
                <c:pt idx="85" formatCode="0.0000">
                  <c:v>44.039268878171704</c:v>
                </c:pt>
                <c:pt idx="86" formatCode="0.0000">
                  <c:v>45.807379920490099</c:v>
                </c:pt>
                <c:pt idx="87" formatCode="0.0000">
                  <c:v>44.307129415406678</c:v>
                </c:pt>
                <c:pt idx="88" formatCode="0.0000">
                  <c:v>42.277919436478975</c:v>
                </c:pt>
                <c:pt idx="89" formatCode="0.0000">
                  <c:v>47.723384004605499</c:v>
                </c:pt>
                <c:pt idx="90" formatCode="0.0000">
                  <c:v>34.382705636999326</c:v>
                </c:pt>
                <c:pt idx="91" formatCode="0.0000">
                  <c:v>23.918514486086405</c:v>
                </c:pt>
              </c:numCache>
            </c:numRef>
          </c:yVal>
          <c:smooth val="0"/>
        </c:ser>
        <c:dLbls>
          <c:showLegendKey val="0"/>
          <c:showVal val="0"/>
          <c:showCatName val="0"/>
          <c:showSerName val="0"/>
          <c:showPercent val="0"/>
          <c:showBubbleSize val="0"/>
        </c:dLbls>
        <c:axId val="622128096"/>
        <c:axId val="622127536"/>
      </c:scatterChart>
      <c:valAx>
        <c:axId val="622128096"/>
        <c:scaling>
          <c:orientation val="minMax"/>
          <c:min val="1850"/>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5400000" spcFirstLastPara="1" vertOverflow="ellipsis" wrap="square" anchor="ctr" anchorCtr="0"/>
          <a:lstStyle/>
          <a:p>
            <a:pPr algn="ctr">
              <a:defRPr lang="en-US" sz="1000" b="0" i="0" u="none" strike="noStrike" kern="1200" baseline="0">
                <a:solidFill>
                  <a:srgbClr val="000000"/>
                </a:solidFill>
                <a:latin typeface="Calibri"/>
                <a:ea typeface="Calibri"/>
                <a:cs typeface="Calibri"/>
              </a:defRPr>
            </a:pPr>
            <a:endParaRPr lang="en-US"/>
          </a:p>
        </c:txPr>
        <c:crossAx val="622127536"/>
        <c:crosses val="autoZero"/>
        <c:crossBetween val="midCat"/>
        <c:majorUnit val="5"/>
      </c:valAx>
      <c:valAx>
        <c:axId val="62212753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000" b="0" i="0" u="none" strike="noStrike" kern="1200" baseline="0">
                <a:solidFill>
                  <a:srgbClr val="000000"/>
                </a:solidFill>
                <a:latin typeface="Calibri"/>
                <a:ea typeface="Calibri"/>
                <a:cs typeface="Calibri"/>
              </a:defRPr>
            </a:pPr>
            <a:endParaRPr lang="en-US"/>
          </a:p>
        </c:txPr>
        <c:crossAx val="622128096"/>
        <c:crosses val="autoZero"/>
        <c:crossBetween val="midCat"/>
        <c:majorUnit val="10"/>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6" Type="http://schemas.openxmlformats.org/officeDocument/2006/relationships/chart" Target="../charts/chart26.xml"/><Relationship Id="rId21" Type="http://schemas.openxmlformats.org/officeDocument/2006/relationships/chart" Target="../charts/chart21.xml"/><Relationship Id="rId42" Type="http://schemas.openxmlformats.org/officeDocument/2006/relationships/chart" Target="../charts/chart42.xml"/><Relationship Id="rId47" Type="http://schemas.openxmlformats.org/officeDocument/2006/relationships/chart" Target="../charts/chart47.xml"/><Relationship Id="rId63" Type="http://schemas.openxmlformats.org/officeDocument/2006/relationships/chart" Target="../charts/chart63.xml"/><Relationship Id="rId68" Type="http://schemas.openxmlformats.org/officeDocument/2006/relationships/chart" Target="../charts/chart68.xml"/><Relationship Id="rId84" Type="http://schemas.openxmlformats.org/officeDocument/2006/relationships/chart" Target="../charts/chart84.xml"/><Relationship Id="rId89" Type="http://schemas.openxmlformats.org/officeDocument/2006/relationships/chart" Target="../charts/chart89.xml"/><Relationship Id="rId16" Type="http://schemas.openxmlformats.org/officeDocument/2006/relationships/chart" Target="../charts/chart16.xml"/><Relationship Id="rId107" Type="http://schemas.openxmlformats.org/officeDocument/2006/relationships/chart" Target="../charts/chart107.xml"/><Relationship Id="rId11" Type="http://schemas.openxmlformats.org/officeDocument/2006/relationships/chart" Target="../charts/chart11.xml"/><Relationship Id="rId32" Type="http://schemas.openxmlformats.org/officeDocument/2006/relationships/chart" Target="../charts/chart32.xml"/><Relationship Id="rId37" Type="http://schemas.openxmlformats.org/officeDocument/2006/relationships/chart" Target="../charts/chart37.xml"/><Relationship Id="rId53" Type="http://schemas.openxmlformats.org/officeDocument/2006/relationships/chart" Target="../charts/chart53.xml"/><Relationship Id="rId58" Type="http://schemas.openxmlformats.org/officeDocument/2006/relationships/chart" Target="../charts/chart58.xml"/><Relationship Id="rId74" Type="http://schemas.openxmlformats.org/officeDocument/2006/relationships/chart" Target="../charts/chart74.xml"/><Relationship Id="rId79" Type="http://schemas.openxmlformats.org/officeDocument/2006/relationships/chart" Target="../charts/chart79.xml"/><Relationship Id="rId102" Type="http://schemas.openxmlformats.org/officeDocument/2006/relationships/chart" Target="../charts/chart102.xml"/><Relationship Id="rId5" Type="http://schemas.openxmlformats.org/officeDocument/2006/relationships/chart" Target="../charts/chart5.xml"/><Relationship Id="rId90" Type="http://schemas.openxmlformats.org/officeDocument/2006/relationships/chart" Target="../charts/chart90.xml"/><Relationship Id="rId95" Type="http://schemas.openxmlformats.org/officeDocument/2006/relationships/chart" Target="../charts/chart95.xml"/><Relationship Id="rId22" Type="http://schemas.openxmlformats.org/officeDocument/2006/relationships/chart" Target="../charts/chart22.xml"/><Relationship Id="rId27" Type="http://schemas.openxmlformats.org/officeDocument/2006/relationships/chart" Target="../charts/chart27.xml"/><Relationship Id="rId43" Type="http://schemas.openxmlformats.org/officeDocument/2006/relationships/chart" Target="../charts/chart43.xml"/><Relationship Id="rId48" Type="http://schemas.openxmlformats.org/officeDocument/2006/relationships/chart" Target="../charts/chart48.xml"/><Relationship Id="rId64" Type="http://schemas.openxmlformats.org/officeDocument/2006/relationships/chart" Target="../charts/chart64.xml"/><Relationship Id="rId69" Type="http://schemas.openxmlformats.org/officeDocument/2006/relationships/chart" Target="../charts/chart69.xml"/><Relationship Id="rId80" Type="http://schemas.openxmlformats.org/officeDocument/2006/relationships/chart" Target="../charts/chart80.xml"/><Relationship Id="rId85" Type="http://schemas.openxmlformats.org/officeDocument/2006/relationships/chart" Target="../charts/chart85.xml"/><Relationship Id="rId12" Type="http://schemas.openxmlformats.org/officeDocument/2006/relationships/chart" Target="../charts/chart12.xml"/><Relationship Id="rId17" Type="http://schemas.openxmlformats.org/officeDocument/2006/relationships/chart" Target="../charts/chart17.xml"/><Relationship Id="rId33" Type="http://schemas.openxmlformats.org/officeDocument/2006/relationships/chart" Target="../charts/chart33.xml"/><Relationship Id="rId38" Type="http://schemas.openxmlformats.org/officeDocument/2006/relationships/chart" Target="../charts/chart38.xml"/><Relationship Id="rId59" Type="http://schemas.openxmlformats.org/officeDocument/2006/relationships/chart" Target="../charts/chart59.xml"/><Relationship Id="rId103" Type="http://schemas.openxmlformats.org/officeDocument/2006/relationships/chart" Target="../charts/chart103.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70" Type="http://schemas.openxmlformats.org/officeDocument/2006/relationships/chart" Target="../charts/chart70.xml"/><Relationship Id="rId75" Type="http://schemas.openxmlformats.org/officeDocument/2006/relationships/chart" Target="../charts/chart75.xml"/><Relationship Id="rId83" Type="http://schemas.openxmlformats.org/officeDocument/2006/relationships/chart" Target="../charts/chart83.xml"/><Relationship Id="rId88" Type="http://schemas.openxmlformats.org/officeDocument/2006/relationships/chart" Target="../charts/chart88.xml"/><Relationship Id="rId91" Type="http://schemas.openxmlformats.org/officeDocument/2006/relationships/chart" Target="../charts/chart91.xml"/><Relationship Id="rId96" Type="http://schemas.openxmlformats.org/officeDocument/2006/relationships/chart" Target="../charts/chart96.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106" Type="http://schemas.openxmlformats.org/officeDocument/2006/relationships/chart" Target="../charts/chart106.xml"/><Relationship Id="rId10" Type="http://schemas.openxmlformats.org/officeDocument/2006/relationships/chart" Target="../charts/chart10.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73" Type="http://schemas.openxmlformats.org/officeDocument/2006/relationships/chart" Target="../charts/chart73.xml"/><Relationship Id="rId78" Type="http://schemas.openxmlformats.org/officeDocument/2006/relationships/chart" Target="../charts/chart78.xml"/><Relationship Id="rId81" Type="http://schemas.openxmlformats.org/officeDocument/2006/relationships/chart" Target="../charts/chart81.xml"/><Relationship Id="rId86" Type="http://schemas.openxmlformats.org/officeDocument/2006/relationships/chart" Target="../charts/chart86.xml"/><Relationship Id="rId94" Type="http://schemas.openxmlformats.org/officeDocument/2006/relationships/chart" Target="../charts/chart94.xml"/><Relationship Id="rId99" Type="http://schemas.openxmlformats.org/officeDocument/2006/relationships/chart" Target="../charts/chart99.xml"/><Relationship Id="rId101" Type="http://schemas.openxmlformats.org/officeDocument/2006/relationships/chart" Target="../charts/chart101.xml"/><Relationship Id="rId4" Type="http://schemas.openxmlformats.org/officeDocument/2006/relationships/chart" Target="../charts/chart4.xml"/><Relationship Id="rId9" Type="http://schemas.openxmlformats.org/officeDocument/2006/relationships/chart" Target="../charts/chart9.xml"/><Relationship Id="rId13" Type="http://schemas.openxmlformats.org/officeDocument/2006/relationships/chart" Target="../charts/chart13.xml"/><Relationship Id="rId18" Type="http://schemas.openxmlformats.org/officeDocument/2006/relationships/chart" Target="../charts/chart18.xml"/><Relationship Id="rId39" Type="http://schemas.openxmlformats.org/officeDocument/2006/relationships/chart" Target="../charts/chart39.xml"/><Relationship Id="rId34" Type="http://schemas.openxmlformats.org/officeDocument/2006/relationships/chart" Target="../charts/chart34.xml"/><Relationship Id="rId50" Type="http://schemas.openxmlformats.org/officeDocument/2006/relationships/chart" Target="../charts/chart50.xml"/><Relationship Id="rId55" Type="http://schemas.openxmlformats.org/officeDocument/2006/relationships/chart" Target="../charts/chart55.xml"/><Relationship Id="rId76" Type="http://schemas.openxmlformats.org/officeDocument/2006/relationships/chart" Target="../charts/chart76.xml"/><Relationship Id="rId97" Type="http://schemas.openxmlformats.org/officeDocument/2006/relationships/chart" Target="../charts/chart97.xml"/><Relationship Id="rId104" Type="http://schemas.openxmlformats.org/officeDocument/2006/relationships/chart" Target="../charts/chart104.xml"/><Relationship Id="rId7" Type="http://schemas.openxmlformats.org/officeDocument/2006/relationships/chart" Target="../charts/chart7.xml"/><Relationship Id="rId71" Type="http://schemas.openxmlformats.org/officeDocument/2006/relationships/chart" Target="../charts/chart71.xml"/><Relationship Id="rId92" Type="http://schemas.openxmlformats.org/officeDocument/2006/relationships/chart" Target="../charts/chart92.xml"/><Relationship Id="rId2" Type="http://schemas.openxmlformats.org/officeDocument/2006/relationships/chart" Target="../charts/chart2.xml"/><Relationship Id="rId29" Type="http://schemas.openxmlformats.org/officeDocument/2006/relationships/chart" Target="../charts/chart29.xml"/><Relationship Id="rId24" Type="http://schemas.openxmlformats.org/officeDocument/2006/relationships/chart" Target="../charts/chart24.xml"/><Relationship Id="rId40" Type="http://schemas.openxmlformats.org/officeDocument/2006/relationships/chart" Target="../charts/chart40.xml"/><Relationship Id="rId45" Type="http://schemas.openxmlformats.org/officeDocument/2006/relationships/chart" Target="../charts/chart45.xml"/><Relationship Id="rId66" Type="http://schemas.openxmlformats.org/officeDocument/2006/relationships/chart" Target="../charts/chart66.xml"/><Relationship Id="rId87" Type="http://schemas.openxmlformats.org/officeDocument/2006/relationships/chart" Target="../charts/chart87.xml"/><Relationship Id="rId61" Type="http://schemas.openxmlformats.org/officeDocument/2006/relationships/chart" Target="../charts/chart61.xml"/><Relationship Id="rId82" Type="http://schemas.openxmlformats.org/officeDocument/2006/relationships/chart" Target="../charts/chart82.xml"/><Relationship Id="rId19" Type="http://schemas.openxmlformats.org/officeDocument/2006/relationships/chart" Target="../charts/chart19.xml"/><Relationship Id="rId14" Type="http://schemas.openxmlformats.org/officeDocument/2006/relationships/chart" Target="../charts/chart14.xml"/><Relationship Id="rId30" Type="http://schemas.openxmlformats.org/officeDocument/2006/relationships/chart" Target="../charts/chart30.xml"/><Relationship Id="rId35" Type="http://schemas.openxmlformats.org/officeDocument/2006/relationships/chart" Target="../charts/chart35.xml"/><Relationship Id="rId56" Type="http://schemas.openxmlformats.org/officeDocument/2006/relationships/chart" Target="../charts/chart56.xml"/><Relationship Id="rId77" Type="http://schemas.openxmlformats.org/officeDocument/2006/relationships/chart" Target="../charts/chart77.xml"/><Relationship Id="rId100" Type="http://schemas.openxmlformats.org/officeDocument/2006/relationships/chart" Target="../charts/chart100.xml"/><Relationship Id="rId105" Type="http://schemas.openxmlformats.org/officeDocument/2006/relationships/chart" Target="../charts/chart105.xml"/><Relationship Id="rId8" Type="http://schemas.openxmlformats.org/officeDocument/2006/relationships/chart" Target="../charts/chart8.xml"/><Relationship Id="rId51" Type="http://schemas.openxmlformats.org/officeDocument/2006/relationships/chart" Target="../charts/chart51.xml"/><Relationship Id="rId72" Type="http://schemas.openxmlformats.org/officeDocument/2006/relationships/chart" Target="../charts/chart72.xml"/><Relationship Id="rId93" Type="http://schemas.openxmlformats.org/officeDocument/2006/relationships/chart" Target="../charts/chart93.xml"/><Relationship Id="rId98" Type="http://schemas.openxmlformats.org/officeDocument/2006/relationships/chart" Target="../charts/chart98.xml"/><Relationship Id="rId3" Type="http://schemas.openxmlformats.org/officeDocument/2006/relationships/chart" Target="../charts/chart3.xml"/><Relationship Id="rId25" Type="http://schemas.openxmlformats.org/officeDocument/2006/relationships/chart" Target="../charts/chart25.xml"/><Relationship Id="rId46" Type="http://schemas.openxmlformats.org/officeDocument/2006/relationships/chart" Target="../charts/chart46.xml"/><Relationship Id="rId67"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3.xml"/></Relationships>
</file>

<file path=xl/drawings/drawing1.xml><?xml version="1.0" encoding="utf-8"?>
<xdr:wsDr xmlns:xdr="http://schemas.openxmlformats.org/drawingml/2006/spreadsheetDrawing" xmlns:a="http://schemas.openxmlformats.org/drawingml/2006/main">
  <xdr:twoCellAnchor>
    <xdr:from>
      <xdr:col>12</xdr:col>
      <xdr:colOff>38100</xdr:colOff>
      <xdr:row>1</xdr:row>
      <xdr:rowOff>38100</xdr:rowOff>
    </xdr:from>
    <xdr:to>
      <xdr:col>22</xdr:col>
      <xdr:colOff>571500</xdr:colOff>
      <xdr:row>27</xdr:row>
      <xdr:rowOff>139700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25400</xdr:colOff>
      <xdr:row>30</xdr:row>
      <xdr:rowOff>50800</xdr:rowOff>
    </xdr:from>
    <xdr:to>
      <xdr:col>22</xdr:col>
      <xdr:colOff>558800</xdr:colOff>
      <xdr:row>56</xdr:row>
      <xdr:rowOff>165100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533400</xdr:colOff>
      <xdr:row>30</xdr:row>
      <xdr:rowOff>76200</xdr:rowOff>
    </xdr:from>
    <xdr:to>
      <xdr:col>34</xdr:col>
      <xdr:colOff>457200</xdr:colOff>
      <xdr:row>57</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25400</xdr:colOff>
      <xdr:row>59</xdr:row>
      <xdr:rowOff>50800</xdr:rowOff>
    </xdr:from>
    <xdr:to>
      <xdr:col>22</xdr:col>
      <xdr:colOff>558800</xdr:colOff>
      <xdr:row>85</xdr:row>
      <xdr:rowOff>152400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558800</xdr:colOff>
      <xdr:row>59</xdr:row>
      <xdr:rowOff>101600</xdr:rowOff>
    </xdr:from>
    <xdr:to>
      <xdr:col>34</xdr:col>
      <xdr:colOff>482600</xdr:colOff>
      <xdr:row>86</xdr:row>
      <xdr:rowOff>25400</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171450</xdr:colOff>
      <xdr:row>149</xdr:row>
      <xdr:rowOff>50800</xdr:rowOff>
    </xdr:from>
    <xdr:to>
      <xdr:col>11</xdr:col>
      <xdr:colOff>95250</xdr:colOff>
      <xdr:row>175</xdr:row>
      <xdr:rowOff>127000</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552450</xdr:colOff>
      <xdr:row>149</xdr:row>
      <xdr:rowOff>50800</xdr:rowOff>
    </xdr:from>
    <xdr:to>
      <xdr:col>22</xdr:col>
      <xdr:colOff>476250</xdr:colOff>
      <xdr:row>175</xdr:row>
      <xdr:rowOff>127000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552450</xdr:colOff>
      <xdr:row>149</xdr:row>
      <xdr:rowOff>76200</xdr:rowOff>
    </xdr:from>
    <xdr:to>
      <xdr:col>34</xdr:col>
      <xdr:colOff>476250</xdr:colOff>
      <xdr:row>176</xdr:row>
      <xdr:rowOff>25400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203200</xdr:colOff>
      <xdr:row>30</xdr:row>
      <xdr:rowOff>50800</xdr:rowOff>
    </xdr:from>
    <xdr:to>
      <xdr:col>11</xdr:col>
      <xdr:colOff>127000</xdr:colOff>
      <xdr:row>56</xdr:row>
      <xdr:rowOff>152400</xdr:rowOff>
    </xdr:to>
    <xdr:graphicFrame macro="">
      <xdr:nvGraphicFramePr>
        <xdr:cNvPr id="37" name="Chart 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228600</xdr:colOff>
      <xdr:row>59</xdr:row>
      <xdr:rowOff>50800</xdr:rowOff>
    </xdr:from>
    <xdr:to>
      <xdr:col>11</xdr:col>
      <xdr:colOff>152400</xdr:colOff>
      <xdr:row>85</xdr:row>
      <xdr:rowOff>152400</xdr:rowOff>
    </xdr:to>
    <xdr:graphicFrame macro="">
      <xdr:nvGraphicFramePr>
        <xdr:cNvPr id="38"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228600</xdr:colOff>
      <xdr:row>88</xdr:row>
      <xdr:rowOff>76200</xdr:rowOff>
    </xdr:from>
    <xdr:to>
      <xdr:col>11</xdr:col>
      <xdr:colOff>152400</xdr:colOff>
      <xdr:row>115</xdr:row>
      <xdr:rowOff>0</xdr:rowOff>
    </xdr:to>
    <xdr:graphicFrame macro="">
      <xdr:nvGraphicFramePr>
        <xdr:cNvPr id="39" name="Chart 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50800</xdr:colOff>
      <xdr:row>88</xdr:row>
      <xdr:rowOff>50800</xdr:rowOff>
    </xdr:from>
    <xdr:to>
      <xdr:col>22</xdr:col>
      <xdr:colOff>584200</xdr:colOff>
      <xdr:row>114</xdr:row>
      <xdr:rowOff>152400</xdr:rowOff>
    </xdr:to>
    <xdr:graphicFrame macro="">
      <xdr:nvGraphicFramePr>
        <xdr:cNvPr id="40"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24</xdr:col>
      <xdr:colOff>25400</xdr:colOff>
      <xdr:row>88</xdr:row>
      <xdr:rowOff>76200</xdr:rowOff>
    </xdr:from>
    <xdr:to>
      <xdr:col>34</xdr:col>
      <xdr:colOff>558800</xdr:colOff>
      <xdr:row>115</xdr:row>
      <xdr:rowOff>0</xdr:rowOff>
    </xdr:to>
    <xdr:graphicFrame macro="">
      <xdr:nvGraphicFramePr>
        <xdr:cNvPr id="41"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196850</xdr:colOff>
      <xdr:row>178</xdr:row>
      <xdr:rowOff>76200</xdr:rowOff>
    </xdr:from>
    <xdr:to>
      <xdr:col>11</xdr:col>
      <xdr:colOff>120650</xdr:colOff>
      <xdr:row>205</xdr:row>
      <xdr:rowOff>25400</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577850</xdr:colOff>
      <xdr:row>178</xdr:row>
      <xdr:rowOff>101600</xdr:rowOff>
    </xdr:from>
    <xdr:to>
      <xdr:col>22</xdr:col>
      <xdr:colOff>501650</xdr:colOff>
      <xdr:row>205</xdr:row>
      <xdr:rowOff>50800</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23</xdr:col>
      <xdr:colOff>577850</xdr:colOff>
      <xdr:row>178</xdr:row>
      <xdr:rowOff>101600</xdr:rowOff>
    </xdr:from>
    <xdr:to>
      <xdr:col>34</xdr:col>
      <xdr:colOff>501650</xdr:colOff>
      <xdr:row>205</xdr:row>
      <xdr:rowOff>50800</xdr:rowOff>
    </xdr:to>
    <xdr:graphicFrame macro="">
      <xdr:nvGraphicFramePr>
        <xdr:cNvPr id="4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222250</xdr:colOff>
      <xdr:row>207</xdr:row>
      <xdr:rowOff>127000</xdr:rowOff>
    </xdr:from>
    <xdr:to>
      <xdr:col>11</xdr:col>
      <xdr:colOff>146050</xdr:colOff>
      <xdr:row>234</xdr:row>
      <xdr:rowOff>76200</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23</xdr:col>
      <xdr:colOff>603250</xdr:colOff>
      <xdr:row>208</xdr:row>
      <xdr:rowOff>0</xdr:rowOff>
    </xdr:from>
    <xdr:to>
      <xdr:col>34</xdr:col>
      <xdr:colOff>527050</xdr:colOff>
      <xdr:row>234</xdr:row>
      <xdr:rowOff>76200</xdr:rowOff>
    </xdr:to>
    <xdr:graphicFrame macro="">
      <xdr:nvGraphicFramePr>
        <xdr:cNvPr id="51"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603250</xdr:colOff>
      <xdr:row>207</xdr:row>
      <xdr:rowOff>127000</xdr:rowOff>
    </xdr:from>
    <xdr:to>
      <xdr:col>22</xdr:col>
      <xdr:colOff>527050</xdr:colOff>
      <xdr:row>234</xdr:row>
      <xdr:rowOff>76200</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222250</xdr:colOff>
      <xdr:row>236</xdr:row>
      <xdr:rowOff>101600</xdr:rowOff>
    </xdr:from>
    <xdr:to>
      <xdr:col>11</xdr:col>
      <xdr:colOff>146050</xdr:colOff>
      <xdr:row>263</xdr:row>
      <xdr:rowOff>50800</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222250</xdr:colOff>
      <xdr:row>265</xdr:row>
      <xdr:rowOff>101600</xdr:rowOff>
    </xdr:from>
    <xdr:to>
      <xdr:col>11</xdr:col>
      <xdr:colOff>146050</xdr:colOff>
      <xdr:row>292</xdr:row>
      <xdr:rowOff>50800</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501650</xdr:colOff>
      <xdr:row>236</xdr:row>
      <xdr:rowOff>76200</xdr:rowOff>
    </xdr:from>
    <xdr:to>
      <xdr:col>22</xdr:col>
      <xdr:colOff>425450</xdr:colOff>
      <xdr:row>263</xdr:row>
      <xdr:rowOff>25400</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23</xdr:col>
      <xdr:colOff>501650</xdr:colOff>
      <xdr:row>236</xdr:row>
      <xdr:rowOff>76200</xdr:rowOff>
    </xdr:from>
    <xdr:to>
      <xdr:col>34</xdr:col>
      <xdr:colOff>425450</xdr:colOff>
      <xdr:row>263</xdr:row>
      <xdr:rowOff>25400</xdr:rowOff>
    </xdr:to>
    <xdr:graphicFrame macro="">
      <xdr:nvGraphicFramePr>
        <xdr:cNvPr id="56"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501650</xdr:colOff>
      <xdr:row>265</xdr:row>
      <xdr:rowOff>76200</xdr:rowOff>
    </xdr:from>
    <xdr:to>
      <xdr:col>22</xdr:col>
      <xdr:colOff>425450</xdr:colOff>
      <xdr:row>292</xdr:row>
      <xdr:rowOff>25400</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23</xdr:col>
      <xdr:colOff>501650</xdr:colOff>
      <xdr:row>265</xdr:row>
      <xdr:rowOff>76200</xdr:rowOff>
    </xdr:from>
    <xdr:to>
      <xdr:col>34</xdr:col>
      <xdr:colOff>425450</xdr:colOff>
      <xdr:row>292</xdr:row>
      <xdr:rowOff>25400</xdr:rowOff>
    </xdr:to>
    <xdr:graphicFrame macro="">
      <xdr:nvGraphicFramePr>
        <xdr:cNvPr id="58"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xdr:col>
      <xdr:colOff>558800</xdr:colOff>
      <xdr:row>294</xdr:row>
      <xdr:rowOff>76200</xdr:rowOff>
    </xdr:from>
    <xdr:to>
      <xdr:col>22</xdr:col>
      <xdr:colOff>482600</xdr:colOff>
      <xdr:row>321</xdr:row>
      <xdr:rowOff>25400</xdr:rowOff>
    </xdr:to>
    <xdr:graphicFrame macro="">
      <xdr:nvGraphicFramePr>
        <xdr:cNvPr id="60"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234950</xdr:colOff>
      <xdr:row>294</xdr:row>
      <xdr:rowOff>76200</xdr:rowOff>
    </xdr:from>
    <xdr:to>
      <xdr:col>11</xdr:col>
      <xdr:colOff>158750</xdr:colOff>
      <xdr:row>321</xdr:row>
      <xdr:rowOff>25400</xdr:rowOff>
    </xdr:to>
    <xdr:graphicFrame macro="">
      <xdr:nvGraphicFramePr>
        <xdr:cNvPr id="67"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23</xdr:col>
      <xdr:colOff>501650</xdr:colOff>
      <xdr:row>294</xdr:row>
      <xdr:rowOff>76200</xdr:rowOff>
    </xdr:from>
    <xdr:to>
      <xdr:col>34</xdr:col>
      <xdr:colOff>425450</xdr:colOff>
      <xdr:row>321</xdr:row>
      <xdr:rowOff>25400</xdr:rowOff>
    </xdr:to>
    <xdr:graphicFrame macro="">
      <xdr:nvGraphicFramePr>
        <xdr:cNvPr id="68" name="Chart 6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254000</xdr:colOff>
      <xdr:row>323</xdr:row>
      <xdr:rowOff>57150</xdr:rowOff>
    </xdr:from>
    <xdr:to>
      <xdr:col>11</xdr:col>
      <xdr:colOff>177800</xdr:colOff>
      <xdr:row>349</xdr:row>
      <xdr:rowOff>139700</xdr:rowOff>
    </xdr:to>
    <xdr:graphicFrame macro="">
      <xdr:nvGraphicFramePr>
        <xdr:cNvPr id="69" name="Chart 6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558800</xdr:colOff>
      <xdr:row>323</xdr:row>
      <xdr:rowOff>76200</xdr:rowOff>
    </xdr:from>
    <xdr:to>
      <xdr:col>22</xdr:col>
      <xdr:colOff>482600</xdr:colOff>
      <xdr:row>350</xdr:row>
      <xdr:rowOff>6350</xdr:rowOff>
    </xdr:to>
    <xdr:graphicFrame macro="">
      <xdr:nvGraphicFramePr>
        <xdr:cNvPr id="70" name="Chart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23</xdr:col>
      <xdr:colOff>501650</xdr:colOff>
      <xdr:row>324</xdr:row>
      <xdr:rowOff>0</xdr:rowOff>
    </xdr:from>
    <xdr:to>
      <xdr:col>34</xdr:col>
      <xdr:colOff>425450</xdr:colOff>
      <xdr:row>350</xdr:row>
      <xdr:rowOff>82550</xdr:rowOff>
    </xdr:to>
    <xdr:graphicFrame macro="">
      <xdr:nvGraphicFramePr>
        <xdr:cNvPr id="71" name="Chart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292100</xdr:colOff>
      <xdr:row>352</xdr:row>
      <xdr:rowOff>38100</xdr:rowOff>
    </xdr:from>
    <xdr:to>
      <xdr:col>11</xdr:col>
      <xdr:colOff>215900</xdr:colOff>
      <xdr:row>378</xdr:row>
      <xdr:rowOff>120650</xdr:rowOff>
    </xdr:to>
    <xdr:graphicFrame macro="">
      <xdr:nvGraphicFramePr>
        <xdr:cNvPr id="72" name="Chart 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11</xdr:col>
      <xdr:colOff>558800</xdr:colOff>
      <xdr:row>352</xdr:row>
      <xdr:rowOff>19050</xdr:rowOff>
    </xdr:from>
    <xdr:to>
      <xdr:col>22</xdr:col>
      <xdr:colOff>482600</xdr:colOff>
      <xdr:row>378</xdr:row>
      <xdr:rowOff>101600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23</xdr:col>
      <xdr:colOff>539750</xdr:colOff>
      <xdr:row>352</xdr:row>
      <xdr:rowOff>38100</xdr:rowOff>
    </xdr:from>
    <xdr:to>
      <xdr:col>34</xdr:col>
      <xdr:colOff>463550</xdr:colOff>
      <xdr:row>378</xdr:row>
      <xdr:rowOff>120650</xdr:rowOff>
    </xdr:to>
    <xdr:graphicFrame macro="">
      <xdr:nvGraphicFramePr>
        <xdr:cNvPr id="77" name="Chart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311150</xdr:colOff>
      <xdr:row>380</xdr:row>
      <xdr:rowOff>114300</xdr:rowOff>
    </xdr:from>
    <xdr:to>
      <xdr:col>11</xdr:col>
      <xdr:colOff>234950</xdr:colOff>
      <xdr:row>407</xdr:row>
      <xdr:rowOff>63500</xdr:rowOff>
    </xdr:to>
    <xdr:graphicFrame macro="">
      <xdr:nvGraphicFramePr>
        <xdr:cNvPr id="78" name="Chart 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11</xdr:col>
      <xdr:colOff>520700</xdr:colOff>
      <xdr:row>380</xdr:row>
      <xdr:rowOff>114300</xdr:rowOff>
    </xdr:from>
    <xdr:to>
      <xdr:col>22</xdr:col>
      <xdr:colOff>444500</xdr:colOff>
      <xdr:row>407</xdr:row>
      <xdr:rowOff>63500</xdr:rowOff>
    </xdr:to>
    <xdr:graphicFrame macro="">
      <xdr:nvGraphicFramePr>
        <xdr:cNvPr id="79" name="Chart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23</xdr:col>
      <xdr:colOff>520700</xdr:colOff>
      <xdr:row>380</xdr:row>
      <xdr:rowOff>133350</xdr:rowOff>
    </xdr:from>
    <xdr:to>
      <xdr:col>34</xdr:col>
      <xdr:colOff>444500</xdr:colOff>
      <xdr:row>407</xdr:row>
      <xdr:rowOff>82550</xdr:rowOff>
    </xdr:to>
    <xdr:graphicFrame macro="">
      <xdr:nvGraphicFramePr>
        <xdr:cNvPr id="80" name="Chart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311150</xdr:colOff>
      <xdr:row>409</xdr:row>
      <xdr:rowOff>76200</xdr:rowOff>
    </xdr:from>
    <xdr:to>
      <xdr:col>11</xdr:col>
      <xdr:colOff>234950</xdr:colOff>
      <xdr:row>436</xdr:row>
      <xdr:rowOff>6350</xdr:rowOff>
    </xdr:to>
    <xdr:graphicFrame macro="">
      <xdr:nvGraphicFramePr>
        <xdr:cNvPr id="81"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11</xdr:col>
      <xdr:colOff>577850</xdr:colOff>
      <xdr:row>438</xdr:row>
      <xdr:rowOff>57150</xdr:rowOff>
    </xdr:from>
    <xdr:to>
      <xdr:col>22</xdr:col>
      <xdr:colOff>501650</xdr:colOff>
      <xdr:row>464</xdr:row>
      <xdr:rowOff>139700</xdr:rowOff>
    </xdr:to>
    <xdr:graphicFrame macro="">
      <xdr:nvGraphicFramePr>
        <xdr:cNvPr id="82" name="Chart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23</xdr:col>
      <xdr:colOff>520700</xdr:colOff>
      <xdr:row>467</xdr:row>
      <xdr:rowOff>0</xdr:rowOff>
    </xdr:from>
    <xdr:to>
      <xdr:col>34</xdr:col>
      <xdr:colOff>444500</xdr:colOff>
      <xdr:row>493</xdr:row>
      <xdr:rowOff>82550</xdr:rowOff>
    </xdr:to>
    <xdr:graphicFrame macro="">
      <xdr:nvGraphicFramePr>
        <xdr:cNvPr id="83" name="Chart 8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11</xdr:col>
      <xdr:colOff>539750</xdr:colOff>
      <xdr:row>409</xdr:row>
      <xdr:rowOff>76200</xdr:rowOff>
    </xdr:from>
    <xdr:to>
      <xdr:col>22</xdr:col>
      <xdr:colOff>463550</xdr:colOff>
      <xdr:row>436</xdr:row>
      <xdr:rowOff>6350</xdr:rowOff>
    </xdr:to>
    <xdr:graphicFrame macro="">
      <xdr:nvGraphicFramePr>
        <xdr:cNvPr id="84"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23</xdr:col>
      <xdr:colOff>501650</xdr:colOff>
      <xdr:row>409</xdr:row>
      <xdr:rowOff>76200</xdr:rowOff>
    </xdr:from>
    <xdr:to>
      <xdr:col>34</xdr:col>
      <xdr:colOff>425450</xdr:colOff>
      <xdr:row>436</xdr:row>
      <xdr:rowOff>25400</xdr:rowOff>
    </xdr:to>
    <xdr:graphicFrame macro="">
      <xdr:nvGraphicFramePr>
        <xdr:cNvPr id="85" name="Chart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311150</xdr:colOff>
      <xdr:row>438</xdr:row>
      <xdr:rowOff>76200</xdr:rowOff>
    </xdr:from>
    <xdr:to>
      <xdr:col>11</xdr:col>
      <xdr:colOff>234950</xdr:colOff>
      <xdr:row>465</xdr:row>
      <xdr:rowOff>6350</xdr:rowOff>
    </xdr:to>
    <xdr:graphicFrame macro="">
      <xdr:nvGraphicFramePr>
        <xdr:cNvPr id="86" name="Chart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23</xdr:col>
      <xdr:colOff>501650</xdr:colOff>
      <xdr:row>438</xdr:row>
      <xdr:rowOff>76200</xdr:rowOff>
    </xdr:from>
    <xdr:to>
      <xdr:col>34</xdr:col>
      <xdr:colOff>425450</xdr:colOff>
      <xdr:row>465</xdr:row>
      <xdr:rowOff>6350</xdr:rowOff>
    </xdr:to>
    <xdr:graphicFrame macro="">
      <xdr:nvGraphicFramePr>
        <xdr:cNvPr id="87"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11</xdr:col>
      <xdr:colOff>558800</xdr:colOff>
      <xdr:row>466</xdr:row>
      <xdr:rowOff>133350</xdr:rowOff>
    </xdr:from>
    <xdr:to>
      <xdr:col>22</xdr:col>
      <xdr:colOff>482600</xdr:colOff>
      <xdr:row>493</xdr:row>
      <xdr:rowOff>82550</xdr:rowOff>
    </xdr:to>
    <xdr:graphicFrame macro="">
      <xdr:nvGraphicFramePr>
        <xdr:cNvPr id="88" name="Chart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330200</xdr:colOff>
      <xdr:row>466</xdr:row>
      <xdr:rowOff>133350</xdr:rowOff>
    </xdr:from>
    <xdr:to>
      <xdr:col>11</xdr:col>
      <xdr:colOff>254000</xdr:colOff>
      <xdr:row>493</xdr:row>
      <xdr:rowOff>82550</xdr:rowOff>
    </xdr:to>
    <xdr:graphicFrame macro="">
      <xdr:nvGraphicFramePr>
        <xdr:cNvPr id="89" name="Chart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311150</xdr:colOff>
      <xdr:row>495</xdr:row>
      <xdr:rowOff>76200</xdr:rowOff>
    </xdr:from>
    <xdr:to>
      <xdr:col>11</xdr:col>
      <xdr:colOff>234950</xdr:colOff>
      <xdr:row>522</xdr:row>
      <xdr:rowOff>25400</xdr:rowOff>
    </xdr:to>
    <xdr:graphicFrame macro="">
      <xdr:nvGraphicFramePr>
        <xdr:cNvPr id="97" name="Chart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11</xdr:col>
      <xdr:colOff>577850</xdr:colOff>
      <xdr:row>495</xdr:row>
      <xdr:rowOff>76200</xdr:rowOff>
    </xdr:from>
    <xdr:to>
      <xdr:col>22</xdr:col>
      <xdr:colOff>501650</xdr:colOff>
      <xdr:row>522</xdr:row>
      <xdr:rowOff>25400</xdr:rowOff>
    </xdr:to>
    <xdr:graphicFrame macro="">
      <xdr:nvGraphicFramePr>
        <xdr:cNvPr id="98" name="Chart 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23</xdr:col>
      <xdr:colOff>514350</xdr:colOff>
      <xdr:row>495</xdr:row>
      <xdr:rowOff>76200</xdr:rowOff>
    </xdr:from>
    <xdr:to>
      <xdr:col>34</xdr:col>
      <xdr:colOff>438150</xdr:colOff>
      <xdr:row>522</xdr:row>
      <xdr:rowOff>25400</xdr:rowOff>
    </xdr:to>
    <xdr:graphicFrame macro="">
      <xdr:nvGraphicFramePr>
        <xdr:cNvPr id="99" name="Chart 9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330200</xdr:colOff>
      <xdr:row>524</xdr:row>
      <xdr:rowOff>0</xdr:rowOff>
    </xdr:from>
    <xdr:to>
      <xdr:col>11</xdr:col>
      <xdr:colOff>254000</xdr:colOff>
      <xdr:row>550</xdr:row>
      <xdr:rowOff>82550</xdr:rowOff>
    </xdr:to>
    <xdr:graphicFrame macro="">
      <xdr:nvGraphicFramePr>
        <xdr:cNvPr id="100" name="Chart 9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11</xdr:col>
      <xdr:colOff>577850</xdr:colOff>
      <xdr:row>524</xdr:row>
      <xdr:rowOff>19050</xdr:rowOff>
    </xdr:from>
    <xdr:to>
      <xdr:col>22</xdr:col>
      <xdr:colOff>501650</xdr:colOff>
      <xdr:row>550</xdr:row>
      <xdr:rowOff>101600</xdr:rowOff>
    </xdr:to>
    <xdr:graphicFrame macro="">
      <xdr:nvGraphicFramePr>
        <xdr:cNvPr id="101" name="Chart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23</xdr:col>
      <xdr:colOff>539750</xdr:colOff>
      <xdr:row>524</xdr:row>
      <xdr:rowOff>19050</xdr:rowOff>
    </xdr:from>
    <xdr:to>
      <xdr:col>34</xdr:col>
      <xdr:colOff>463550</xdr:colOff>
      <xdr:row>550</xdr:row>
      <xdr:rowOff>101600</xdr:rowOff>
    </xdr:to>
    <xdr:graphicFrame macro="">
      <xdr:nvGraphicFramePr>
        <xdr:cNvPr id="102" name="Chart 10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298450</xdr:colOff>
      <xdr:row>553</xdr:row>
      <xdr:rowOff>0</xdr:rowOff>
    </xdr:from>
    <xdr:to>
      <xdr:col>11</xdr:col>
      <xdr:colOff>222250</xdr:colOff>
      <xdr:row>579</xdr:row>
      <xdr:rowOff>76200</xdr:rowOff>
    </xdr:to>
    <xdr:graphicFrame macro="">
      <xdr:nvGraphicFramePr>
        <xdr:cNvPr id="125" name="Chart 1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11</xdr:col>
      <xdr:colOff>577850</xdr:colOff>
      <xdr:row>553</xdr:row>
      <xdr:rowOff>50800</xdr:rowOff>
    </xdr:from>
    <xdr:to>
      <xdr:col>22</xdr:col>
      <xdr:colOff>501650</xdr:colOff>
      <xdr:row>579</xdr:row>
      <xdr:rowOff>127000</xdr:rowOff>
    </xdr:to>
    <xdr:graphicFrame macro="">
      <xdr:nvGraphicFramePr>
        <xdr:cNvPr id="126" name="Chart 1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23</xdr:col>
      <xdr:colOff>501650</xdr:colOff>
      <xdr:row>553</xdr:row>
      <xdr:rowOff>50800</xdr:rowOff>
    </xdr:from>
    <xdr:to>
      <xdr:col>34</xdr:col>
      <xdr:colOff>425450</xdr:colOff>
      <xdr:row>579</xdr:row>
      <xdr:rowOff>127000</xdr:rowOff>
    </xdr:to>
    <xdr:graphicFrame macro="">
      <xdr:nvGraphicFramePr>
        <xdr:cNvPr id="127" name="Chart 1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0</xdr:col>
      <xdr:colOff>247650</xdr:colOff>
      <xdr:row>582</xdr:row>
      <xdr:rowOff>0</xdr:rowOff>
    </xdr:from>
    <xdr:to>
      <xdr:col>11</xdr:col>
      <xdr:colOff>171450</xdr:colOff>
      <xdr:row>608</xdr:row>
      <xdr:rowOff>76200</xdr:rowOff>
    </xdr:to>
    <xdr:graphicFrame macro="">
      <xdr:nvGraphicFramePr>
        <xdr:cNvPr id="128" name="Chart 1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11</xdr:col>
      <xdr:colOff>527050</xdr:colOff>
      <xdr:row>582</xdr:row>
      <xdr:rowOff>50800</xdr:rowOff>
    </xdr:from>
    <xdr:to>
      <xdr:col>22</xdr:col>
      <xdr:colOff>450850</xdr:colOff>
      <xdr:row>608</xdr:row>
      <xdr:rowOff>127000</xdr:rowOff>
    </xdr:to>
    <xdr:graphicFrame macro="">
      <xdr:nvGraphicFramePr>
        <xdr:cNvPr id="129" name="Chart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23</xdr:col>
      <xdr:colOff>450850</xdr:colOff>
      <xdr:row>582</xdr:row>
      <xdr:rowOff>50800</xdr:rowOff>
    </xdr:from>
    <xdr:to>
      <xdr:col>34</xdr:col>
      <xdr:colOff>374650</xdr:colOff>
      <xdr:row>608</xdr:row>
      <xdr:rowOff>127000</xdr:rowOff>
    </xdr:to>
    <xdr:graphicFrame macro="">
      <xdr:nvGraphicFramePr>
        <xdr:cNvPr id="130" name="Chart 1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0</xdr:col>
      <xdr:colOff>247650</xdr:colOff>
      <xdr:row>610</xdr:row>
      <xdr:rowOff>127000</xdr:rowOff>
    </xdr:from>
    <xdr:to>
      <xdr:col>11</xdr:col>
      <xdr:colOff>171450</xdr:colOff>
      <xdr:row>637</xdr:row>
      <xdr:rowOff>76200</xdr:rowOff>
    </xdr:to>
    <xdr:graphicFrame macro="">
      <xdr:nvGraphicFramePr>
        <xdr:cNvPr id="131"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11</xdr:col>
      <xdr:colOff>527050</xdr:colOff>
      <xdr:row>611</xdr:row>
      <xdr:rowOff>25400</xdr:rowOff>
    </xdr:from>
    <xdr:to>
      <xdr:col>22</xdr:col>
      <xdr:colOff>450850</xdr:colOff>
      <xdr:row>637</xdr:row>
      <xdr:rowOff>101600</xdr:rowOff>
    </xdr:to>
    <xdr:graphicFrame macro="">
      <xdr:nvGraphicFramePr>
        <xdr:cNvPr id="132" name="Chart 1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23</xdr:col>
      <xdr:colOff>450850</xdr:colOff>
      <xdr:row>611</xdr:row>
      <xdr:rowOff>25400</xdr:rowOff>
    </xdr:from>
    <xdr:to>
      <xdr:col>34</xdr:col>
      <xdr:colOff>374650</xdr:colOff>
      <xdr:row>637</xdr:row>
      <xdr:rowOff>101600</xdr:rowOff>
    </xdr:to>
    <xdr:graphicFrame macro="">
      <xdr:nvGraphicFramePr>
        <xdr:cNvPr id="133" name="Chart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0</xdr:col>
      <xdr:colOff>196850</xdr:colOff>
      <xdr:row>639</xdr:row>
      <xdr:rowOff>127000</xdr:rowOff>
    </xdr:from>
    <xdr:to>
      <xdr:col>11</xdr:col>
      <xdr:colOff>120650</xdr:colOff>
      <xdr:row>666</xdr:row>
      <xdr:rowOff>76200</xdr:rowOff>
    </xdr:to>
    <xdr:graphicFrame macro="">
      <xdr:nvGraphicFramePr>
        <xdr:cNvPr id="134" name="Chart 1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11</xdr:col>
      <xdr:colOff>533400</xdr:colOff>
      <xdr:row>640</xdr:row>
      <xdr:rowOff>6350</xdr:rowOff>
    </xdr:from>
    <xdr:to>
      <xdr:col>22</xdr:col>
      <xdr:colOff>457200</xdr:colOff>
      <xdr:row>666</xdr:row>
      <xdr:rowOff>82550</xdr:rowOff>
    </xdr:to>
    <xdr:graphicFrame macro="">
      <xdr:nvGraphicFramePr>
        <xdr:cNvPr id="135" name="Chart 1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23</xdr:col>
      <xdr:colOff>400050</xdr:colOff>
      <xdr:row>640</xdr:row>
      <xdr:rowOff>25400</xdr:rowOff>
    </xdr:from>
    <xdr:to>
      <xdr:col>34</xdr:col>
      <xdr:colOff>323850</xdr:colOff>
      <xdr:row>666</xdr:row>
      <xdr:rowOff>101600</xdr:rowOff>
    </xdr:to>
    <xdr:graphicFrame macro="">
      <xdr:nvGraphicFramePr>
        <xdr:cNvPr id="136" name="Chart 1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0</xdr:col>
      <xdr:colOff>196850</xdr:colOff>
      <xdr:row>669</xdr:row>
      <xdr:rowOff>50800</xdr:rowOff>
    </xdr:from>
    <xdr:to>
      <xdr:col>11</xdr:col>
      <xdr:colOff>120650</xdr:colOff>
      <xdr:row>695</xdr:row>
      <xdr:rowOff>127000</xdr:rowOff>
    </xdr:to>
    <xdr:graphicFrame macro="">
      <xdr:nvGraphicFramePr>
        <xdr:cNvPr id="137" name="Chart 13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11</xdr:col>
      <xdr:colOff>552450</xdr:colOff>
      <xdr:row>669</xdr:row>
      <xdr:rowOff>76200</xdr:rowOff>
    </xdr:from>
    <xdr:to>
      <xdr:col>22</xdr:col>
      <xdr:colOff>476250</xdr:colOff>
      <xdr:row>696</xdr:row>
      <xdr:rowOff>25400</xdr:rowOff>
    </xdr:to>
    <xdr:graphicFrame macro="">
      <xdr:nvGraphicFramePr>
        <xdr:cNvPr id="138" name="Chart 1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23</xdr:col>
      <xdr:colOff>400050</xdr:colOff>
      <xdr:row>669</xdr:row>
      <xdr:rowOff>76200</xdr:rowOff>
    </xdr:from>
    <xdr:to>
      <xdr:col>34</xdr:col>
      <xdr:colOff>323850</xdr:colOff>
      <xdr:row>696</xdr:row>
      <xdr:rowOff>25400</xdr:rowOff>
    </xdr:to>
    <xdr:graphicFrame macro="">
      <xdr:nvGraphicFramePr>
        <xdr:cNvPr id="139" name="Chart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0</xdr:col>
      <xdr:colOff>146050</xdr:colOff>
      <xdr:row>698</xdr:row>
      <xdr:rowOff>50800</xdr:rowOff>
    </xdr:from>
    <xdr:to>
      <xdr:col>11</xdr:col>
      <xdr:colOff>69850</xdr:colOff>
      <xdr:row>724</xdr:row>
      <xdr:rowOff>127000</xdr:rowOff>
    </xdr:to>
    <xdr:graphicFrame macro="">
      <xdr:nvGraphicFramePr>
        <xdr:cNvPr id="140" name="Chart 1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11</xdr:col>
      <xdr:colOff>558800</xdr:colOff>
      <xdr:row>698</xdr:row>
      <xdr:rowOff>76200</xdr:rowOff>
    </xdr:from>
    <xdr:to>
      <xdr:col>22</xdr:col>
      <xdr:colOff>482600</xdr:colOff>
      <xdr:row>725</xdr:row>
      <xdr:rowOff>6350</xdr:rowOff>
    </xdr:to>
    <xdr:graphicFrame macro="">
      <xdr:nvGraphicFramePr>
        <xdr:cNvPr id="141" name="Chart 1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23</xdr:col>
      <xdr:colOff>349250</xdr:colOff>
      <xdr:row>698</xdr:row>
      <xdr:rowOff>76200</xdr:rowOff>
    </xdr:from>
    <xdr:to>
      <xdr:col>34</xdr:col>
      <xdr:colOff>273050</xdr:colOff>
      <xdr:row>725</xdr:row>
      <xdr:rowOff>25400</xdr:rowOff>
    </xdr:to>
    <xdr:graphicFrame macro="">
      <xdr:nvGraphicFramePr>
        <xdr:cNvPr id="142" name="Chart 1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0</xdr:col>
      <xdr:colOff>152400</xdr:colOff>
      <xdr:row>727</xdr:row>
      <xdr:rowOff>0</xdr:rowOff>
    </xdr:from>
    <xdr:to>
      <xdr:col>11</xdr:col>
      <xdr:colOff>76200</xdr:colOff>
      <xdr:row>753</xdr:row>
      <xdr:rowOff>76200</xdr:rowOff>
    </xdr:to>
    <xdr:graphicFrame macro="">
      <xdr:nvGraphicFramePr>
        <xdr:cNvPr id="143" name="Chart 1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11</xdr:col>
      <xdr:colOff>546100</xdr:colOff>
      <xdr:row>727</xdr:row>
      <xdr:rowOff>44450</xdr:rowOff>
    </xdr:from>
    <xdr:to>
      <xdr:col>22</xdr:col>
      <xdr:colOff>469900</xdr:colOff>
      <xdr:row>753</xdr:row>
      <xdr:rowOff>127000</xdr:rowOff>
    </xdr:to>
    <xdr:graphicFrame macro="">
      <xdr:nvGraphicFramePr>
        <xdr:cNvPr id="144" name="Chart 1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23</xdr:col>
      <xdr:colOff>355600</xdr:colOff>
      <xdr:row>727</xdr:row>
      <xdr:rowOff>44450</xdr:rowOff>
    </xdr:from>
    <xdr:to>
      <xdr:col>34</xdr:col>
      <xdr:colOff>279400</xdr:colOff>
      <xdr:row>753</xdr:row>
      <xdr:rowOff>127000</xdr:rowOff>
    </xdr:to>
    <xdr:graphicFrame macro="">
      <xdr:nvGraphicFramePr>
        <xdr:cNvPr id="145" name="Chart 1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0</xdr:col>
      <xdr:colOff>101600</xdr:colOff>
      <xdr:row>756</xdr:row>
      <xdr:rowOff>0</xdr:rowOff>
    </xdr:from>
    <xdr:to>
      <xdr:col>11</xdr:col>
      <xdr:colOff>25400</xdr:colOff>
      <xdr:row>782</xdr:row>
      <xdr:rowOff>76200</xdr:rowOff>
    </xdr:to>
    <xdr:graphicFrame macro="">
      <xdr:nvGraphicFramePr>
        <xdr:cNvPr id="146" name="Chart 1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11</xdr:col>
      <xdr:colOff>533400</xdr:colOff>
      <xdr:row>756</xdr:row>
      <xdr:rowOff>63500</xdr:rowOff>
    </xdr:from>
    <xdr:to>
      <xdr:col>22</xdr:col>
      <xdr:colOff>457200</xdr:colOff>
      <xdr:row>782</xdr:row>
      <xdr:rowOff>146050</xdr:rowOff>
    </xdr:to>
    <xdr:graphicFrame macro="">
      <xdr:nvGraphicFramePr>
        <xdr:cNvPr id="147" name="Chart 1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23</xdr:col>
      <xdr:colOff>304800</xdr:colOff>
      <xdr:row>756</xdr:row>
      <xdr:rowOff>44450</xdr:rowOff>
    </xdr:from>
    <xdr:to>
      <xdr:col>34</xdr:col>
      <xdr:colOff>228600</xdr:colOff>
      <xdr:row>782</xdr:row>
      <xdr:rowOff>127000</xdr:rowOff>
    </xdr:to>
    <xdr:graphicFrame macro="">
      <xdr:nvGraphicFramePr>
        <xdr:cNvPr id="148"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0</xdr:col>
      <xdr:colOff>95250</xdr:colOff>
      <xdr:row>784</xdr:row>
      <xdr:rowOff>76200</xdr:rowOff>
    </xdr:from>
    <xdr:to>
      <xdr:col>11</xdr:col>
      <xdr:colOff>19050</xdr:colOff>
      <xdr:row>811</xdr:row>
      <xdr:rowOff>19050</xdr:rowOff>
    </xdr:to>
    <xdr:graphicFrame macro="">
      <xdr:nvGraphicFramePr>
        <xdr:cNvPr id="149" name="Chart 1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11</xdr:col>
      <xdr:colOff>546100</xdr:colOff>
      <xdr:row>784</xdr:row>
      <xdr:rowOff>120650</xdr:rowOff>
    </xdr:from>
    <xdr:to>
      <xdr:col>22</xdr:col>
      <xdr:colOff>469900</xdr:colOff>
      <xdr:row>811</xdr:row>
      <xdr:rowOff>69850</xdr:rowOff>
    </xdr:to>
    <xdr:graphicFrame macro="">
      <xdr:nvGraphicFramePr>
        <xdr:cNvPr id="150" name="Chart 1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23</xdr:col>
      <xdr:colOff>298450</xdr:colOff>
      <xdr:row>784</xdr:row>
      <xdr:rowOff>120650</xdr:rowOff>
    </xdr:from>
    <xdr:to>
      <xdr:col>34</xdr:col>
      <xdr:colOff>222250</xdr:colOff>
      <xdr:row>811</xdr:row>
      <xdr:rowOff>69850</xdr:rowOff>
    </xdr:to>
    <xdr:graphicFrame macro="">
      <xdr:nvGraphicFramePr>
        <xdr:cNvPr id="151" name="Chart 1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0</xdr:col>
      <xdr:colOff>44450</xdr:colOff>
      <xdr:row>813</xdr:row>
      <xdr:rowOff>76200</xdr:rowOff>
    </xdr:from>
    <xdr:to>
      <xdr:col>10</xdr:col>
      <xdr:colOff>577850</xdr:colOff>
      <xdr:row>840</xdr:row>
      <xdr:rowOff>19050</xdr:rowOff>
    </xdr:to>
    <xdr:graphicFrame macro="">
      <xdr:nvGraphicFramePr>
        <xdr:cNvPr id="152" name="Chart 1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11</xdr:col>
      <xdr:colOff>571500</xdr:colOff>
      <xdr:row>813</xdr:row>
      <xdr:rowOff>82550</xdr:rowOff>
    </xdr:from>
    <xdr:to>
      <xdr:col>22</xdr:col>
      <xdr:colOff>495300</xdr:colOff>
      <xdr:row>840</xdr:row>
      <xdr:rowOff>31750</xdr:rowOff>
    </xdr:to>
    <xdr:graphicFrame macro="">
      <xdr:nvGraphicFramePr>
        <xdr:cNvPr id="153" name="Chart 1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1"/>
        </a:graphicData>
      </a:graphic>
    </xdr:graphicFrame>
    <xdr:clientData/>
  </xdr:twoCellAnchor>
  <xdr:twoCellAnchor>
    <xdr:from>
      <xdr:col>23</xdr:col>
      <xdr:colOff>247650</xdr:colOff>
      <xdr:row>813</xdr:row>
      <xdr:rowOff>120650</xdr:rowOff>
    </xdr:from>
    <xdr:to>
      <xdr:col>34</xdr:col>
      <xdr:colOff>171450</xdr:colOff>
      <xdr:row>840</xdr:row>
      <xdr:rowOff>69850</xdr:rowOff>
    </xdr:to>
    <xdr:graphicFrame macro="">
      <xdr:nvGraphicFramePr>
        <xdr:cNvPr id="154" name="Chart 1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2"/>
        </a:graphicData>
      </a:graphic>
    </xdr:graphicFrame>
    <xdr:clientData/>
  </xdr:twoCellAnchor>
  <xdr:twoCellAnchor>
    <xdr:from>
      <xdr:col>0</xdr:col>
      <xdr:colOff>57150</xdr:colOff>
      <xdr:row>842</xdr:row>
      <xdr:rowOff>57150</xdr:rowOff>
    </xdr:from>
    <xdr:to>
      <xdr:col>10</xdr:col>
      <xdr:colOff>590550</xdr:colOff>
      <xdr:row>868</xdr:row>
      <xdr:rowOff>133350</xdr:rowOff>
    </xdr:to>
    <xdr:graphicFrame macro="">
      <xdr:nvGraphicFramePr>
        <xdr:cNvPr id="155" name="Chart 1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3"/>
        </a:graphicData>
      </a:graphic>
    </xdr:graphicFrame>
    <xdr:clientData/>
  </xdr:twoCellAnchor>
  <xdr:twoCellAnchor>
    <xdr:from>
      <xdr:col>11</xdr:col>
      <xdr:colOff>584200</xdr:colOff>
      <xdr:row>842</xdr:row>
      <xdr:rowOff>82550</xdr:rowOff>
    </xdr:from>
    <xdr:to>
      <xdr:col>22</xdr:col>
      <xdr:colOff>508000</xdr:colOff>
      <xdr:row>869</xdr:row>
      <xdr:rowOff>31750</xdr:rowOff>
    </xdr:to>
    <xdr:graphicFrame macro="">
      <xdr:nvGraphicFramePr>
        <xdr:cNvPr id="156" name="Chart 1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4"/>
        </a:graphicData>
      </a:graphic>
    </xdr:graphicFrame>
    <xdr:clientData/>
  </xdr:twoCellAnchor>
  <xdr:twoCellAnchor>
    <xdr:from>
      <xdr:col>23</xdr:col>
      <xdr:colOff>260350</xdr:colOff>
      <xdr:row>842</xdr:row>
      <xdr:rowOff>82550</xdr:rowOff>
    </xdr:from>
    <xdr:to>
      <xdr:col>34</xdr:col>
      <xdr:colOff>184150</xdr:colOff>
      <xdr:row>869</xdr:row>
      <xdr:rowOff>31750</xdr:rowOff>
    </xdr:to>
    <xdr:graphicFrame macro="">
      <xdr:nvGraphicFramePr>
        <xdr:cNvPr id="157" name="Chart 1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5"/>
        </a:graphicData>
      </a:graphic>
    </xdr:graphicFrame>
    <xdr:clientData/>
  </xdr:twoCellAnchor>
  <xdr:twoCellAnchor>
    <xdr:from>
      <xdr:col>0</xdr:col>
      <xdr:colOff>6350</xdr:colOff>
      <xdr:row>871</xdr:row>
      <xdr:rowOff>57150</xdr:rowOff>
    </xdr:from>
    <xdr:to>
      <xdr:col>10</xdr:col>
      <xdr:colOff>539750</xdr:colOff>
      <xdr:row>897</xdr:row>
      <xdr:rowOff>133350</xdr:rowOff>
    </xdr:to>
    <xdr:graphicFrame macro="">
      <xdr:nvGraphicFramePr>
        <xdr:cNvPr id="158" name="Chart 1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6"/>
        </a:graphicData>
      </a:graphic>
    </xdr:graphicFrame>
    <xdr:clientData/>
  </xdr:twoCellAnchor>
  <xdr:twoCellAnchor>
    <xdr:from>
      <xdr:col>11</xdr:col>
      <xdr:colOff>571500</xdr:colOff>
      <xdr:row>871</xdr:row>
      <xdr:rowOff>101600</xdr:rowOff>
    </xdr:from>
    <xdr:to>
      <xdr:col>22</xdr:col>
      <xdr:colOff>495300</xdr:colOff>
      <xdr:row>898</xdr:row>
      <xdr:rowOff>50800</xdr:rowOff>
    </xdr:to>
    <xdr:graphicFrame macro="">
      <xdr:nvGraphicFramePr>
        <xdr:cNvPr id="159" name="Chart 1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7"/>
        </a:graphicData>
      </a:graphic>
    </xdr:graphicFrame>
    <xdr:clientData/>
  </xdr:twoCellAnchor>
  <xdr:twoCellAnchor>
    <xdr:from>
      <xdr:col>23</xdr:col>
      <xdr:colOff>209550</xdr:colOff>
      <xdr:row>871</xdr:row>
      <xdr:rowOff>82550</xdr:rowOff>
    </xdr:from>
    <xdr:to>
      <xdr:col>34</xdr:col>
      <xdr:colOff>133350</xdr:colOff>
      <xdr:row>898</xdr:row>
      <xdr:rowOff>31750</xdr:rowOff>
    </xdr:to>
    <xdr:graphicFrame macro="">
      <xdr:nvGraphicFramePr>
        <xdr:cNvPr id="160" name="Chart 1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8"/>
        </a:graphicData>
      </a:graphic>
    </xdr:graphicFrame>
    <xdr:clientData/>
  </xdr:twoCellAnchor>
  <xdr:twoCellAnchor>
    <xdr:from>
      <xdr:col>0</xdr:col>
      <xdr:colOff>0</xdr:colOff>
      <xdr:row>900</xdr:row>
      <xdr:rowOff>0</xdr:rowOff>
    </xdr:from>
    <xdr:to>
      <xdr:col>10</xdr:col>
      <xdr:colOff>533400</xdr:colOff>
      <xdr:row>926</xdr:row>
      <xdr:rowOff>76200</xdr:rowOff>
    </xdr:to>
    <xdr:graphicFrame macro="">
      <xdr:nvGraphicFramePr>
        <xdr:cNvPr id="161" name="Chart 1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9"/>
        </a:graphicData>
      </a:graphic>
    </xdr:graphicFrame>
    <xdr:clientData/>
  </xdr:twoCellAnchor>
  <xdr:twoCellAnchor>
    <xdr:from>
      <xdr:col>11</xdr:col>
      <xdr:colOff>546100</xdr:colOff>
      <xdr:row>900</xdr:row>
      <xdr:rowOff>63500</xdr:rowOff>
    </xdr:from>
    <xdr:to>
      <xdr:col>22</xdr:col>
      <xdr:colOff>469900</xdr:colOff>
      <xdr:row>926</xdr:row>
      <xdr:rowOff>146050</xdr:rowOff>
    </xdr:to>
    <xdr:graphicFrame macro="">
      <xdr:nvGraphicFramePr>
        <xdr:cNvPr id="162" name="Chart 1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0"/>
        </a:graphicData>
      </a:graphic>
    </xdr:graphicFrame>
    <xdr:clientData/>
  </xdr:twoCellAnchor>
  <xdr:twoCellAnchor>
    <xdr:from>
      <xdr:col>23</xdr:col>
      <xdr:colOff>203200</xdr:colOff>
      <xdr:row>900</xdr:row>
      <xdr:rowOff>44450</xdr:rowOff>
    </xdr:from>
    <xdr:to>
      <xdr:col>34</xdr:col>
      <xdr:colOff>127000</xdr:colOff>
      <xdr:row>926</xdr:row>
      <xdr:rowOff>127000</xdr:rowOff>
    </xdr:to>
    <xdr:graphicFrame macro="">
      <xdr:nvGraphicFramePr>
        <xdr:cNvPr id="163" name="Chart 1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1"/>
        </a:graphicData>
      </a:graphic>
    </xdr:graphicFrame>
    <xdr:clientData/>
  </xdr:twoCellAnchor>
  <xdr:twoCellAnchor>
    <xdr:from>
      <xdr:col>0</xdr:col>
      <xdr:colOff>44450</xdr:colOff>
      <xdr:row>929</xdr:row>
      <xdr:rowOff>0</xdr:rowOff>
    </xdr:from>
    <xdr:to>
      <xdr:col>10</xdr:col>
      <xdr:colOff>577850</xdr:colOff>
      <xdr:row>955</xdr:row>
      <xdr:rowOff>76200</xdr:rowOff>
    </xdr:to>
    <xdr:graphicFrame macro="">
      <xdr:nvGraphicFramePr>
        <xdr:cNvPr id="164" name="Chart 1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2"/>
        </a:graphicData>
      </a:graphic>
    </xdr:graphicFrame>
    <xdr:clientData/>
  </xdr:twoCellAnchor>
  <xdr:twoCellAnchor>
    <xdr:from>
      <xdr:col>11</xdr:col>
      <xdr:colOff>495300</xdr:colOff>
      <xdr:row>929</xdr:row>
      <xdr:rowOff>6350</xdr:rowOff>
    </xdr:from>
    <xdr:to>
      <xdr:col>22</xdr:col>
      <xdr:colOff>419100</xdr:colOff>
      <xdr:row>955</xdr:row>
      <xdr:rowOff>88900</xdr:rowOff>
    </xdr:to>
    <xdr:graphicFrame macro="">
      <xdr:nvGraphicFramePr>
        <xdr:cNvPr id="165" name="Chart 1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3"/>
        </a:graphicData>
      </a:graphic>
    </xdr:graphicFrame>
    <xdr:clientData/>
  </xdr:twoCellAnchor>
  <xdr:twoCellAnchor>
    <xdr:from>
      <xdr:col>23</xdr:col>
      <xdr:colOff>152400</xdr:colOff>
      <xdr:row>929</xdr:row>
      <xdr:rowOff>44450</xdr:rowOff>
    </xdr:from>
    <xdr:to>
      <xdr:col>34</xdr:col>
      <xdr:colOff>76200</xdr:colOff>
      <xdr:row>955</xdr:row>
      <xdr:rowOff>127000</xdr:rowOff>
    </xdr:to>
    <xdr:graphicFrame macro="">
      <xdr:nvGraphicFramePr>
        <xdr:cNvPr id="166" name="Chart 1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4"/>
        </a:graphicData>
      </a:graphic>
    </xdr:graphicFrame>
    <xdr:clientData/>
  </xdr:twoCellAnchor>
  <xdr:twoCellAnchor>
    <xdr:from>
      <xdr:col>0</xdr:col>
      <xdr:colOff>190500</xdr:colOff>
      <xdr:row>119</xdr:row>
      <xdr:rowOff>76200</xdr:rowOff>
    </xdr:from>
    <xdr:to>
      <xdr:col>11</xdr:col>
      <xdr:colOff>114300</xdr:colOff>
      <xdr:row>146</xdr:row>
      <xdr:rowOff>6350</xdr:rowOff>
    </xdr:to>
    <xdr:graphicFrame macro="">
      <xdr:nvGraphicFramePr>
        <xdr:cNvPr id="103" name="Chart 10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5"/>
        </a:graphicData>
      </a:graphic>
    </xdr:graphicFrame>
    <xdr:clientData/>
  </xdr:twoCellAnchor>
  <xdr:twoCellAnchor>
    <xdr:from>
      <xdr:col>24</xdr:col>
      <xdr:colOff>0</xdr:colOff>
      <xdr:row>119</xdr:row>
      <xdr:rowOff>76200</xdr:rowOff>
    </xdr:from>
    <xdr:to>
      <xdr:col>34</xdr:col>
      <xdr:colOff>533400</xdr:colOff>
      <xdr:row>146</xdr:row>
      <xdr:rowOff>6350</xdr:rowOff>
    </xdr:to>
    <xdr:graphicFrame macro="">
      <xdr:nvGraphicFramePr>
        <xdr:cNvPr id="104" name="Chart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6"/>
        </a:graphicData>
      </a:graphic>
    </xdr:graphicFrame>
    <xdr:clientData/>
  </xdr:twoCellAnchor>
  <xdr:twoCellAnchor>
    <xdr:from>
      <xdr:col>12</xdr:col>
      <xdr:colOff>19050</xdr:colOff>
      <xdr:row>119</xdr:row>
      <xdr:rowOff>95250</xdr:rowOff>
    </xdr:from>
    <xdr:to>
      <xdr:col>22</xdr:col>
      <xdr:colOff>552450</xdr:colOff>
      <xdr:row>146</xdr:row>
      <xdr:rowOff>25400</xdr:rowOff>
    </xdr:to>
    <xdr:graphicFrame macro="">
      <xdr:nvGraphicFramePr>
        <xdr:cNvPr id="105"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7"/>
        </a:graphicData>
      </a:graphic>
    </xdr:graphicFrame>
    <xdr:clientData/>
  </xdr:twoCellAnchor>
  <xdr:twoCellAnchor>
    <xdr:from>
      <xdr:col>0</xdr:col>
      <xdr:colOff>0</xdr:colOff>
      <xdr:row>958</xdr:row>
      <xdr:rowOff>0</xdr:rowOff>
    </xdr:from>
    <xdr:to>
      <xdr:col>10</xdr:col>
      <xdr:colOff>533400</xdr:colOff>
      <xdr:row>984</xdr:row>
      <xdr:rowOff>76200</xdr:rowOff>
    </xdr:to>
    <xdr:graphicFrame macro="">
      <xdr:nvGraphicFramePr>
        <xdr:cNvPr id="109" name="Chart 10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8"/>
        </a:graphicData>
      </a:graphic>
    </xdr:graphicFrame>
    <xdr:clientData/>
  </xdr:twoCellAnchor>
  <xdr:twoCellAnchor>
    <xdr:from>
      <xdr:col>11</xdr:col>
      <xdr:colOff>495300</xdr:colOff>
      <xdr:row>958</xdr:row>
      <xdr:rowOff>0</xdr:rowOff>
    </xdr:from>
    <xdr:to>
      <xdr:col>22</xdr:col>
      <xdr:colOff>419100</xdr:colOff>
      <xdr:row>984</xdr:row>
      <xdr:rowOff>76200</xdr:rowOff>
    </xdr:to>
    <xdr:graphicFrame macro="">
      <xdr:nvGraphicFramePr>
        <xdr:cNvPr id="110" name="Chart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9"/>
        </a:graphicData>
      </a:graphic>
    </xdr:graphicFrame>
    <xdr:clientData/>
  </xdr:twoCellAnchor>
  <xdr:twoCellAnchor>
    <xdr:from>
      <xdr:col>23</xdr:col>
      <xdr:colOff>171450</xdr:colOff>
      <xdr:row>958</xdr:row>
      <xdr:rowOff>19050</xdr:rowOff>
    </xdr:from>
    <xdr:to>
      <xdr:col>34</xdr:col>
      <xdr:colOff>95250</xdr:colOff>
      <xdr:row>984</xdr:row>
      <xdr:rowOff>95250</xdr:rowOff>
    </xdr:to>
    <xdr:graphicFrame macro="">
      <xdr:nvGraphicFramePr>
        <xdr:cNvPr id="111" name="Chart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0"/>
        </a:graphicData>
      </a:graphic>
    </xdr:graphicFrame>
    <xdr:clientData/>
  </xdr:twoCellAnchor>
  <xdr:twoCellAnchor>
    <xdr:from>
      <xdr:col>35</xdr:col>
      <xdr:colOff>552450</xdr:colOff>
      <xdr:row>265</xdr:row>
      <xdr:rowOff>101600</xdr:rowOff>
    </xdr:from>
    <xdr:to>
      <xdr:col>46</xdr:col>
      <xdr:colOff>476250</xdr:colOff>
      <xdr:row>292</xdr:row>
      <xdr:rowOff>50800</xdr:rowOff>
    </xdr:to>
    <xdr:graphicFrame macro="">
      <xdr:nvGraphicFramePr>
        <xdr:cNvPr id="106" name="Chart 10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1"/>
        </a:graphicData>
      </a:graphic>
    </xdr:graphicFrame>
    <xdr:clientData/>
  </xdr:twoCellAnchor>
  <xdr:twoCellAnchor>
    <xdr:from>
      <xdr:col>47</xdr:col>
      <xdr:colOff>222250</xdr:colOff>
      <xdr:row>265</xdr:row>
      <xdr:rowOff>76200</xdr:rowOff>
    </xdr:from>
    <xdr:to>
      <xdr:col>58</xdr:col>
      <xdr:colOff>146050</xdr:colOff>
      <xdr:row>292</xdr:row>
      <xdr:rowOff>25400</xdr:rowOff>
    </xdr:to>
    <xdr:graphicFrame macro="">
      <xdr:nvGraphicFramePr>
        <xdr:cNvPr id="107" name="Chart 10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2"/>
        </a:graphicData>
      </a:graphic>
    </xdr:graphicFrame>
    <xdr:clientData/>
  </xdr:twoCellAnchor>
  <xdr:twoCellAnchor>
    <xdr:from>
      <xdr:col>59</xdr:col>
      <xdr:colOff>222250</xdr:colOff>
      <xdr:row>265</xdr:row>
      <xdr:rowOff>76200</xdr:rowOff>
    </xdr:from>
    <xdr:to>
      <xdr:col>70</xdr:col>
      <xdr:colOff>146050</xdr:colOff>
      <xdr:row>292</xdr:row>
      <xdr:rowOff>25400</xdr:rowOff>
    </xdr:to>
    <xdr:graphicFrame macro="">
      <xdr:nvGraphicFramePr>
        <xdr:cNvPr id="108" name="Chart 10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3"/>
        </a:graphicData>
      </a:graphic>
    </xdr:graphicFrame>
    <xdr:clientData/>
  </xdr:twoCellAnchor>
  <xdr:twoCellAnchor>
    <xdr:from>
      <xdr:col>0</xdr:col>
      <xdr:colOff>171450</xdr:colOff>
      <xdr:row>1</xdr:row>
      <xdr:rowOff>133350</xdr:rowOff>
    </xdr:from>
    <xdr:to>
      <xdr:col>11</xdr:col>
      <xdr:colOff>95250</xdr:colOff>
      <xdr:row>28</xdr:row>
      <xdr:rowOff>63500</xdr:rowOff>
    </xdr:to>
    <xdr:graphicFrame macro="">
      <xdr:nvGraphicFramePr>
        <xdr:cNvPr id="112" name="Chart 1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4"/>
        </a:graphicData>
      </a:graphic>
    </xdr:graphicFrame>
    <xdr:clientData/>
  </xdr:twoCellAnchor>
  <xdr:twoCellAnchor>
    <xdr:from>
      <xdr:col>35</xdr:col>
      <xdr:colOff>266700</xdr:colOff>
      <xdr:row>30</xdr:row>
      <xdr:rowOff>57150</xdr:rowOff>
    </xdr:from>
    <xdr:to>
      <xdr:col>46</xdr:col>
      <xdr:colOff>190500</xdr:colOff>
      <xdr:row>56</xdr:row>
      <xdr:rowOff>158750</xdr:rowOff>
    </xdr:to>
    <xdr:graphicFrame macro="">
      <xdr:nvGraphicFramePr>
        <xdr:cNvPr id="113" name="Chart 1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5"/>
        </a:graphicData>
      </a:graphic>
    </xdr:graphicFrame>
    <xdr:clientData/>
  </xdr:twoCellAnchor>
  <xdr:twoCellAnchor>
    <xdr:from>
      <xdr:col>35</xdr:col>
      <xdr:colOff>552450</xdr:colOff>
      <xdr:row>119</xdr:row>
      <xdr:rowOff>76200</xdr:rowOff>
    </xdr:from>
    <xdr:to>
      <xdr:col>46</xdr:col>
      <xdr:colOff>476250</xdr:colOff>
      <xdr:row>146</xdr:row>
      <xdr:rowOff>6350</xdr:rowOff>
    </xdr:to>
    <xdr:graphicFrame macro="">
      <xdr:nvGraphicFramePr>
        <xdr:cNvPr id="114" name="Chart 1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6"/>
        </a:graphicData>
      </a:graphic>
    </xdr:graphicFrame>
    <xdr:clientData/>
  </xdr:twoCellAnchor>
  <xdr:twoCellAnchor>
    <xdr:from>
      <xdr:col>35</xdr:col>
      <xdr:colOff>552450</xdr:colOff>
      <xdr:row>294</xdr:row>
      <xdr:rowOff>133350</xdr:rowOff>
    </xdr:from>
    <xdr:to>
      <xdr:col>46</xdr:col>
      <xdr:colOff>476250</xdr:colOff>
      <xdr:row>321</xdr:row>
      <xdr:rowOff>63500</xdr:rowOff>
    </xdr:to>
    <xdr:graphicFrame macro="">
      <xdr:nvGraphicFramePr>
        <xdr:cNvPr id="115" name="Chart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195580</xdr:colOff>
      <xdr:row>1</xdr:row>
      <xdr:rowOff>25400</xdr:rowOff>
    </xdr:from>
    <xdr:to>
      <xdr:col>47</xdr:col>
      <xdr:colOff>594360</xdr:colOff>
      <xdr:row>66</xdr:row>
      <xdr:rowOff>160712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0</xdr:row>
      <xdr:rowOff>91440</xdr:rowOff>
    </xdr:from>
    <xdr:to>
      <xdr:col>19</xdr:col>
      <xdr:colOff>99060</xdr:colOff>
      <xdr:row>31</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0</xdr:row>
      <xdr:rowOff>45720</xdr:rowOff>
    </xdr:from>
    <xdr:to>
      <xdr:col>18</xdr:col>
      <xdr:colOff>350520</xdr:colOff>
      <xdr:row>32</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xdr:colOff>
      <xdr:row>0</xdr:row>
      <xdr:rowOff>53340</xdr:rowOff>
    </xdr:from>
    <xdr:to>
      <xdr:col>19</xdr:col>
      <xdr:colOff>7620</xdr:colOff>
      <xdr:row>32</xdr:row>
      <xdr:rowOff>7620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83820</xdr:colOff>
      <xdr:row>0</xdr:row>
      <xdr:rowOff>76200</xdr:rowOff>
    </xdr:from>
    <xdr:to>
      <xdr:col>18</xdr:col>
      <xdr:colOff>342900</xdr:colOff>
      <xdr:row>31</xdr:row>
      <xdr:rowOff>137160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53340</xdr:rowOff>
    </xdr:from>
    <xdr:to>
      <xdr:col>18</xdr:col>
      <xdr:colOff>45720</xdr:colOff>
      <xdr:row>32</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tabSelected="1" workbookViewId="0">
      <selection activeCell="H20" sqref="H20"/>
    </sheetView>
  </sheetViews>
  <sheetFormatPr defaultRowHeight="13.2" x14ac:dyDescent="0.25"/>
  <cols>
    <col min="1" max="16384" width="8.88671875" style="11"/>
  </cols>
  <sheetData>
    <row r="1" spans="1:1" x14ac:dyDescent="0.25">
      <c r="A1" s="11" t="s">
        <v>38</v>
      </c>
    </row>
    <row r="2" spans="1:1" x14ac:dyDescent="0.25">
      <c r="A2" s="11" t="s">
        <v>40</v>
      </c>
    </row>
    <row r="4" spans="1:1" x14ac:dyDescent="0.25">
      <c r="A4" s="11" t="s">
        <v>58</v>
      </c>
    </row>
    <row r="5" spans="1:1" x14ac:dyDescent="0.25">
      <c r="A5" s="11" t="s">
        <v>45</v>
      </c>
    </row>
    <row r="7" spans="1:1" x14ac:dyDescent="0.25">
      <c r="A7" s="11" t="s">
        <v>57</v>
      </c>
    </row>
    <row r="9" spans="1:1" x14ac:dyDescent="0.25">
      <c r="A9" s="11" t="s">
        <v>39</v>
      </c>
    </row>
  </sheetData>
  <pageMargins left="0.75" right="0.75" top="1" bottom="1" header="0.5" footer="0.5"/>
  <pageSetup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election activeCell="T6" sqref="N2:T6"/>
    </sheetView>
  </sheetViews>
  <sheetFormatPr defaultRowHeight="13.2"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DE287"/>
  <sheetViews>
    <sheetView zoomScale="70" zoomScaleNormal="70" workbookViewId="0">
      <pane xSplit="2" ySplit="5" topLeftCell="C6" activePane="bottomRight" state="frozen"/>
      <selection activeCell="CE20" sqref="CE20"/>
      <selection pane="topRight" activeCell="CE20" sqref="CE20"/>
      <selection pane="bottomLeft" activeCell="CE20" sqref="CE20"/>
      <selection pane="bottomRight" activeCell="C7" sqref="C7"/>
    </sheetView>
  </sheetViews>
  <sheetFormatPr defaultRowHeight="13.2" x14ac:dyDescent="0.25"/>
  <cols>
    <col min="2" max="2" width="12.33203125" bestFit="1" customWidth="1"/>
    <col min="3" max="3" width="12" customWidth="1"/>
    <col min="4" max="5" width="14.77734375" customWidth="1"/>
    <col min="6" max="20" width="12" customWidth="1"/>
    <col min="21" max="21" width="11.33203125" customWidth="1"/>
    <col min="22" max="36" width="12" customWidth="1"/>
    <col min="37" max="37" width="14.44140625" customWidth="1"/>
    <col min="38" max="40" width="12" customWidth="1"/>
    <col min="41" max="43" width="13.77734375" customWidth="1"/>
    <col min="44" max="44" width="13.44140625" customWidth="1"/>
    <col min="45" max="96" width="12" customWidth="1"/>
    <col min="97" max="97" width="14.77734375" customWidth="1"/>
    <col min="98" max="98" width="12.88671875" customWidth="1"/>
    <col min="99" max="99" width="13.33203125" customWidth="1"/>
    <col min="100" max="100" width="14" customWidth="1"/>
    <col min="101" max="103" width="12" customWidth="1"/>
    <col min="104" max="106" width="13.5546875" customWidth="1"/>
    <col min="108" max="108" width="9.88671875" customWidth="1"/>
    <col min="109" max="109" width="11" customWidth="1"/>
  </cols>
  <sheetData>
    <row r="1" spans="1:109" s="14" customFormat="1" x14ac:dyDescent="0.25"/>
    <row r="2" spans="1:109" s="2" customFormat="1" ht="39" customHeight="1" x14ac:dyDescent="0.25">
      <c r="B2" s="5" t="s">
        <v>29</v>
      </c>
      <c r="C2" s="7" t="s">
        <v>1</v>
      </c>
      <c r="D2" s="7" t="s">
        <v>47</v>
      </c>
      <c r="E2" s="7" t="s">
        <v>50</v>
      </c>
      <c r="F2" s="7" t="s">
        <v>0</v>
      </c>
      <c r="G2" s="7" t="s">
        <v>0</v>
      </c>
      <c r="H2" s="7" t="s">
        <v>0</v>
      </c>
      <c r="I2" s="7" t="s">
        <v>24</v>
      </c>
      <c r="J2" s="7" t="s">
        <v>24</v>
      </c>
      <c r="K2" s="7" t="s">
        <v>24</v>
      </c>
      <c r="L2" s="7" t="s">
        <v>25</v>
      </c>
      <c r="M2" s="7" t="s">
        <v>25</v>
      </c>
      <c r="N2" s="7" t="s">
        <v>25</v>
      </c>
      <c r="O2" s="7" t="s">
        <v>41</v>
      </c>
      <c r="P2" s="7" t="s">
        <v>41</v>
      </c>
      <c r="Q2" s="7" t="s">
        <v>41</v>
      </c>
      <c r="R2" s="7" t="s">
        <v>49</v>
      </c>
      <c r="S2" s="7" t="s">
        <v>26</v>
      </c>
      <c r="T2" s="7" t="s">
        <v>26</v>
      </c>
      <c r="U2" s="7" t="s">
        <v>26</v>
      </c>
      <c r="V2" s="7" t="s">
        <v>2</v>
      </c>
      <c r="W2" s="7" t="s">
        <v>2</v>
      </c>
      <c r="X2" s="7" t="s">
        <v>2</v>
      </c>
      <c r="Y2" s="7" t="s">
        <v>4</v>
      </c>
      <c r="Z2" s="7" t="s">
        <v>4</v>
      </c>
      <c r="AA2" s="7" t="s">
        <v>4</v>
      </c>
      <c r="AB2" s="7" t="s">
        <v>51</v>
      </c>
      <c r="AC2" s="7" t="s">
        <v>52</v>
      </c>
      <c r="AD2" s="7" t="s">
        <v>52</v>
      </c>
      <c r="AE2" s="7" t="s">
        <v>52</v>
      </c>
      <c r="AF2" s="7" t="s">
        <v>53</v>
      </c>
      <c r="AG2" s="7" t="s">
        <v>53</v>
      </c>
      <c r="AH2" s="7" t="s">
        <v>53</v>
      </c>
      <c r="AI2" s="7" t="s">
        <v>43</v>
      </c>
      <c r="AJ2" s="7" t="s">
        <v>43</v>
      </c>
      <c r="AK2" s="7" t="s">
        <v>43</v>
      </c>
      <c r="AL2" s="7" t="s">
        <v>11</v>
      </c>
      <c r="AM2" s="7" t="s">
        <v>11</v>
      </c>
      <c r="AN2" s="7" t="s">
        <v>11</v>
      </c>
      <c r="AO2" s="7" t="s">
        <v>12</v>
      </c>
      <c r="AP2" s="7" t="s">
        <v>12</v>
      </c>
      <c r="AQ2" s="7" t="s">
        <v>12</v>
      </c>
      <c r="AR2" s="7" t="s">
        <v>28</v>
      </c>
      <c r="AS2" s="7" t="s">
        <v>28</v>
      </c>
      <c r="AT2" s="7" t="s">
        <v>28</v>
      </c>
      <c r="AU2" s="7" t="s">
        <v>37</v>
      </c>
      <c r="AV2" s="7" t="s">
        <v>37</v>
      </c>
      <c r="AW2" s="7" t="s">
        <v>37</v>
      </c>
      <c r="AX2" s="7" t="s">
        <v>3</v>
      </c>
      <c r="AY2" s="7" t="s">
        <v>3</v>
      </c>
      <c r="AZ2" s="7" t="s">
        <v>3</v>
      </c>
      <c r="BA2" s="7" t="s">
        <v>9</v>
      </c>
      <c r="BB2" s="7" t="s">
        <v>9</v>
      </c>
      <c r="BC2" s="7" t="s">
        <v>9</v>
      </c>
      <c r="BD2" s="7" t="s">
        <v>20</v>
      </c>
      <c r="BE2" s="7" t="s">
        <v>20</v>
      </c>
      <c r="BF2" s="7" t="s">
        <v>20</v>
      </c>
      <c r="BG2" s="7" t="s">
        <v>34</v>
      </c>
      <c r="BH2" s="7" t="s">
        <v>34</v>
      </c>
      <c r="BI2" s="7" t="s">
        <v>34</v>
      </c>
      <c r="BJ2" s="7" t="s">
        <v>15</v>
      </c>
      <c r="BK2" s="7" t="s">
        <v>15</v>
      </c>
      <c r="BL2" s="7" t="s">
        <v>15</v>
      </c>
      <c r="BM2" s="7" t="s">
        <v>16</v>
      </c>
      <c r="BN2" s="7" t="s">
        <v>16</v>
      </c>
      <c r="BO2" s="7" t="s">
        <v>16</v>
      </c>
      <c r="BP2" s="7" t="s">
        <v>17</v>
      </c>
      <c r="BQ2" s="7" t="s">
        <v>17</v>
      </c>
      <c r="BR2" s="7" t="s">
        <v>17</v>
      </c>
      <c r="BS2" s="7" t="s">
        <v>6</v>
      </c>
      <c r="BT2" s="7" t="s">
        <v>6</v>
      </c>
      <c r="BU2" s="7" t="s">
        <v>6</v>
      </c>
      <c r="BV2" s="7" t="s">
        <v>19</v>
      </c>
      <c r="BW2" s="7" t="s">
        <v>19</v>
      </c>
      <c r="BX2" s="7" t="s">
        <v>19</v>
      </c>
      <c r="BY2" s="7" t="s">
        <v>35</v>
      </c>
      <c r="BZ2" s="7" t="s">
        <v>35</v>
      </c>
      <c r="CA2" s="7" t="s">
        <v>35</v>
      </c>
      <c r="CB2" s="7" t="s">
        <v>21</v>
      </c>
      <c r="CC2" s="7" t="s">
        <v>21</v>
      </c>
      <c r="CD2" s="7" t="s">
        <v>21</v>
      </c>
      <c r="CE2" s="7" t="s">
        <v>22</v>
      </c>
      <c r="CF2" s="7" t="s">
        <v>22</v>
      </c>
      <c r="CG2" s="7" t="s">
        <v>22</v>
      </c>
      <c r="CH2" s="7" t="s">
        <v>23</v>
      </c>
      <c r="CI2" s="7" t="s">
        <v>23</v>
      </c>
      <c r="CJ2" s="7" t="s">
        <v>23</v>
      </c>
      <c r="CK2" s="7" t="s">
        <v>18</v>
      </c>
      <c r="CL2" s="7" t="s">
        <v>18</v>
      </c>
      <c r="CM2" s="7" t="s">
        <v>18</v>
      </c>
      <c r="CN2" s="7" t="s">
        <v>5</v>
      </c>
      <c r="CO2" s="7" t="s">
        <v>5</v>
      </c>
      <c r="CP2" s="7" t="s">
        <v>5</v>
      </c>
      <c r="CQ2" s="7" t="s">
        <v>27</v>
      </c>
      <c r="CR2" s="7" t="s">
        <v>27</v>
      </c>
      <c r="CS2" s="7" t="s">
        <v>27</v>
      </c>
      <c r="CT2" s="7" t="s">
        <v>13</v>
      </c>
      <c r="CU2" s="7" t="s">
        <v>13</v>
      </c>
      <c r="CV2" s="7" t="s">
        <v>13</v>
      </c>
      <c r="CW2" s="7" t="s">
        <v>14</v>
      </c>
      <c r="CX2" s="7" t="s">
        <v>14</v>
      </c>
      <c r="CY2" s="7" t="s">
        <v>14</v>
      </c>
      <c r="CZ2" s="7" t="s">
        <v>36</v>
      </c>
      <c r="DA2" s="7" t="s">
        <v>36</v>
      </c>
      <c r="DB2" s="7" t="s">
        <v>36</v>
      </c>
      <c r="DC2" s="7" t="s">
        <v>60</v>
      </c>
      <c r="DD2" s="7" t="s">
        <v>60</v>
      </c>
      <c r="DE2" s="7" t="s">
        <v>60</v>
      </c>
    </row>
    <row r="3" spans="1:109" x14ac:dyDescent="0.25">
      <c r="B3" s="5" t="s">
        <v>31</v>
      </c>
      <c r="C3" s="7" t="s">
        <v>46</v>
      </c>
      <c r="D3" s="7" t="s">
        <v>46</v>
      </c>
      <c r="E3" s="7" t="s">
        <v>46</v>
      </c>
      <c r="F3" s="7" t="s">
        <v>46</v>
      </c>
      <c r="G3" s="7" t="s">
        <v>46</v>
      </c>
      <c r="H3" s="7" t="s">
        <v>46</v>
      </c>
      <c r="I3" s="7" t="s">
        <v>46</v>
      </c>
      <c r="J3" s="7" t="s">
        <v>46</v>
      </c>
      <c r="K3" s="7" t="s">
        <v>46</v>
      </c>
      <c r="L3" s="7" t="s">
        <v>46</v>
      </c>
      <c r="M3" s="7" t="s">
        <v>46</v>
      </c>
      <c r="N3" s="7" t="s">
        <v>46</v>
      </c>
      <c r="O3" s="7" t="s">
        <v>46</v>
      </c>
      <c r="P3" s="7" t="s">
        <v>46</v>
      </c>
      <c r="Q3" s="7" t="s">
        <v>46</v>
      </c>
      <c r="R3" s="7" t="s">
        <v>46</v>
      </c>
      <c r="S3" s="7" t="s">
        <v>46</v>
      </c>
      <c r="T3" s="7" t="s">
        <v>46</v>
      </c>
      <c r="U3" s="7" t="s">
        <v>46</v>
      </c>
      <c r="V3" s="7" t="s">
        <v>46</v>
      </c>
      <c r="W3" s="7" t="s">
        <v>46</v>
      </c>
      <c r="X3" s="7" t="s">
        <v>46</v>
      </c>
      <c r="Y3" s="7" t="s">
        <v>46</v>
      </c>
      <c r="Z3" s="7" t="s">
        <v>46</v>
      </c>
      <c r="AA3" s="7" t="s">
        <v>46</v>
      </c>
      <c r="AB3" s="7" t="s">
        <v>46</v>
      </c>
      <c r="AC3" s="7" t="s">
        <v>46</v>
      </c>
      <c r="AD3" s="7" t="s">
        <v>46</v>
      </c>
      <c r="AE3" s="7" t="s">
        <v>46</v>
      </c>
      <c r="AF3" s="7" t="s">
        <v>46</v>
      </c>
      <c r="AG3" s="7" t="s">
        <v>46</v>
      </c>
      <c r="AH3" s="7" t="s">
        <v>46</v>
      </c>
      <c r="AI3" s="7" t="s">
        <v>46</v>
      </c>
      <c r="AJ3" s="7" t="s">
        <v>46</v>
      </c>
      <c r="AK3" s="7" t="s">
        <v>46</v>
      </c>
      <c r="AL3" s="7" t="s">
        <v>46</v>
      </c>
      <c r="AM3" s="7" t="s">
        <v>46</v>
      </c>
      <c r="AN3" s="7" t="s">
        <v>46</v>
      </c>
      <c r="AO3" s="7" t="s">
        <v>46</v>
      </c>
      <c r="AP3" s="7" t="s">
        <v>46</v>
      </c>
      <c r="AQ3" s="7" t="s">
        <v>46</v>
      </c>
      <c r="AR3" s="7" t="s">
        <v>46</v>
      </c>
      <c r="AS3" s="7" t="s">
        <v>46</v>
      </c>
      <c r="AT3" s="7" t="s">
        <v>46</v>
      </c>
      <c r="AU3" s="7" t="s">
        <v>46</v>
      </c>
      <c r="AV3" s="7" t="s">
        <v>46</v>
      </c>
      <c r="AW3" s="7" t="s">
        <v>46</v>
      </c>
      <c r="AX3" s="7" t="s">
        <v>46</v>
      </c>
      <c r="AY3" s="7" t="s">
        <v>46</v>
      </c>
      <c r="AZ3" s="7" t="s">
        <v>46</v>
      </c>
      <c r="BA3" s="7" t="s">
        <v>46</v>
      </c>
      <c r="BB3" s="7" t="s">
        <v>46</v>
      </c>
      <c r="BC3" s="7" t="s">
        <v>46</v>
      </c>
      <c r="BD3" s="7" t="s">
        <v>46</v>
      </c>
      <c r="BE3" s="7" t="s">
        <v>46</v>
      </c>
      <c r="BF3" s="7" t="s">
        <v>46</v>
      </c>
      <c r="BG3" s="7" t="s">
        <v>46</v>
      </c>
      <c r="BH3" s="7" t="s">
        <v>46</v>
      </c>
      <c r="BI3" s="7" t="s">
        <v>46</v>
      </c>
      <c r="BJ3" s="7" t="s">
        <v>46</v>
      </c>
      <c r="BK3" s="7" t="s">
        <v>46</v>
      </c>
      <c r="BL3" s="7" t="s">
        <v>46</v>
      </c>
      <c r="BM3" s="7" t="s">
        <v>46</v>
      </c>
      <c r="BN3" s="7" t="s">
        <v>46</v>
      </c>
      <c r="BO3" s="7" t="s">
        <v>46</v>
      </c>
      <c r="BP3" s="7" t="s">
        <v>46</v>
      </c>
      <c r="BQ3" s="7" t="s">
        <v>46</v>
      </c>
      <c r="BR3" s="7" t="s">
        <v>46</v>
      </c>
      <c r="BS3" s="7" t="s">
        <v>46</v>
      </c>
      <c r="BT3" s="7" t="s">
        <v>46</v>
      </c>
      <c r="BU3" s="7" t="s">
        <v>46</v>
      </c>
      <c r="BV3" s="7" t="s">
        <v>46</v>
      </c>
      <c r="BW3" s="7" t="s">
        <v>46</v>
      </c>
      <c r="BX3" s="7" t="s">
        <v>46</v>
      </c>
      <c r="BY3" s="7" t="s">
        <v>46</v>
      </c>
      <c r="BZ3" s="7" t="s">
        <v>46</v>
      </c>
      <c r="CA3" s="7" t="s">
        <v>46</v>
      </c>
      <c r="CB3" s="7" t="s">
        <v>46</v>
      </c>
      <c r="CC3" s="7" t="s">
        <v>46</v>
      </c>
      <c r="CD3" s="7" t="s">
        <v>46</v>
      </c>
      <c r="CE3" s="7" t="s">
        <v>46</v>
      </c>
      <c r="CF3" s="7" t="s">
        <v>46</v>
      </c>
      <c r="CG3" s="7" t="s">
        <v>46</v>
      </c>
      <c r="CH3" s="7" t="s">
        <v>46</v>
      </c>
      <c r="CI3" s="7" t="s">
        <v>46</v>
      </c>
      <c r="CJ3" s="7" t="s">
        <v>46</v>
      </c>
      <c r="CK3" s="7" t="s">
        <v>46</v>
      </c>
      <c r="CL3" s="7" t="s">
        <v>46</v>
      </c>
      <c r="CM3" s="7" t="s">
        <v>46</v>
      </c>
      <c r="CN3" s="7" t="s">
        <v>46</v>
      </c>
      <c r="CO3" s="7" t="s">
        <v>46</v>
      </c>
      <c r="CP3" s="7" t="s">
        <v>46</v>
      </c>
      <c r="CQ3" s="7" t="s">
        <v>46</v>
      </c>
      <c r="CR3" s="7" t="s">
        <v>46</v>
      </c>
      <c r="CS3" s="7" t="s">
        <v>46</v>
      </c>
      <c r="CT3" s="7" t="s">
        <v>46</v>
      </c>
      <c r="CU3" s="7" t="s">
        <v>46</v>
      </c>
      <c r="CV3" s="7" t="s">
        <v>46</v>
      </c>
      <c r="CW3" s="7" t="s">
        <v>46</v>
      </c>
      <c r="CX3" s="7" t="s">
        <v>46</v>
      </c>
      <c r="CY3" s="7" t="s">
        <v>46</v>
      </c>
      <c r="CZ3" s="7" t="s">
        <v>46</v>
      </c>
      <c r="DA3" s="7" t="s">
        <v>46</v>
      </c>
      <c r="DB3" s="7" t="s">
        <v>46</v>
      </c>
      <c r="DC3" s="7" t="s">
        <v>46</v>
      </c>
      <c r="DD3" s="7" t="s">
        <v>46</v>
      </c>
      <c r="DE3" s="7" t="s">
        <v>46</v>
      </c>
    </row>
    <row r="4" spans="1:109" s="2" customFormat="1" ht="27" customHeight="1" x14ac:dyDescent="0.25">
      <c r="B4" s="5" t="s">
        <v>30</v>
      </c>
      <c r="C4" s="5" t="s">
        <v>8</v>
      </c>
      <c r="D4" s="5"/>
      <c r="E4" s="5"/>
      <c r="F4" s="5" t="s">
        <v>8</v>
      </c>
      <c r="G4" s="7" t="s">
        <v>7</v>
      </c>
      <c r="H4" s="5" t="s">
        <v>10</v>
      </c>
      <c r="I4" s="5" t="s">
        <v>8</v>
      </c>
      <c r="J4" s="5" t="s">
        <v>7</v>
      </c>
      <c r="K4" s="5" t="s">
        <v>10</v>
      </c>
      <c r="L4" s="5" t="s">
        <v>8</v>
      </c>
      <c r="M4" s="5" t="s">
        <v>7</v>
      </c>
      <c r="N4" s="5" t="s">
        <v>10</v>
      </c>
      <c r="O4" s="5" t="s">
        <v>8</v>
      </c>
      <c r="P4" s="5" t="s">
        <v>7</v>
      </c>
      <c r="Q4" s="5" t="s">
        <v>10</v>
      </c>
      <c r="R4" s="5"/>
      <c r="S4" s="5" t="s">
        <v>8</v>
      </c>
      <c r="T4" s="5" t="s">
        <v>7</v>
      </c>
      <c r="U4" s="5" t="s">
        <v>10</v>
      </c>
      <c r="V4" s="5" t="s">
        <v>8</v>
      </c>
      <c r="W4" s="5" t="s">
        <v>7</v>
      </c>
      <c r="X4" s="5" t="s">
        <v>10</v>
      </c>
      <c r="Y4" s="5" t="s">
        <v>8</v>
      </c>
      <c r="Z4" s="5" t="s">
        <v>7</v>
      </c>
      <c r="AA4" s="5" t="s">
        <v>10</v>
      </c>
      <c r="AB4" s="5" t="s">
        <v>7</v>
      </c>
      <c r="AC4" s="5"/>
      <c r="AD4" s="5" t="s">
        <v>7</v>
      </c>
      <c r="AE4" s="5" t="s">
        <v>10</v>
      </c>
      <c r="AF4" s="5"/>
      <c r="AG4" s="5" t="s">
        <v>7</v>
      </c>
      <c r="AH4" s="5" t="s">
        <v>10</v>
      </c>
      <c r="AI4" s="5" t="s">
        <v>8</v>
      </c>
      <c r="AJ4" s="5" t="s">
        <v>7</v>
      </c>
      <c r="AK4" s="5" t="s">
        <v>10</v>
      </c>
      <c r="AL4" s="5" t="s">
        <v>8</v>
      </c>
      <c r="AM4" s="5" t="s">
        <v>7</v>
      </c>
      <c r="AN4" s="5" t="s">
        <v>10</v>
      </c>
      <c r="AO4" s="5" t="s">
        <v>8</v>
      </c>
      <c r="AP4" s="5" t="s">
        <v>7</v>
      </c>
      <c r="AQ4" s="5" t="s">
        <v>10</v>
      </c>
      <c r="AR4" s="5" t="s">
        <v>8</v>
      </c>
      <c r="AS4" s="5" t="s">
        <v>7</v>
      </c>
      <c r="AT4" s="5" t="s">
        <v>10</v>
      </c>
      <c r="AU4" s="5" t="s">
        <v>8</v>
      </c>
      <c r="AV4" s="5" t="s">
        <v>7</v>
      </c>
      <c r="AW4" s="5" t="s">
        <v>10</v>
      </c>
      <c r="AX4" s="5" t="s">
        <v>8</v>
      </c>
      <c r="AY4" s="5" t="s">
        <v>7</v>
      </c>
      <c r="AZ4" s="5" t="s">
        <v>10</v>
      </c>
      <c r="BA4" s="5" t="s">
        <v>8</v>
      </c>
      <c r="BB4" s="5" t="s">
        <v>7</v>
      </c>
      <c r="BC4" s="5" t="s">
        <v>10</v>
      </c>
      <c r="BD4" s="5" t="s">
        <v>8</v>
      </c>
      <c r="BE4" s="5" t="s">
        <v>7</v>
      </c>
      <c r="BF4" s="5" t="s">
        <v>10</v>
      </c>
      <c r="BG4" s="5" t="s">
        <v>8</v>
      </c>
      <c r="BH4" s="5" t="s">
        <v>7</v>
      </c>
      <c r="BI4" s="5" t="s">
        <v>10</v>
      </c>
      <c r="BJ4" s="5" t="s">
        <v>8</v>
      </c>
      <c r="BK4" s="5" t="s">
        <v>7</v>
      </c>
      <c r="BL4" s="5" t="s">
        <v>10</v>
      </c>
      <c r="BM4" s="5" t="s">
        <v>8</v>
      </c>
      <c r="BN4" s="5" t="s">
        <v>7</v>
      </c>
      <c r="BO4" s="5" t="s">
        <v>10</v>
      </c>
      <c r="BP4" s="5" t="s">
        <v>8</v>
      </c>
      <c r="BQ4" s="5" t="s">
        <v>7</v>
      </c>
      <c r="BR4" s="5" t="s">
        <v>10</v>
      </c>
      <c r="BS4" s="5" t="s">
        <v>8</v>
      </c>
      <c r="BT4" s="5" t="s">
        <v>7</v>
      </c>
      <c r="BU4" s="5" t="s">
        <v>10</v>
      </c>
      <c r="BV4" s="5" t="s">
        <v>8</v>
      </c>
      <c r="BW4" s="5" t="s">
        <v>7</v>
      </c>
      <c r="BX4" s="5" t="s">
        <v>10</v>
      </c>
      <c r="BY4" s="5" t="s">
        <v>8</v>
      </c>
      <c r="BZ4" s="5" t="s">
        <v>7</v>
      </c>
      <c r="CA4" s="5" t="s">
        <v>10</v>
      </c>
      <c r="CB4" s="5" t="s">
        <v>8</v>
      </c>
      <c r="CC4" s="5" t="s">
        <v>7</v>
      </c>
      <c r="CD4" s="5" t="s">
        <v>10</v>
      </c>
      <c r="CE4" s="5" t="s">
        <v>8</v>
      </c>
      <c r="CF4" s="5" t="s">
        <v>7</v>
      </c>
      <c r="CG4" s="5" t="s">
        <v>10</v>
      </c>
      <c r="CH4" s="5" t="s">
        <v>8</v>
      </c>
      <c r="CI4" s="5" t="s">
        <v>7</v>
      </c>
      <c r="CJ4" s="5" t="s">
        <v>10</v>
      </c>
      <c r="CK4" s="5" t="s">
        <v>8</v>
      </c>
      <c r="CL4" s="5" t="s">
        <v>7</v>
      </c>
      <c r="CM4" s="5" t="s">
        <v>10</v>
      </c>
      <c r="CN4" s="5" t="s">
        <v>8</v>
      </c>
      <c r="CO4" s="5" t="s">
        <v>7</v>
      </c>
      <c r="CP4" s="5" t="s">
        <v>10</v>
      </c>
      <c r="CQ4" s="5" t="s">
        <v>8</v>
      </c>
      <c r="CR4" s="5" t="s">
        <v>7</v>
      </c>
      <c r="CS4" s="5" t="s">
        <v>10</v>
      </c>
      <c r="CT4" s="5" t="s">
        <v>8</v>
      </c>
      <c r="CU4" s="5" t="s">
        <v>7</v>
      </c>
      <c r="CV4" s="5" t="s">
        <v>10</v>
      </c>
      <c r="CW4" s="5" t="s">
        <v>8</v>
      </c>
      <c r="CX4" s="5" t="s">
        <v>7</v>
      </c>
      <c r="CY4" s="5" t="s">
        <v>10</v>
      </c>
      <c r="CZ4" s="5" t="s">
        <v>8</v>
      </c>
      <c r="DA4" s="5" t="s">
        <v>7</v>
      </c>
      <c r="DB4" s="5" t="s">
        <v>10</v>
      </c>
      <c r="DC4" s="5" t="s">
        <v>8</v>
      </c>
      <c r="DD4" s="5" t="s">
        <v>7</v>
      </c>
      <c r="DE4" s="5" t="s">
        <v>59</v>
      </c>
    </row>
    <row r="5" spans="1:109" s="9" customFormat="1" x14ac:dyDescent="0.25">
      <c r="A5" s="4" t="s">
        <v>33</v>
      </c>
      <c r="B5" s="4" t="s">
        <v>32</v>
      </c>
      <c r="C5" s="6" t="s">
        <v>48</v>
      </c>
      <c r="D5" s="6" t="s">
        <v>48</v>
      </c>
      <c r="E5" s="6" t="s">
        <v>48</v>
      </c>
      <c r="F5" s="6" t="s">
        <v>48</v>
      </c>
      <c r="G5" s="6" t="s">
        <v>48</v>
      </c>
      <c r="H5" s="6" t="s">
        <v>48</v>
      </c>
      <c r="I5" s="6" t="s">
        <v>48</v>
      </c>
      <c r="J5" s="6" t="s">
        <v>48</v>
      </c>
      <c r="K5" s="6" t="s">
        <v>48</v>
      </c>
      <c r="L5" s="6" t="s">
        <v>48</v>
      </c>
      <c r="M5" s="6" t="s">
        <v>48</v>
      </c>
      <c r="N5" s="6" t="s">
        <v>48</v>
      </c>
      <c r="O5" s="6" t="s">
        <v>48</v>
      </c>
      <c r="P5" s="6" t="s">
        <v>48</v>
      </c>
      <c r="Q5" s="6" t="s">
        <v>48</v>
      </c>
      <c r="R5" s="6" t="s">
        <v>48</v>
      </c>
      <c r="S5" s="6" t="s">
        <v>48</v>
      </c>
      <c r="T5" s="6" t="s">
        <v>48</v>
      </c>
      <c r="U5" s="6" t="s">
        <v>48</v>
      </c>
      <c r="V5" s="6" t="s">
        <v>48</v>
      </c>
      <c r="W5" s="6" t="s">
        <v>48</v>
      </c>
      <c r="X5" s="6" t="s">
        <v>48</v>
      </c>
      <c r="Y5" s="6" t="s">
        <v>48</v>
      </c>
      <c r="Z5" s="6" t="s">
        <v>48</v>
      </c>
      <c r="AA5" s="6" t="s">
        <v>48</v>
      </c>
      <c r="AB5" s="6" t="s">
        <v>48</v>
      </c>
      <c r="AC5" s="6" t="s">
        <v>48</v>
      </c>
      <c r="AD5" s="6" t="s">
        <v>48</v>
      </c>
      <c r="AE5" s="6" t="s">
        <v>48</v>
      </c>
      <c r="AF5" s="6" t="s">
        <v>48</v>
      </c>
      <c r="AG5" s="6" t="s">
        <v>48</v>
      </c>
      <c r="AH5" s="6" t="s">
        <v>48</v>
      </c>
      <c r="AI5" s="6" t="s">
        <v>48</v>
      </c>
      <c r="AJ5" s="6" t="s">
        <v>48</v>
      </c>
      <c r="AK5" s="6" t="s">
        <v>48</v>
      </c>
      <c r="AL5" s="6" t="s">
        <v>48</v>
      </c>
      <c r="AM5" s="6" t="s">
        <v>48</v>
      </c>
      <c r="AN5" s="6" t="s">
        <v>48</v>
      </c>
      <c r="AO5" s="6" t="s">
        <v>48</v>
      </c>
      <c r="AP5" s="6" t="s">
        <v>48</v>
      </c>
      <c r="AQ5" s="6" t="s">
        <v>48</v>
      </c>
      <c r="AR5" s="6" t="s">
        <v>48</v>
      </c>
      <c r="AS5" s="6" t="s">
        <v>48</v>
      </c>
      <c r="AT5" s="6" t="s">
        <v>48</v>
      </c>
      <c r="AU5" s="6" t="s">
        <v>48</v>
      </c>
      <c r="AV5" s="6" t="s">
        <v>48</v>
      </c>
      <c r="AW5" s="6" t="s">
        <v>48</v>
      </c>
      <c r="AX5" s="6" t="s">
        <v>48</v>
      </c>
      <c r="AY5" s="6" t="s">
        <v>48</v>
      </c>
      <c r="AZ5" s="6" t="s">
        <v>48</v>
      </c>
      <c r="BA5" s="6" t="s">
        <v>48</v>
      </c>
      <c r="BB5" s="6" t="s">
        <v>48</v>
      </c>
      <c r="BC5" s="6" t="s">
        <v>48</v>
      </c>
      <c r="BD5" s="6" t="s">
        <v>48</v>
      </c>
      <c r="BE5" s="6" t="s">
        <v>48</v>
      </c>
      <c r="BF5" s="6" t="s">
        <v>48</v>
      </c>
      <c r="BG5" s="6" t="s">
        <v>48</v>
      </c>
      <c r="BH5" s="6" t="s">
        <v>48</v>
      </c>
      <c r="BI5" s="6" t="s">
        <v>48</v>
      </c>
      <c r="BJ5" s="6" t="s">
        <v>48</v>
      </c>
      <c r="BK5" s="6" t="s">
        <v>48</v>
      </c>
      <c r="BL5" s="6" t="s">
        <v>48</v>
      </c>
      <c r="BM5" s="6" t="s">
        <v>48</v>
      </c>
      <c r="BN5" s="6" t="s">
        <v>48</v>
      </c>
      <c r="BO5" s="6" t="s">
        <v>48</v>
      </c>
      <c r="BP5" s="6" t="s">
        <v>48</v>
      </c>
      <c r="BQ5" s="6" t="s">
        <v>48</v>
      </c>
      <c r="BR5" s="6" t="s">
        <v>48</v>
      </c>
      <c r="BS5" s="6" t="s">
        <v>48</v>
      </c>
      <c r="BT5" s="6" t="s">
        <v>48</v>
      </c>
      <c r="BU5" s="6" t="s">
        <v>48</v>
      </c>
      <c r="BV5" s="6" t="s">
        <v>48</v>
      </c>
      <c r="BW5" s="6" t="s">
        <v>48</v>
      </c>
      <c r="BX5" s="6" t="s">
        <v>48</v>
      </c>
      <c r="BY5" s="6" t="s">
        <v>48</v>
      </c>
      <c r="BZ5" s="6" t="s">
        <v>48</v>
      </c>
      <c r="CA5" s="6" t="s">
        <v>48</v>
      </c>
      <c r="CB5" s="6" t="s">
        <v>48</v>
      </c>
      <c r="CC5" s="6" t="s">
        <v>48</v>
      </c>
      <c r="CD5" s="6" t="s">
        <v>48</v>
      </c>
      <c r="CE5" s="6" t="s">
        <v>48</v>
      </c>
      <c r="CF5" s="6" t="s">
        <v>48</v>
      </c>
      <c r="CG5" s="6" t="s">
        <v>48</v>
      </c>
      <c r="CH5" s="6" t="s">
        <v>48</v>
      </c>
      <c r="CI5" s="6" t="s">
        <v>48</v>
      </c>
      <c r="CJ5" s="6" t="s">
        <v>48</v>
      </c>
      <c r="CK5" s="6" t="s">
        <v>48</v>
      </c>
      <c r="CL5" s="6" t="s">
        <v>48</v>
      </c>
      <c r="CM5" s="6" t="s">
        <v>48</v>
      </c>
      <c r="CN5" s="6" t="s">
        <v>48</v>
      </c>
      <c r="CO5" s="6" t="s">
        <v>48</v>
      </c>
      <c r="CP5" s="6" t="s">
        <v>48</v>
      </c>
      <c r="CQ5" s="6" t="s">
        <v>48</v>
      </c>
      <c r="CR5" s="6" t="s">
        <v>48</v>
      </c>
      <c r="CS5" s="6" t="s">
        <v>48</v>
      </c>
      <c r="CT5" s="6" t="s">
        <v>48</v>
      </c>
      <c r="CU5" s="6" t="s">
        <v>48</v>
      </c>
      <c r="CV5" s="6" t="s">
        <v>48</v>
      </c>
      <c r="CW5" s="6" t="s">
        <v>48</v>
      </c>
      <c r="CX5" s="6" t="s">
        <v>48</v>
      </c>
      <c r="CY5" s="6" t="s">
        <v>48</v>
      </c>
      <c r="CZ5" s="6" t="s">
        <v>48</v>
      </c>
      <c r="DA5" s="6" t="s">
        <v>48</v>
      </c>
      <c r="DB5" s="6" t="s">
        <v>48</v>
      </c>
      <c r="DC5" s="6" t="s">
        <v>48</v>
      </c>
      <c r="DD5" s="6" t="s">
        <v>48</v>
      </c>
      <c r="DE5" s="6" t="s">
        <v>48</v>
      </c>
    </row>
    <row r="6" spans="1:109" s="2" customFormat="1" ht="54.6" hidden="1" customHeight="1" x14ac:dyDescent="0.25">
      <c r="A6" s="4" t="s">
        <v>33</v>
      </c>
      <c r="B6" s="5" t="s">
        <v>29</v>
      </c>
      <c r="C6" s="7" t="str">
        <f>CONCATENATE(C2,", ",C4,", ","in ",C5)</f>
        <v>UK, Imports, in d/bushel</v>
      </c>
      <c r="D6" s="7" t="str">
        <f>CONCATENATE(D2,", ",D4,", ","in ",D5)</f>
        <v>UK (London), , in d/bushel</v>
      </c>
      <c r="E6" s="7" t="str">
        <f t="shared" ref="E6:BP6" si="0">CONCATENATE(E2,", ",E4,", ","in ",E5)</f>
        <v>Odessa, , in d/bushel</v>
      </c>
      <c r="F6" s="7" t="str">
        <f t="shared" si="0"/>
        <v>Baghdad, Imports, in d/bushel</v>
      </c>
      <c r="G6" s="7" t="str">
        <f t="shared" si="0"/>
        <v>Baghdad, Exports, in d/bushel</v>
      </c>
      <c r="H6" s="7" t="str">
        <f t="shared" si="0"/>
        <v>Baghdad, Bazaar (Local), in d/bushel</v>
      </c>
      <c r="I6" s="7" t="str">
        <f t="shared" si="0"/>
        <v>Basrah, Imports, in d/bushel</v>
      </c>
      <c r="J6" s="7" t="str">
        <f t="shared" si="0"/>
        <v>Basrah, Exports, in d/bushel</v>
      </c>
      <c r="K6" s="7" t="str">
        <f t="shared" si="0"/>
        <v>Basrah, Bazaar (Local), in d/bushel</v>
      </c>
      <c r="L6" s="7" t="str">
        <f t="shared" si="0"/>
        <v>Mosul, Imports, in d/bushel</v>
      </c>
      <c r="M6" s="7" t="str">
        <f t="shared" si="0"/>
        <v>Mosul, Exports, in d/bushel</v>
      </c>
      <c r="N6" s="7" t="str">
        <f t="shared" si="0"/>
        <v>Mosul, Bazaar (Local), in d/bushel</v>
      </c>
      <c r="O6" s="7" t="str">
        <f t="shared" si="0"/>
        <v>Egypt, Imports, in d/bushel</v>
      </c>
      <c r="P6" s="7" t="str">
        <f t="shared" si="0"/>
        <v>Egypt, Exports, in d/bushel</v>
      </c>
      <c r="Q6" s="7" t="str">
        <f t="shared" si="0"/>
        <v>Egypt, Bazaar (Local), in d/bushel</v>
      </c>
      <c r="R6" s="7" t="str">
        <f t="shared" si="0"/>
        <v>Aleppo, , in d/bushel</v>
      </c>
      <c r="S6" s="7" t="str">
        <f t="shared" si="0"/>
        <v>Palestine, Imports, in d/bushel</v>
      </c>
      <c r="T6" s="7" t="str">
        <f t="shared" si="0"/>
        <v>Palestine, Exports, in d/bushel</v>
      </c>
      <c r="U6" s="7" t="str">
        <f t="shared" si="0"/>
        <v>Palestine, Bazaar (Local), in d/bushel</v>
      </c>
      <c r="V6" s="7" t="str">
        <f t="shared" si="0"/>
        <v>Damascus, Imports, in d/bushel</v>
      </c>
      <c r="W6" s="7" t="str">
        <f t="shared" si="0"/>
        <v>Damascus, Exports, in d/bushel</v>
      </c>
      <c r="X6" s="7" t="str">
        <f t="shared" si="0"/>
        <v>Damascus, Bazaar (Local), in d/bushel</v>
      </c>
      <c r="Y6" s="7" t="str">
        <f t="shared" si="0"/>
        <v>Beirut, Imports, in d/bushel</v>
      </c>
      <c r="Z6" s="7" t="str">
        <f t="shared" si="0"/>
        <v>Beirut, Exports, in d/bushel</v>
      </c>
      <c r="AA6" s="7" t="str">
        <f t="shared" si="0"/>
        <v>Beirut, Bazaar (Local), in d/bushel</v>
      </c>
      <c r="AB6" s="7" t="str">
        <f t="shared" si="0"/>
        <v>Alexandria, Exports, in d/bushel</v>
      </c>
      <c r="AC6" s="7" t="str">
        <f t="shared" si="0"/>
        <v>Istanbul (Rumeli), , in d/bushel</v>
      </c>
      <c r="AD6" s="7" t="str">
        <f t="shared" si="0"/>
        <v>Istanbul (Rumeli), Exports, in d/bushel</v>
      </c>
      <c r="AE6" s="7" t="str">
        <f t="shared" si="0"/>
        <v>Istanbul (Rumeli), Bazaar (Local), in d/bushel</v>
      </c>
      <c r="AF6" s="7" t="str">
        <f t="shared" si="0"/>
        <v>Istanbul (Anatolia), , in d/bushel</v>
      </c>
      <c r="AG6" s="7" t="str">
        <f t="shared" si="0"/>
        <v>Istanbul (Anatolia), Exports, in d/bushel</v>
      </c>
      <c r="AH6" s="7" t="str">
        <f t="shared" si="0"/>
        <v>Istanbul (Anatolia), Bazaar (Local), in d/bushel</v>
      </c>
      <c r="AI6" s="7" t="str">
        <f t="shared" si="0"/>
        <v>Istanbul (Nallrihan), Imports, in d/bushel</v>
      </c>
      <c r="AJ6" s="7" t="str">
        <f t="shared" si="0"/>
        <v>Istanbul (Nallrihan), Exports, in d/bushel</v>
      </c>
      <c r="AK6" s="7" t="str">
        <f t="shared" si="0"/>
        <v>Istanbul (Nallrihan), Bazaar (Local), in d/bushel</v>
      </c>
      <c r="AL6" s="7" t="str">
        <f t="shared" si="0"/>
        <v>Turkey, Imports, in d/bushel</v>
      </c>
      <c r="AM6" s="7" t="str">
        <f t="shared" si="0"/>
        <v>Turkey, Exports, in d/bushel</v>
      </c>
      <c r="AN6" s="7" t="str">
        <f t="shared" si="0"/>
        <v>Turkey, Bazaar (Local), in d/bushel</v>
      </c>
      <c r="AO6" s="7" t="str">
        <f t="shared" si="0"/>
        <v>Constantinople, Imports, in d/bushel</v>
      </c>
      <c r="AP6" s="7" t="str">
        <f t="shared" si="0"/>
        <v>Constantinople, Exports, in d/bushel</v>
      </c>
      <c r="AQ6" s="7" t="str">
        <f t="shared" si="0"/>
        <v>Constantinople, Bazaar (Local), in d/bushel</v>
      </c>
      <c r="AR6" s="7" t="str">
        <f t="shared" si="0"/>
        <v>Trebizond (Anatolia), Imports, in d/bushel</v>
      </c>
      <c r="AS6" s="7" t="str">
        <f t="shared" si="0"/>
        <v>Trebizond (Anatolia), Exports, in d/bushel</v>
      </c>
      <c r="AT6" s="7" t="str">
        <f t="shared" si="0"/>
        <v>Trebizond (Anatolia), Bazaar (Local), in d/bushel</v>
      </c>
      <c r="AU6" s="7" t="str">
        <f t="shared" si="0"/>
        <v>Trebizond (Persia), Imports, in d/bushel</v>
      </c>
      <c r="AV6" s="7" t="str">
        <f t="shared" si="0"/>
        <v>Trebizond (Persia), Exports, in d/bushel</v>
      </c>
      <c r="AW6" s="7" t="str">
        <f t="shared" si="0"/>
        <v>Trebizond (Persia), Bazaar (Local), in d/bushel</v>
      </c>
      <c r="AX6" s="7" t="str">
        <f t="shared" si="0"/>
        <v>Izmir, Imports, in d/bushel</v>
      </c>
      <c r="AY6" s="7" t="str">
        <f t="shared" si="0"/>
        <v>Izmir, Exports, in d/bushel</v>
      </c>
      <c r="AZ6" s="7" t="str">
        <f t="shared" si="0"/>
        <v>Izmir, Bazaar (Local), in d/bushel</v>
      </c>
      <c r="BA6" s="7" t="str">
        <f t="shared" si="0"/>
        <v>Alexandretta, Imports, in d/bushel</v>
      </c>
      <c r="BB6" s="7" t="str">
        <f t="shared" si="0"/>
        <v>Alexandretta, Exports, in d/bushel</v>
      </c>
      <c r="BC6" s="7" t="str">
        <f t="shared" si="0"/>
        <v>Alexandretta, Bazaar (Local), in d/bushel</v>
      </c>
      <c r="BD6" s="7" t="str">
        <f t="shared" si="0"/>
        <v>Ispahan, Imports, in d/bushel</v>
      </c>
      <c r="BE6" s="7" t="str">
        <f t="shared" si="0"/>
        <v>Ispahan, Exports, in d/bushel</v>
      </c>
      <c r="BF6" s="7" t="str">
        <f t="shared" si="0"/>
        <v>Ispahan, Bazaar (Local), in d/bushel</v>
      </c>
      <c r="BG6" s="7" t="str">
        <f t="shared" si="0"/>
        <v>Yezd, Imports, in d/bushel</v>
      </c>
      <c r="BH6" s="7" t="str">
        <f t="shared" si="0"/>
        <v>Yezd, Exports, in d/bushel</v>
      </c>
      <c r="BI6" s="7" t="str">
        <f t="shared" si="0"/>
        <v>Yezd, Bazaar (Local), in d/bushel</v>
      </c>
      <c r="BJ6" s="7" t="str">
        <f t="shared" si="0"/>
        <v>Khorasan, Imports, in d/bushel</v>
      </c>
      <c r="BK6" s="7" t="str">
        <f t="shared" si="0"/>
        <v>Khorasan, Exports, in d/bushel</v>
      </c>
      <c r="BL6" s="7" t="str">
        <f t="shared" si="0"/>
        <v>Khorasan, Bazaar (Local), in d/bushel</v>
      </c>
      <c r="BM6" s="7" t="str">
        <f t="shared" si="0"/>
        <v>Kermanshah, Imports, in d/bushel</v>
      </c>
      <c r="BN6" s="7" t="str">
        <f t="shared" si="0"/>
        <v>Kermanshah, Exports, in d/bushel</v>
      </c>
      <c r="BO6" s="7" t="str">
        <f t="shared" si="0"/>
        <v>Kermanshah, Bazaar (Local), in d/bushel</v>
      </c>
      <c r="BP6" s="7" t="str">
        <f t="shared" si="0"/>
        <v>Kerman, Imports, in d/bushel</v>
      </c>
      <c r="BQ6" s="7" t="str">
        <f t="shared" ref="BQ6:DE6" si="1">CONCATENATE(BQ2,", ",BQ4,", ","in ",BQ5)</f>
        <v>Kerman, Exports, in d/bushel</v>
      </c>
      <c r="BR6" s="7" t="str">
        <f t="shared" si="1"/>
        <v>Kerman, Bazaar (Local), in d/bushel</v>
      </c>
      <c r="BS6" s="7" t="str">
        <f t="shared" si="1"/>
        <v>Bam, Imports, in d/bushel</v>
      </c>
      <c r="BT6" s="7" t="str">
        <f t="shared" si="1"/>
        <v>Bam, Exports, in d/bushel</v>
      </c>
      <c r="BU6" s="7" t="str">
        <f t="shared" si="1"/>
        <v>Bam, Bazaar (Local), in d/bushel</v>
      </c>
      <c r="BV6" s="7" t="str">
        <f t="shared" si="1"/>
        <v>Resht, Imports, in d/bushel</v>
      </c>
      <c r="BW6" s="7" t="str">
        <f t="shared" si="1"/>
        <v>Resht, Exports, in d/bushel</v>
      </c>
      <c r="BX6" s="7" t="str">
        <f t="shared" si="1"/>
        <v>Resht, Bazaar (Local), in d/bushel</v>
      </c>
      <c r="BY6" s="7" t="str">
        <f t="shared" si="1"/>
        <v>Mazandaran, Imports, in d/bushel</v>
      </c>
      <c r="BZ6" s="7" t="str">
        <f t="shared" si="1"/>
        <v>Mazandaran, Exports, in d/bushel</v>
      </c>
      <c r="CA6" s="7" t="str">
        <f t="shared" si="1"/>
        <v>Mazandaran, Bazaar (Local), in d/bushel</v>
      </c>
      <c r="CB6" s="7" t="str">
        <f t="shared" si="1"/>
        <v>Ghilan &amp; Tunekabun, Imports, in d/bushel</v>
      </c>
      <c r="CC6" s="7" t="str">
        <f t="shared" si="1"/>
        <v>Ghilan &amp; Tunekabun, Exports, in d/bushel</v>
      </c>
      <c r="CD6" s="7" t="str">
        <f t="shared" si="1"/>
        <v>Ghilan &amp; Tunekabun, Bazaar (Local), in d/bushel</v>
      </c>
      <c r="CE6" s="7" t="str">
        <f t="shared" si="1"/>
        <v>Bender Gez &amp; Astarabad, Imports, in d/bushel</v>
      </c>
      <c r="CF6" s="7" t="str">
        <f t="shared" si="1"/>
        <v>Bender Gez &amp; Astarabad, Exports, in d/bushel</v>
      </c>
      <c r="CG6" s="7" t="str">
        <f t="shared" si="1"/>
        <v>Bender Gez &amp; Astarabad, Bazaar (Local), in d/bushel</v>
      </c>
      <c r="CH6" s="7" t="str">
        <f t="shared" si="1"/>
        <v>Astara, Imports, in d/bushel</v>
      </c>
      <c r="CI6" s="7" t="str">
        <f t="shared" si="1"/>
        <v>Astara, Exports, in d/bushel</v>
      </c>
      <c r="CJ6" s="7" t="str">
        <f t="shared" si="1"/>
        <v>Astara, Bazaar (Local), in d/bushel</v>
      </c>
      <c r="CK6" s="7" t="str">
        <f t="shared" si="1"/>
        <v>Sultanabad, Imports, in d/bushel</v>
      </c>
      <c r="CL6" s="7" t="str">
        <f t="shared" si="1"/>
        <v>Sultanabad, Exports, in d/bushel</v>
      </c>
      <c r="CM6" s="7" t="str">
        <f t="shared" si="1"/>
        <v>Sultanabad, Bazaar (Local), in d/bushel</v>
      </c>
      <c r="CN6" s="7" t="str">
        <f t="shared" si="1"/>
        <v>Bahrain, Imports, in d/bushel</v>
      </c>
      <c r="CO6" s="7" t="str">
        <f t="shared" si="1"/>
        <v>Bahrain, Exports, in d/bushel</v>
      </c>
      <c r="CP6" s="7" t="str">
        <f t="shared" si="1"/>
        <v>Bahrain, Bazaar (Local), in d/bushel</v>
      </c>
      <c r="CQ6" s="7" t="str">
        <f t="shared" si="1"/>
        <v>Muscat, Imports, in d/bushel</v>
      </c>
      <c r="CR6" s="7" t="str">
        <f t="shared" si="1"/>
        <v>Muscat, Exports, in d/bushel</v>
      </c>
      <c r="CS6" s="7" t="str">
        <f t="shared" si="1"/>
        <v>Muscat, Bazaar (Local), in d/bushel</v>
      </c>
      <c r="CT6" s="7" t="str">
        <f t="shared" si="1"/>
        <v>Mohammerah, Imports, in d/bushel</v>
      </c>
      <c r="CU6" s="7" t="str">
        <f t="shared" si="1"/>
        <v>Mohammerah, Exports, in d/bushel</v>
      </c>
      <c r="CV6" s="7" t="str">
        <f t="shared" si="1"/>
        <v>Mohammerah, Bazaar (Local), in d/bushel</v>
      </c>
      <c r="CW6" s="7" t="str">
        <f t="shared" si="1"/>
        <v>Lingah, Imports, in d/bushel</v>
      </c>
      <c r="CX6" s="7" t="str">
        <f t="shared" si="1"/>
        <v>Lingah, Exports, in d/bushel</v>
      </c>
      <c r="CY6" s="7" t="str">
        <f t="shared" si="1"/>
        <v>Lingah, Bazaar (Local), in d/bushel</v>
      </c>
      <c r="CZ6" s="7" t="str">
        <f t="shared" si="1"/>
        <v>Shiraz, Imports, in d/bushel</v>
      </c>
      <c r="DA6" s="7" t="str">
        <f t="shared" si="1"/>
        <v>Shiraz, Exports, in d/bushel</v>
      </c>
      <c r="DB6" s="7" t="str">
        <f t="shared" si="1"/>
        <v>Shiraz, Bazaar (Local), in d/bushel</v>
      </c>
      <c r="DC6" s="7" t="str">
        <f t="shared" si="1"/>
        <v>India, Imports, in d/bushel</v>
      </c>
      <c r="DD6" s="7" t="str">
        <f t="shared" si="1"/>
        <v>India, Exports, in d/bushel</v>
      </c>
      <c r="DE6" s="7" t="str">
        <f t="shared" si="1"/>
        <v>India, Wholesale, in d/bushel</v>
      </c>
    </row>
    <row r="7" spans="1:109" x14ac:dyDescent="0.25">
      <c r="A7" s="8">
        <v>1840</v>
      </c>
      <c r="C7" s="17"/>
      <c r="D7" s="17">
        <v>99.5</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row>
    <row r="8" spans="1:109" x14ac:dyDescent="0.25">
      <c r="A8" s="8">
        <f t="shared" ref="A8:A39" si="2">A7+1</f>
        <v>1841</v>
      </c>
      <c r="C8" s="17"/>
      <c r="D8" s="17">
        <v>96.5</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row>
    <row r="9" spans="1:109" x14ac:dyDescent="0.25">
      <c r="A9" s="8">
        <f t="shared" si="2"/>
        <v>1842</v>
      </c>
      <c r="C9" s="17"/>
      <c r="D9" s="17">
        <v>85.875</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row>
    <row r="10" spans="1:109" x14ac:dyDescent="0.25">
      <c r="A10" s="8">
        <f t="shared" si="2"/>
        <v>1843</v>
      </c>
      <c r="C10" s="17"/>
      <c r="D10" s="17">
        <v>75.125</v>
      </c>
      <c r="E10" s="17">
        <v>31.125</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row>
    <row r="11" spans="1:109" x14ac:dyDescent="0.25">
      <c r="A11" s="8">
        <f t="shared" si="2"/>
        <v>1844</v>
      </c>
      <c r="C11" s="17"/>
      <c r="D11" s="17">
        <v>76.875</v>
      </c>
      <c r="E11" s="17">
        <v>29</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row>
    <row r="12" spans="1:109" x14ac:dyDescent="0.25">
      <c r="A12" s="8">
        <f t="shared" si="2"/>
        <v>1845</v>
      </c>
      <c r="C12" s="17"/>
      <c r="D12" s="17">
        <v>76.25</v>
      </c>
      <c r="E12" s="17">
        <v>32.125</v>
      </c>
      <c r="F12" s="1"/>
      <c r="G12" s="1"/>
      <c r="H12" s="1"/>
      <c r="I12" s="1"/>
      <c r="J12" s="1"/>
      <c r="K12" s="1"/>
      <c r="L12" s="1"/>
      <c r="M12" s="1"/>
      <c r="N12" s="1"/>
      <c r="O12" s="1"/>
      <c r="P12" s="1"/>
      <c r="Q12" s="1"/>
      <c r="R12" s="17">
        <v>24.545454545454543</v>
      </c>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row>
    <row r="13" spans="1:109" x14ac:dyDescent="0.25">
      <c r="A13" s="8">
        <f t="shared" si="2"/>
        <v>1846</v>
      </c>
      <c r="C13" s="17"/>
      <c r="D13" s="17">
        <v>82</v>
      </c>
      <c r="E13" s="17">
        <v>38.75</v>
      </c>
      <c r="F13" s="1"/>
      <c r="G13" s="1"/>
      <c r="H13" s="1"/>
      <c r="I13" s="1"/>
      <c r="J13" s="1"/>
      <c r="K13" s="1"/>
      <c r="L13" s="1"/>
      <c r="M13" s="1"/>
      <c r="N13" s="1"/>
      <c r="O13" s="1"/>
      <c r="P13" s="1"/>
      <c r="Q13" s="1"/>
      <c r="R13" s="17">
        <v>53.999999999999993</v>
      </c>
      <c r="S13" s="1"/>
      <c r="T13" s="1"/>
      <c r="U13" s="1"/>
      <c r="V13" s="1"/>
      <c r="W13" s="1"/>
      <c r="X13" s="1"/>
      <c r="Y13" s="1"/>
      <c r="Z13" s="1"/>
      <c r="AA13" s="1"/>
      <c r="AB13" s="1"/>
      <c r="AC13" s="1"/>
      <c r="AD13" s="1"/>
      <c r="AE13" s="1"/>
      <c r="AF13" s="1"/>
      <c r="AG13" s="1"/>
      <c r="AH13" s="1"/>
      <c r="AI13" s="1"/>
      <c r="AJ13" s="1"/>
      <c r="AK13" s="1"/>
      <c r="AL13" s="1"/>
      <c r="AM13" s="1"/>
      <c r="AN13" s="1"/>
      <c r="AO13" s="1"/>
      <c r="AP13" s="1">
        <f>(240/2240*60)*6.13403668792843</f>
        <v>39.433092993825618</v>
      </c>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row>
    <row r="14" spans="1:109" x14ac:dyDescent="0.25">
      <c r="A14" s="8">
        <f t="shared" si="2"/>
        <v>1847</v>
      </c>
      <c r="C14" s="17"/>
      <c r="D14" s="17">
        <v>104.625</v>
      </c>
      <c r="E14" s="17">
        <v>46</v>
      </c>
      <c r="F14" s="1"/>
      <c r="G14" s="1"/>
      <c r="H14" s="1"/>
      <c r="I14" s="1"/>
      <c r="J14" s="1"/>
      <c r="K14" s="1"/>
      <c r="L14" s="1"/>
      <c r="M14" s="1"/>
      <c r="N14" s="1"/>
      <c r="O14" s="1"/>
      <c r="P14" s="1"/>
      <c r="Q14" s="1"/>
      <c r="R14" s="17">
        <v>53.999999999999993</v>
      </c>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row>
    <row r="15" spans="1:109" x14ac:dyDescent="0.25">
      <c r="A15" s="8">
        <f t="shared" si="2"/>
        <v>1848</v>
      </c>
      <c r="C15" s="17"/>
      <c r="D15" s="17">
        <v>75.75</v>
      </c>
      <c r="E15" s="17">
        <v>35.375</v>
      </c>
      <c r="F15" s="1"/>
      <c r="G15" s="1"/>
      <c r="H15" s="1"/>
      <c r="I15" s="1"/>
      <c r="J15" s="1"/>
      <c r="K15" s="1"/>
      <c r="L15" s="1"/>
      <c r="M15" s="1"/>
      <c r="N15" s="1"/>
      <c r="O15" s="1"/>
      <c r="P15" s="1"/>
      <c r="Q15" s="1"/>
      <c r="R15" s="17">
        <v>24.545454545454543</v>
      </c>
      <c r="S15" s="1"/>
      <c r="T15" s="1"/>
      <c r="U15" s="1"/>
      <c r="V15" s="1"/>
      <c r="W15" s="1"/>
      <c r="X15" s="1"/>
      <c r="Y15" s="1"/>
      <c r="Z15" s="1"/>
      <c r="AA15" s="1"/>
      <c r="AB15" s="17">
        <v>23.321149090909095</v>
      </c>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row>
    <row r="16" spans="1:109" x14ac:dyDescent="0.25">
      <c r="A16" s="8">
        <f t="shared" si="2"/>
        <v>1849</v>
      </c>
      <c r="C16" s="17"/>
      <c r="D16" s="17">
        <v>66.375</v>
      </c>
      <c r="E16" s="17">
        <v>37.25</v>
      </c>
      <c r="F16" s="1"/>
      <c r="G16" s="1"/>
      <c r="H16" s="1"/>
      <c r="I16" s="1"/>
      <c r="J16" s="1"/>
      <c r="K16" s="1"/>
      <c r="L16" s="1"/>
      <c r="M16" s="1"/>
      <c r="N16" s="1"/>
      <c r="O16" s="1"/>
      <c r="P16" s="1"/>
      <c r="Q16" s="1"/>
      <c r="R16" s="17"/>
      <c r="S16" s="1"/>
      <c r="T16" s="1"/>
      <c r="U16" s="1"/>
      <c r="V16" s="17">
        <v>23.563636363636359</v>
      </c>
      <c r="W16" s="1"/>
      <c r="X16" s="1"/>
      <c r="Y16" s="1"/>
      <c r="Z16" s="1"/>
      <c r="AA16" s="1"/>
      <c r="AB16" s="17">
        <v>17.490861818181816</v>
      </c>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row>
    <row r="17" spans="1:108" x14ac:dyDescent="0.25">
      <c r="A17" s="8">
        <f t="shared" si="2"/>
        <v>1850</v>
      </c>
      <c r="C17" s="17"/>
      <c r="D17" s="17">
        <v>60.375</v>
      </c>
      <c r="E17" s="17">
        <v>36.625</v>
      </c>
      <c r="F17" s="1"/>
      <c r="G17" s="1"/>
      <c r="H17" s="1"/>
      <c r="I17" s="1"/>
      <c r="J17" s="1"/>
      <c r="K17" s="1"/>
      <c r="L17" s="1"/>
      <c r="M17" s="1"/>
      <c r="N17" s="1"/>
      <c r="O17" s="1"/>
      <c r="P17" s="1"/>
      <c r="Q17" s="1"/>
      <c r="R17" s="17">
        <v>15.709090909090909</v>
      </c>
      <c r="S17" s="1"/>
      <c r="T17" s="1"/>
      <c r="U17" s="1"/>
      <c r="V17" s="17"/>
      <c r="W17" s="1"/>
      <c r="X17" s="1"/>
      <c r="Y17" s="1"/>
      <c r="Z17" s="1"/>
      <c r="AA17" s="1"/>
      <c r="AB17" s="17">
        <v>20.822454545454544</v>
      </c>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row>
    <row r="18" spans="1:108" x14ac:dyDescent="0.25">
      <c r="A18" s="8">
        <f t="shared" si="2"/>
        <v>1851</v>
      </c>
      <c r="C18" s="17"/>
      <c r="D18" s="17">
        <v>57.75</v>
      </c>
      <c r="E18" s="17">
        <v>31.375</v>
      </c>
      <c r="F18" s="1"/>
      <c r="G18" s="1"/>
      <c r="H18" s="1"/>
      <c r="I18" s="1"/>
      <c r="J18" s="1"/>
      <c r="K18" s="1"/>
      <c r="L18" s="1"/>
      <c r="M18" s="1"/>
      <c r="N18" s="1"/>
      <c r="O18" s="1"/>
      <c r="P18" s="1"/>
      <c r="Q18" s="1"/>
      <c r="R18" s="17"/>
      <c r="S18" s="1"/>
      <c r="T18" s="1"/>
      <c r="U18" s="1"/>
      <c r="V18" s="17"/>
      <c r="W18" s="1"/>
      <c r="X18" s="1"/>
      <c r="Y18" s="1"/>
      <c r="Z18" s="1"/>
      <c r="AA18" s="1"/>
      <c r="AB18" s="17"/>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row>
    <row r="19" spans="1:108" x14ac:dyDescent="0.25">
      <c r="A19" s="8">
        <f t="shared" si="2"/>
        <v>1852</v>
      </c>
      <c r="C19" s="17"/>
      <c r="D19" s="17">
        <v>61.125</v>
      </c>
      <c r="E19" s="17">
        <v>34.125</v>
      </c>
      <c r="F19" s="1"/>
      <c r="G19" s="1"/>
      <c r="H19" s="1"/>
      <c r="I19" s="1"/>
      <c r="J19" s="1"/>
      <c r="K19" s="1"/>
      <c r="L19" s="1"/>
      <c r="M19" s="1"/>
      <c r="N19" s="1"/>
      <c r="O19" s="1"/>
      <c r="P19" s="1"/>
      <c r="Q19" s="1"/>
      <c r="R19" s="17"/>
      <c r="S19" s="1"/>
      <c r="T19" s="1"/>
      <c r="U19" s="1"/>
      <c r="V19" s="17"/>
      <c r="W19" s="1"/>
      <c r="X19" s="1"/>
      <c r="Y19" s="1"/>
      <c r="Z19" s="1"/>
      <c r="AA19" s="1"/>
      <c r="AB19" s="17">
        <v>27.48564</v>
      </c>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row>
    <row r="20" spans="1:108" x14ac:dyDescent="0.25">
      <c r="A20" s="8">
        <f t="shared" si="2"/>
        <v>1853</v>
      </c>
      <c r="C20" s="17"/>
      <c r="D20" s="17">
        <v>79.875</v>
      </c>
      <c r="E20" s="17">
        <v>38</v>
      </c>
      <c r="F20" s="1"/>
      <c r="G20" s="1"/>
      <c r="H20" s="1"/>
      <c r="I20" s="1"/>
      <c r="J20" s="1"/>
      <c r="K20" s="1"/>
      <c r="L20" s="1"/>
      <c r="M20" s="1"/>
      <c r="N20" s="1"/>
      <c r="O20" s="1"/>
      <c r="P20" s="1"/>
      <c r="Q20" s="1"/>
      <c r="R20" s="17"/>
      <c r="S20" s="1"/>
      <c r="T20" s="1"/>
      <c r="U20" s="1"/>
      <c r="V20" s="17"/>
      <c r="W20" s="1"/>
      <c r="X20" s="1"/>
      <c r="Y20" s="1"/>
      <c r="Z20" s="1"/>
      <c r="AA20" s="1"/>
      <c r="AB20" s="17"/>
      <c r="AC20" s="1"/>
      <c r="AD20" s="1"/>
      <c r="AE20" s="1"/>
      <c r="AF20" s="1"/>
      <c r="AG20" s="1"/>
      <c r="AH20" s="1"/>
      <c r="AI20" s="1"/>
      <c r="AJ20" s="1"/>
      <c r="AK20" s="1"/>
      <c r="AL20" s="1"/>
      <c r="AM20" s="1"/>
      <c r="AN20" s="1"/>
      <c r="AO20" s="1"/>
      <c r="AP20" s="1"/>
      <c r="AQ20" s="1"/>
      <c r="AR20" s="1"/>
      <c r="AS20" s="1"/>
      <c r="AT20" s="1"/>
      <c r="AU20" s="1"/>
      <c r="AV20" s="1"/>
      <c r="AW20" s="1"/>
      <c r="AX20" s="1"/>
      <c r="AY20" s="1"/>
      <c r="AZ20" s="1"/>
      <c r="BA20" s="3"/>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row>
    <row r="21" spans="1:108" x14ac:dyDescent="0.25">
      <c r="A21" s="8">
        <f t="shared" si="2"/>
        <v>1854</v>
      </c>
      <c r="C21" s="17">
        <v>101.11748352598057</v>
      </c>
      <c r="D21" s="17">
        <v>108.625</v>
      </c>
      <c r="E21" s="17">
        <v>46.125</v>
      </c>
      <c r="F21" s="1"/>
      <c r="G21" s="1"/>
      <c r="H21" s="1"/>
      <c r="I21" s="1"/>
      <c r="J21" s="1"/>
      <c r="K21" s="1"/>
      <c r="L21" s="1"/>
      <c r="M21" s="1"/>
      <c r="N21" s="1"/>
      <c r="O21" s="1"/>
      <c r="P21" s="1"/>
      <c r="Q21" s="1"/>
      <c r="R21" s="17"/>
      <c r="S21" s="1"/>
      <c r="T21" s="1"/>
      <c r="U21" s="1"/>
      <c r="V21" s="17"/>
      <c r="W21" s="10"/>
      <c r="X21" s="1"/>
      <c r="Y21" s="1"/>
      <c r="Z21" s="1"/>
      <c r="AA21" s="1"/>
      <c r="AB21" s="17"/>
      <c r="AC21" s="1"/>
      <c r="AD21" s="1"/>
      <c r="AE21" s="1"/>
      <c r="AF21" s="1"/>
      <c r="AG21" s="1"/>
      <c r="AH21" s="1"/>
      <c r="AI21" s="1"/>
      <c r="AJ21" s="1"/>
      <c r="AK21" s="1"/>
      <c r="AL21" s="1"/>
      <c r="AM21" s="1"/>
      <c r="AN21" s="1"/>
      <c r="AO21" s="1"/>
      <c r="AP21" s="1"/>
      <c r="AQ21" s="1"/>
      <c r="AR21" s="1"/>
      <c r="AS21" s="1"/>
      <c r="AT21" s="1"/>
      <c r="AU21" s="1"/>
      <c r="AV21" s="1"/>
      <c r="AW21" s="1"/>
      <c r="AX21" s="1"/>
      <c r="AY21" s="1"/>
      <c r="AZ21" s="1"/>
      <c r="BA21" s="16"/>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row>
    <row r="22" spans="1:108" x14ac:dyDescent="0.25">
      <c r="A22" s="8">
        <f t="shared" si="2"/>
        <v>1855</v>
      </c>
      <c r="C22" s="17">
        <v>107.65680361962106</v>
      </c>
      <c r="D22" s="17">
        <v>112</v>
      </c>
      <c r="E22" s="17"/>
      <c r="F22" s="1"/>
      <c r="G22" s="1"/>
      <c r="H22" s="1"/>
      <c r="I22" s="1"/>
      <c r="J22" s="1"/>
      <c r="K22" s="1"/>
      <c r="L22" s="1"/>
      <c r="M22" s="1"/>
      <c r="N22" s="1"/>
      <c r="O22" s="1"/>
      <c r="P22" s="1"/>
      <c r="Q22" s="1"/>
      <c r="R22" s="17">
        <v>29.45454545454545</v>
      </c>
      <c r="S22" s="1"/>
      <c r="T22" s="1"/>
      <c r="U22" s="1"/>
      <c r="V22" s="17"/>
      <c r="W22" s="1"/>
      <c r="X22" s="1"/>
      <c r="Y22" s="1"/>
      <c r="Z22" s="1"/>
      <c r="AA22" s="1"/>
      <c r="AB22" s="17"/>
      <c r="AC22" s="1"/>
      <c r="AD22" s="1"/>
      <c r="AE22" s="1"/>
      <c r="AF22" s="1"/>
      <c r="AG22" s="1"/>
      <c r="AH22" s="1"/>
      <c r="AI22" s="1"/>
      <c r="AJ22" s="1"/>
      <c r="AK22" s="1"/>
      <c r="AL22" s="1"/>
      <c r="AM22" s="1"/>
      <c r="AN22" s="1"/>
      <c r="AO22" s="1"/>
      <c r="AP22" s="1"/>
      <c r="AQ22" s="1"/>
      <c r="AR22" s="1"/>
      <c r="AS22" s="1"/>
      <c r="AT22" s="1"/>
      <c r="AU22" s="1"/>
      <c r="AV22" s="1"/>
      <c r="AW22" s="1"/>
      <c r="AX22" s="1"/>
      <c r="AY22" s="1"/>
      <c r="AZ22" s="1"/>
      <c r="BA22" s="16"/>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row>
    <row r="23" spans="1:108" x14ac:dyDescent="0.25">
      <c r="A23" s="8">
        <f t="shared" si="2"/>
        <v>1856</v>
      </c>
      <c r="C23" s="17">
        <v>92.637794634095499</v>
      </c>
      <c r="D23" s="17">
        <v>103.75</v>
      </c>
      <c r="E23" s="17">
        <v>67.5</v>
      </c>
      <c r="F23" s="1"/>
      <c r="G23" s="1"/>
      <c r="H23" s="1"/>
      <c r="I23" s="1"/>
      <c r="J23" s="1"/>
      <c r="K23" s="1"/>
      <c r="L23" s="1"/>
      <c r="M23" s="1"/>
      <c r="N23" s="1"/>
      <c r="O23" s="1"/>
      <c r="P23" s="1"/>
      <c r="Q23" s="1"/>
      <c r="R23" s="17">
        <v>23.563636363636359</v>
      </c>
      <c r="S23" s="1"/>
      <c r="T23" s="1">
        <f>(240*60)*0.00416230670852226</f>
        <v>59.937216602720547</v>
      </c>
      <c r="U23" s="1"/>
      <c r="V23" s="17"/>
      <c r="W23" s="1"/>
      <c r="X23" s="1"/>
      <c r="Y23" s="1"/>
      <c r="Z23" s="1"/>
      <c r="AA23" s="1"/>
      <c r="AB23" s="17"/>
      <c r="AC23" s="1"/>
      <c r="AD23" s="1"/>
      <c r="AE23" s="1"/>
      <c r="AF23" s="1"/>
      <c r="AG23" s="1"/>
      <c r="AH23" s="1"/>
      <c r="AI23" s="1"/>
      <c r="AJ23" s="1"/>
      <c r="AK23" s="1"/>
      <c r="AL23" s="1"/>
      <c r="AM23" s="1"/>
      <c r="AN23" s="1"/>
      <c r="AO23" s="1"/>
      <c r="AP23" s="1"/>
      <c r="AQ23" s="1"/>
      <c r="AR23" s="1"/>
      <c r="AS23" s="1"/>
      <c r="AT23" s="1"/>
      <c r="AU23" s="1"/>
      <c r="AV23" s="1"/>
      <c r="AW23" s="1"/>
      <c r="AX23" s="1"/>
      <c r="AY23" s="1"/>
      <c r="AZ23" s="1"/>
      <c r="BA23" s="16"/>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row>
    <row r="24" spans="1:108" x14ac:dyDescent="0.25">
      <c r="A24" s="8">
        <f t="shared" si="2"/>
        <v>1857</v>
      </c>
      <c r="C24" s="17">
        <v>82.531658671533947</v>
      </c>
      <c r="D24" s="17">
        <v>84.5</v>
      </c>
      <c r="E24" s="17">
        <v>56.25</v>
      </c>
      <c r="F24" s="1"/>
      <c r="G24" s="1"/>
      <c r="H24" s="1"/>
      <c r="I24" s="1"/>
      <c r="J24" s="1"/>
      <c r="K24" s="1"/>
      <c r="L24" s="1"/>
      <c r="M24" s="1"/>
      <c r="N24" s="1"/>
      <c r="O24" s="1"/>
      <c r="P24" s="1"/>
      <c r="Q24" s="1"/>
      <c r="R24" s="17">
        <v>39.272727272727273</v>
      </c>
      <c r="S24" s="1"/>
      <c r="T24" s="1">
        <f>(240*60)*0.00317404952912452</f>
        <v>45.706313219393088</v>
      </c>
      <c r="U24" s="1"/>
      <c r="V24" s="17"/>
      <c r="W24" s="1"/>
      <c r="X24" s="1"/>
      <c r="Y24" s="1"/>
      <c r="Z24" s="1"/>
      <c r="AA24" s="1"/>
      <c r="AB24" s="17"/>
      <c r="AC24" s="1"/>
      <c r="AD24" s="1"/>
      <c r="AE24" s="1"/>
      <c r="AF24" s="1"/>
      <c r="AG24" s="1"/>
      <c r="AH24" s="1"/>
      <c r="AI24" s="1"/>
      <c r="AJ24" s="1"/>
      <c r="AK24" s="1"/>
      <c r="AL24" s="1"/>
      <c r="AM24" s="1"/>
      <c r="AN24" s="1"/>
      <c r="AO24" s="1"/>
      <c r="AP24" s="1"/>
      <c r="AQ24" s="1"/>
      <c r="AR24" s="1"/>
      <c r="AS24" s="1"/>
      <c r="AT24" s="1"/>
      <c r="AU24" s="1"/>
      <c r="AV24" s="1"/>
      <c r="AW24" s="1"/>
      <c r="AX24" s="1"/>
      <c r="AY24" s="1"/>
      <c r="AZ24" s="1"/>
      <c r="BA24" s="16"/>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row>
    <row r="25" spans="1:108" x14ac:dyDescent="0.25">
      <c r="A25" s="8">
        <f t="shared" si="2"/>
        <v>1858</v>
      </c>
      <c r="C25" s="17">
        <v>63.306962208059012</v>
      </c>
      <c r="D25" s="17">
        <v>66.25</v>
      </c>
      <c r="E25" s="17">
        <v>46.875</v>
      </c>
      <c r="F25" s="1"/>
      <c r="G25" s="1"/>
      <c r="H25" s="1"/>
      <c r="I25" s="1"/>
      <c r="J25" s="1"/>
      <c r="K25" s="1"/>
      <c r="L25" s="1"/>
      <c r="M25" s="1"/>
      <c r="N25" s="1"/>
      <c r="O25" s="1"/>
      <c r="P25" s="1"/>
      <c r="Q25" s="1"/>
      <c r="R25" s="17"/>
      <c r="S25" s="1"/>
      <c r="T25" s="1">
        <f>(240*60)*0.00226263559069117</f>
        <v>32.581952505952849</v>
      </c>
      <c r="U25" s="3"/>
      <c r="V25" s="17"/>
      <c r="W25" s="1"/>
      <c r="X25" s="1"/>
      <c r="Y25" s="1"/>
      <c r="Z25" s="1"/>
      <c r="AA25" s="1"/>
      <c r="AB25" s="17"/>
      <c r="AC25" s="1"/>
      <c r="AD25" s="1"/>
      <c r="AE25" s="1"/>
      <c r="AF25" s="1"/>
      <c r="AG25" s="1"/>
      <c r="AH25" s="1"/>
      <c r="AI25" s="1"/>
      <c r="AJ25" s="1"/>
      <c r="AK25" s="1"/>
      <c r="AL25" s="1"/>
      <c r="AM25" s="1"/>
      <c r="AN25" s="1"/>
      <c r="AO25" s="1"/>
      <c r="AP25" s="1"/>
      <c r="AQ25" s="1"/>
      <c r="AR25" s="1"/>
      <c r="AS25" s="1"/>
      <c r="AT25" s="1"/>
      <c r="AU25" s="1"/>
      <c r="AV25" s="1"/>
      <c r="AW25" s="1"/>
      <c r="AX25" s="1"/>
      <c r="AY25" s="1"/>
      <c r="AZ25" s="1"/>
      <c r="BA25" s="16"/>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row>
    <row r="26" spans="1:108" x14ac:dyDescent="0.25">
      <c r="A26" s="8">
        <f t="shared" si="2"/>
        <v>1859</v>
      </c>
      <c r="C26" s="17">
        <v>64.61844596378468</v>
      </c>
      <c r="D26" s="17">
        <v>65.625</v>
      </c>
      <c r="E26" s="17">
        <v>44.625</v>
      </c>
      <c r="F26" s="1"/>
      <c r="G26" s="1"/>
      <c r="H26" s="1"/>
      <c r="I26" s="1"/>
      <c r="J26" s="1"/>
      <c r="K26" s="1"/>
      <c r="L26" s="1"/>
      <c r="M26" s="1"/>
      <c r="N26" s="1"/>
      <c r="O26" s="1"/>
      <c r="P26" s="1"/>
      <c r="Q26" s="1"/>
      <c r="R26" s="17">
        <v>110.45454545454544</v>
      </c>
      <c r="S26" s="1"/>
      <c r="T26" s="1">
        <f>(240*60)*0.00342923751601314</f>
        <v>49.381020230589215</v>
      </c>
      <c r="V26" s="17"/>
      <c r="W26" s="1"/>
      <c r="X26" s="1"/>
      <c r="Y26" s="1"/>
      <c r="Z26" s="1"/>
      <c r="AA26" s="1"/>
      <c r="AB26" s="17">
        <v>30.817232727272724</v>
      </c>
      <c r="AC26" s="1"/>
      <c r="AD26" s="1"/>
      <c r="AE26" s="1"/>
      <c r="AF26" s="1"/>
      <c r="AG26" s="1"/>
      <c r="AH26" s="1"/>
      <c r="AI26" s="1"/>
      <c r="AJ26" s="1"/>
      <c r="AK26" s="1"/>
      <c r="AL26" s="1"/>
      <c r="AM26" s="1"/>
      <c r="AN26" s="1"/>
      <c r="AO26" s="1"/>
      <c r="AP26" s="1"/>
      <c r="AQ26" s="1"/>
      <c r="AR26" s="1"/>
      <c r="AS26" s="1"/>
      <c r="AT26" s="1"/>
      <c r="AU26" s="1"/>
      <c r="AV26" s="1"/>
      <c r="AW26" s="1"/>
      <c r="AX26" s="1"/>
      <c r="AY26" s="1"/>
      <c r="AZ26" s="1"/>
      <c r="BA26" s="16"/>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row>
    <row r="27" spans="1:108" x14ac:dyDescent="0.25">
      <c r="A27" s="8">
        <f t="shared" si="2"/>
        <v>1860</v>
      </c>
      <c r="C27" s="17">
        <v>83.517873520683509</v>
      </c>
      <c r="D27" s="17">
        <v>79.875</v>
      </c>
      <c r="E27" s="17">
        <v>54.5</v>
      </c>
      <c r="F27" s="1"/>
      <c r="G27" s="1"/>
      <c r="H27" s="1"/>
      <c r="I27" s="1"/>
      <c r="J27" s="1"/>
      <c r="K27" s="1"/>
      <c r="L27" s="1"/>
      <c r="M27" s="1"/>
      <c r="N27" s="1"/>
      <c r="O27" s="1"/>
      <c r="P27" s="1"/>
      <c r="Q27" s="1"/>
      <c r="R27" s="17">
        <v>166.90909090909088</v>
      </c>
      <c r="S27" s="1"/>
      <c r="T27" s="1">
        <f>(240*60)*0.00524589481966679</f>
        <v>75.540885403201784</v>
      </c>
      <c r="V27" s="17"/>
      <c r="W27" s="1"/>
      <c r="X27" s="1"/>
      <c r="Y27" s="1"/>
      <c r="Z27" s="1"/>
      <c r="AA27" s="1"/>
      <c r="AB27" s="17"/>
      <c r="AC27" s="1"/>
      <c r="AD27" s="1"/>
      <c r="AE27" s="1"/>
      <c r="AF27" s="1"/>
      <c r="AG27" s="1"/>
      <c r="AH27" s="1"/>
      <c r="AI27" s="1"/>
      <c r="AJ27" s="1"/>
      <c r="AK27" s="1"/>
      <c r="AL27" s="1"/>
      <c r="AM27" s="1"/>
      <c r="AN27" s="1"/>
      <c r="AO27" s="1"/>
      <c r="AP27" s="1"/>
      <c r="AQ27" s="1"/>
      <c r="AR27" s="1"/>
      <c r="AS27" s="1"/>
      <c r="AT27" s="1"/>
      <c r="AU27" s="1"/>
      <c r="AV27" s="1"/>
      <c r="AW27" s="1"/>
      <c r="AX27" s="1"/>
      <c r="AY27" s="1"/>
      <c r="AZ27" s="1"/>
      <c r="BA27" s="16"/>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row>
    <row r="28" spans="1:108" x14ac:dyDescent="0.25">
      <c r="A28" s="8">
        <f t="shared" si="2"/>
        <v>1861</v>
      </c>
      <c r="C28" s="17">
        <v>81.770336873240723</v>
      </c>
      <c r="D28" s="17">
        <v>83</v>
      </c>
      <c r="E28" s="17">
        <v>51.75</v>
      </c>
      <c r="F28" s="1"/>
      <c r="G28" s="1"/>
      <c r="H28" s="17">
        <f>(240*60)*0.00219668471609752</f>
        <v>31.632259911804287</v>
      </c>
      <c r="I28" s="1"/>
      <c r="J28" s="1"/>
      <c r="K28" s="1"/>
      <c r="L28" s="1"/>
      <c r="M28" s="1"/>
      <c r="N28" s="1"/>
      <c r="O28" s="1"/>
      <c r="P28" s="1"/>
      <c r="Q28" s="1"/>
      <c r="R28" s="17">
        <v>49.090909090909086</v>
      </c>
      <c r="S28" s="1"/>
      <c r="T28" s="1">
        <f>(240*60)*0.00409835369120058</f>
        <v>59.016293153288352</v>
      </c>
      <c r="V28" s="17"/>
      <c r="W28" s="1"/>
      <c r="X28" s="1"/>
      <c r="Y28" s="1"/>
      <c r="Z28" s="1"/>
      <c r="AA28" s="1"/>
      <c r="AB28" s="17"/>
      <c r="AC28" s="1"/>
      <c r="AD28" s="1"/>
      <c r="AE28" s="1"/>
      <c r="AF28" s="1"/>
      <c r="AG28" s="1"/>
      <c r="AH28" s="1"/>
      <c r="AI28" s="1"/>
      <c r="AJ28" s="1"/>
      <c r="AK28" s="1"/>
      <c r="AL28" s="1"/>
      <c r="AM28" s="1"/>
      <c r="AN28" s="1"/>
      <c r="AO28" s="1"/>
      <c r="AP28" s="1"/>
      <c r="AQ28" s="1"/>
      <c r="AR28" s="1"/>
      <c r="AS28" s="1"/>
      <c r="AT28" s="1"/>
      <c r="AU28" s="1"/>
      <c r="AV28" s="1"/>
      <c r="AW28" s="1"/>
      <c r="AX28" s="1"/>
      <c r="AY28" s="1"/>
      <c r="AZ28" s="1"/>
      <c r="BA28" s="16"/>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DD28" s="1">
        <v>45.798465616883675</v>
      </c>
    </row>
    <row r="29" spans="1:108" x14ac:dyDescent="0.25">
      <c r="A29" s="8">
        <f t="shared" si="2"/>
        <v>1862</v>
      </c>
      <c r="C29" s="17">
        <v>72.705118894814177</v>
      </c>
      <c r="D29" s="17">
        <v>83.125</v>
      </c>
      <c r="E29" s="17">
        <v>45.125</v>
      </c>
      <c r="F29" s="1"/>
      <c r="G29" s="1"/>
      <c r="H29" s="17">
        <f>(240*60)*0.00219668471609752</f>
        <v>31.632259911804287</v>
      </c>
      <c r="I29" s="1"/>
      <c r="J29" s="1"/>
      <c r="K29" s="1"/>
      <c r="L29" s="1"/>
      <c r="M29" s="1"/>
      <c r="N29" s="1"/>
      <c r="O29" s="1"/>
      <c r="P29" s="1"/>
      <c r="Q29" s="1"/>
      <c r="R29" s="17"/>
      <c r="S29" s="1"/>
      <c r="T29" s="1">
        <f>(240*60)*0.00290747348647622</f>
        <v>41.867618205257564</v>
      </c>
      <c r="U29" s="1">
        <f>(240*60)*0.00314207650273224</f>
        <v>45.245901639344261</v>
      </c>
      <c r="V29" s="17"/>
      <c r="W29" s="1"/>
      <c r="X29" s="1"/>
      <c r="Y29" s="1"/>
      <c r="Z29" s="1"/>
      <c r="AA29" s="1"/>
      <c r="AB29" s="17"/>
      <c r="AC29" s="1"/>
      <c r="AD29" s="1"/>
      <c r="AE29" s="1"/>
      <c r="AF29" s="1"/>
      <c r="AG29" s="1"/>
      <c r="AH29" s="1"/>
      <c r="AI29" s="1"/>
      <c r="AJ29" s="1"/>
      <c r="AK29" s="1"/>
      <c r="AL29" s="1"/>
      <c r="AM29" s="1"/>
      <c r="AN29" s="1"/>
      <c r="AO29" s="1"/>
      <c r="AP29" s="1">
        <f>(240/2240*60)*6.73333333333333</f>
        <v>43.285714285714256</v>
      </c>
      <c r="AQ29" s="1"/>
      <c r="AR29" s="1"/>
      <c r="AS29" s="1"/>
      <c r="AT29" s="1"/>
      <c r="AU29" s="1"/>
      <c r="AV29" s="1"/>
      <c r="AW29" s="1"/>
      <c r="AX29" s="1"/>
      <c r="AY29" s="1"/>
      <c r="AZ29" s="1"/>
      <c r="BA29" s="16"/>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DD29" s="1">
        <v>42.853151712720816</v>
      </c>
    </row>
    <row r="30" spans="1:108" x14ac:dyDescent="0.25">
      <c r="A30" s="8">
        <f t="shared" si="2"/>
        <v>1863</v>
      </c>
      <c r="C30" s="17">
        <v>63.404024118624264</v>
      </c>
      <c r="D30" s="17">
        <v>67.125</v>
      </c>
      <c r="E30" s="17">
        <v>45.875</v>
      </c>
      <c r="F30" s="1"/>
      <c r="G30" s="1"/>
      <c r="H30" s="17">
        <f>(240*60)*0.00219668471609752</f>
        <v>31.632259911804287</v>
      </c>
      <c r="I30" s="1"/>
      <c r="J30" s="1"/>
      <c r="K30" s="1"/>
      <c r="L30" s="1"/>
      <c r="M30" s="1"/>
      <c r="N30" s="1"/>
      <c r="O30" s="1"/>
      <c r="P30" s="1"/>
      <c r="Q30" s="1"/>
      <c r="R30" s="17"/>
      <c r="S30" s="1"/>
      <c r="T30" s="1">
        <f>(240*60)*0.00279261632274314</f>
        <v>40.213675047501212</v>
      </c>
      <c r="U30" s="1">
        <f>(240*60)*0.00278754805355486</f>
        <v>40.140691971189987</v>
      </c>
      <c r="V30" s="17">
        <v>43.199999999999996</v>
      </c>
      <c r="W30" s="1"/>
      <c r="X30" s="1"/>
      <c r="Y30" s="1"/>
      <c r="Z30" s="1"/>
      <c r="AA30" s="1"/>
      <c r="AB30" s="17"/>
      <c r="AC30" s="1"/>
      <c r="AD30" s="1"/>
      <c r="AE30" s="1"/>
      <c r="AF30" s="1"/>
      <c r="AG30" s="1"/>
      <c r="AH30" s="1"/>
      <c r="AI30" s="1"/>
      <c r="AJ30" s="1"/>
      <c r="AK30" s="1"/>
      <c r="AL30" s="1"/>
      <c r="AM30" s="1"/>
      <c r="AN30" s="1"/>
      <c r="AO30" s="1"/>
      <c r="AP30" s="1"/>
      <c r="AQ30" s="1"/>
      <c r="AR30" s="1"/>
      <c r="AS30" s="1"/>
      <c r="AT30" s="1"/>
      <c r="AU30" s="1"/>
      <c r="AV30" s="1"/>
      <c r="AW30" s="1"/>
      <c r="AX30" s="1"/>
      <c r="AY30" s="1"/>
      <c r="AZ30" s="1"/>
      <c r="BA30" s="16"/>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DD30" s="1">
        <v>35.192458031018845</v>
      </c>
    </row>
    <row r="31" spans="1:108" x14ac:dyDescent="0.25">
      <c r="A31" s="8">
        <f t="shared" si="2"/>
        <v>1864</v>
      </c>
      <c r="C31" s="17">
        <v>59.165945413031949</v>
      </c>
      <c r="D31" s="17">
        <v>60.25</v>
      </c>
      <c r="E31" s="17">
        <v>39</v>
      </c>
      <c r="G31" s="1"/>
      <c r="H31" s="17">
        <f>(240*60)*0.00219668471609752</f>
        <v>31.632259911804287</v>
      </c>
      <c r="I31" s="1"/>
      <c r="J31" s="1"/>
      <c r="K31" s="1">
        <f>(240*60)*0.00268003273322422</f>
        <v>38.592471358428774</v>
      </c>
      <c r="L31" s="1"/>
      <c r="M31" s="1"/>
      <c r="N31" s="1"/>
      <c r="O31" s="1"/>
      <c r="P31" s="1"/>
      <c r="Q31" s="1"/>
      <c r="R31" s="17"/>
      <c r="S31" s="1"/>
      <c r="U31" s="1"/>
      <c r="V31" s="19"/>
      <c r="W31" s="1"/>
      <c r="X31" s="1"/>
      <c r="Y31" s="1"/>
      <c r="Z31" s="1"/>
      <c r="AA31" s="1"/>
      <c r="AB31" s="17"/>
      <c r="AC31" s="1"/>
      <c r="AD31" s="1"/>
      <c r="AE31" s="1"/>
      <c r="AF31" s="1"/>
      <c r="AG31" s="1"/>
      <c r="AH31" s="1"/>
      <c r="AI31" s="1"/>
      <c r="AJ31" s="1"/>
      <c r="AK31" s="1"/>
      <c r="AL31" s="1"/>
      <c r="AM31" s="1"/>
      <c r="AN31" s="1"/>
      <c r="AO31" s="1"/>
      <c r="AP31" s="1"/>
      <c r="AQ31" s="1"/>
      <c r="AR31" s="1"/>
      <c r="AS31" s="1"/>
      <c r="AT31" s="1"/>
      <c r="AU31" s="1"/>
      <c r="AV31" s="1"/>
      <c r="AW31" s="1"/>
      <c r="AX31" s="1"/>
      <c r="AY31" s="3"/>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DD31" s="1">
        <v>52.000490633384445</v>
      </c>
    </row>
    <row r="32" spans="1:108" x14ac:dyDescent="0.25">
      <c r="A32" s="8">
        <f t="shared" si="2"/>
        <v>1865</v>
      </c>
      <c r="C32" s="17">
        <v>59.978571428571428</v>
      </c>
      <c r="D32" s="17">
        <v>62.75</v>
      </c>
      <c r="E32" s="17">
        <v>42.375</v>
      </c>
      <c r="F32" s="18">
        <f>(240*60)*0.00491036902176395</f>
        <v>70.709313913400891</v>
      </c>
      <c r="G32" s="17">
        <v>38.571428571428569</v>
      </c>
      <c r="H32" s="17">
        <f>(240*60)*0.00219668471609752</f>
        <v>31.632259911804287</v>
      </c>
      <c r="I32" s="1"/>
      <c r="J32" s="1"/>
      <c r="K32" s="1">
        <f>(240*60)*0.00291462084015275</f>
        <v>41.970540098199599</v>
      </c>
      <c r="L32" s="1"/>
      <c r="M32" s="1"/>
      <c r="N32" s="1"/>
      <c r="O32" s="1"/>
      <c r="P32" s="1"/>
      <c r="Q32" s="1"/>
      <c r="R32" s="17"/>
      <c r="S32" s="1"/>
      <c r="U32" s="1"/>
      <c r="V32" s="17"/>
      <c r="W32" s="1"/>
      <c r="X32" s="1"/>
      <c r="Y32" s="1"/>
      <c r="Z32" s="1"/>
      <c r="AA32" s="1"/>
      <c r="AB32" s="17"/>
      <c r="AC32" s="1"/>
      <c r="AD32" s="1"/>
      <c r="AE32" s="1"/>
      <c r="AF32" s="1"/>
      <c r="AG32" s="1"/>
      <c r="AH32" s="1"/>
      <c r="AI32" s="1"/>
      <c r="AJ32" s="1"/>
      <c r="AK32" s="1"/>
      <c r="AL32" s="1"/>
      <c r="AM32" s="1"/>
      <c r="AN32" s="1"/>
      <c r="AO32" s="1"/>
      <c r="AQ32" s="1"/>
      <c r="AR32" s="1"/>
      <c r="AS32" s="1"/>
      <c r="AT32" s="1"/>
      <c r="AU32" s="1"/>
      <c r="AV32" s="1"/>
      <c r="AW32" s="1"/>
      <c r="AX32" s="1"/>
      <c r="AY32" s="3"/>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DD32" s="1">
        <v>54.347968961976974</v>
      </c>
    </row>
    <row r="33" spans="1:109" x14ac:dyDescent="0.25">
      <c r="A33" s="8">
        <f t="shared" si="2"/>
        <v>1866</v>
      </c>
      <c r="C33" s="17">
        <v>72.064285714285731</v>
      </c>
      <c r="D33" s="17">
        <v>74.875</v>
      </c>
      <c r="E33" s="17">
        <v>53.875</v>
      </c>
      <c r="F33" s="17">
        <f>(240*60)*0.00676488775198301</f>
        <v>97.414383628555356</v>
      </c>
      <c r="G33" s="17"/>
      <c r="H33" s="17">
        <f>(240*60)*0.0034640028215384</f>
        <v>49.881640630152958</v>
      </c>
      <c r="I33" s="1"/>
      <c r="J33" s="1"/>
      <c r="K33" s="3">
        <f>(240*60)*0.0027823240589198</f>
        <v>40.065466448445122</v>
      </c>
      <c r="L33" s="1"/>
      <c r="M33" s="1"/>
      <c r="N33" s="1"/>
      <c r="O33" s="1"/>
      <c r="P33" s="1"/>
      <c r="Q33" s="1"/>
      <c r="R33" s="17"/>
      <c r="S33" s="1"/>
      <c r="V33" s="17">
        <v>47.127272727272718</v>
      </c>
      <c r="W33" s="1"/>
      <c r="X33" s="1"/>
      <c r="Y33" s="1"/>
      <c r="Z33" s="1"/>
      <c r="AA33" s="1"/>
      <c r="AB33" s="17">
        <v>52.889034545454543</v>
      </c>
      <c r="AC33" s="1"/>
      <c r="AD33" s="1"/>
      <c r="AE33" s="1"/>
      <c r="AF33" s="1"/>
      <c r="AG33" s="1"/>
      <c r="AH33" s="1"/>
      <c r="AI33" s="1"/>
      <c r="AJ33" s="1"/>
      <c r="AK33" s="1"/>
      <c r="AL33" s="1"/>
      <c r="AM33" s="1"/>
      <c r="AN33" s="1"/>
      <c r="AO33" s="1"/>
      <c r="AP33" s="1"/>
      <c r="AQ33" s="1"/>
      <c r="AR33" s="1"/>
      <c r="AS33" s="1"/>
      <c r="AT33" s="1"/>
      <c r="AU33" s="1"/>
      <c r="AV33" s="1"/>
      <c r="AW33" s="1"/>
      <c r="AX33" s="1"/>
      <c r="AY33" s="3"/>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DD33" s="1">
        <v>71.668187467191629</v>
      </c>
    </row>
    <row r="34" spans="1:109" x14ac:dyDescent="0.25">
      <c r="A34" s="8">
        <f t="shared" si="2"/>
        <v>1867</v>
      </c>
      <c r="C34" s="17">
        <v>92.7</v>
      </c>
      <c r="D34" s="17">
        <v>96.625</v>
      </c>
      <c r="E34" s="17">
        <v>64.25</v>
      </c>
      <c r="F34" s="17">
        <f>(240*60)*0.00442502914216936</f>
        <v>63.720419647238785</v>
      </c>
      <c r="G34" s="17"/>
      <c r="H34" s="17">
        <f>(240*60)*0.00494254061121942</f>
        <v>71.172584801559651</v>
      </c>
      <c r="I34" s="1"/>
      <c r="J34" s="1"/>
      <c r="K34" s="3">
        <f>(240*60)*0.00319558101472995</f>
        <v>46.016366612111284</v>
      </c>
      <c r="L34" s="1"/>
      <c r="M34" s="1"/>
      <c r="N34" s="1"/>
      <c r="O34" s="1"/>
      <c r="P34" s="1"/>
      <c r="Q34" s="1"/>
      <c r="R34" s="17"/>
      <c r="S34" s="1"/>
      <c r="V34" s="17"/>
      <c r="W34" s="1"/>
      <c r="X34" s="1"/>
      <c r="Y34" s="1"/>
      <c r="Z34" s="1"/>
      <c r="AA34" s="1"/>
      <c r="AB34" s="17">
        <v>50.806789090909092</v>
      </c>
      <c r="AC34" s="1"/>
      <c r="AD34" s="1"/>
      <c r="AE34" s="1"/>
      <c r="AF34" s="1"/>
      <c r="AG34" s="1"/>
      <c r="AH34" s="1"/>
      <c r="AI34" s="1"/>
      <c r="AJ34" s="1"/>
      <c r="AK34" s="1"/>
      <c r="AL34" s="1"/>
      <c r="AM34" s="1"/>
      <c r="AN34" s="1"/>
      <c r="AO34" s="1"/>
      <c r="AP34" s="1"/>
      <c r="AQ34" s="1"/>
      <c r="AR34" s="1"/>
      <c r="AS34" s="1"/>
      <c r="AT34" s="1"/>
      <c r="AU34" s="1"/>
      <c r="AV34" s="1"/>
      <c r="AW34" s="1"/>
      <c r="AX34" s="1"/>
      <c r="AY34" s="3"/>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DD34" s="1">
        <v>53.63068228321675</v>
      </c>
    </row>
    <row r="35" spans="1:109" x14ac:dyDescent="0.25">
      <c r="A35" s="8">
        <f t="shared" si="2"/>
        <v>1868</v>
      </c>
      <c r="C35" s="17">
        <v>86.914285714285711</v>
      </c>
      <c r="D35" s="17">
        <v>95.625</v>
      </c>
      <c r="E35" s="17">
        <v>66.875</v>
      </c>
      <c r="F35" s="17">
        <f>(240*60)*0.00370855075413853</f>
        <v>53.403130859594832</v>
      </c>
      <c r="G35" s="17">
        <v>41.925465838509311</v>
      </c>
      <c r="H35" s="17">
        <f>(240*60)*0.00298143624961108</f>
        <v>42.932681994399552</v>
      </c>
      <c r="I35" s="1"/>
      <c r="J35" s="1"/>
      <c r="K35" s="3">
        <f>(240*60)*0.0025177304964539</f>
        <v>36.255319148936159</v>
      </c>
      <c r="L35" s="1"/>
      <c r="M35" s="1"/>
      <c r="N35" s="1"/>
      <c r="O35" s="1"/>
      <c r="P35" s="1"/>
      <c r="Q35" s="1"/>
      <c r="R35" s="17"/>
      <c r="S35" s="1"/>
      <c r="V35" s="17"/>
      <c r="W35" s="1"/>
      <c r="X35" s="1"/>
      <c r="Y35" s="1"/>
      <c r="Z35" s="1"/>
      <c r="AA35" s="1"/>
      <c r="AB35" s="17">
        <v>47.891645454545447</v>
      </c>
      <c r="AC35" s="1"/>
      <c r="AD35" s="1"/>
      <c r="AE35" s="1"/>
      <c r="AF35" s="1"/>
      <c r="AG35" s="1"/>
      <c r="AH35" s="1"/>
      <c r="AI35" s="1"/>
      <c r="AJ35" s="1"/>
      <c r="AK35" s="1"/>
      <c r="AL35" s="1"/>
      <c r="AM35" s="1"/>
      <c r="AN35" s="1"/>
      <c r="AO35" s="1"/>
      <c r="AP35" s="1"/>
      <c r="AQ35" s="1"/>
      <c r="AR35" s="1"/>
      <c r="AS35" s="1"/>
      <c r="AT35" s="1"/>
      <c r="AU35" s="1"/>
      <c r="AV35" s="1"/>
      <c r="AW35" s="1"/>
      <c r="AX35" s="1"/>
      <c r="AY35" s="3"/>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DD35" s="1">
        <v>46.868016536253833</v>
      </c>
    </row>
    <row r="36" spans="1:109" x14ac:dyDescent="0.25">
      <c r="A36" s="8">
        <f t="shared" si="2"/>
        <v>1869</v>
      </c>
      <c r="C36" s="17">
        <v>66.535714285714278</v>
      </c>
      <c r="D36" s="17">
        <v>72.25</v>
      </c>
      <c r="E36" s="17">
        <v>50.125</v>
      </c>
      <c r="F36" s="17">
        <f>(240*60)*0.00302806090194274</f>
        <v>43.604076987975454</v>
      </c>
      <c r="G36" s="17"/>
      <c r="H36" s="17">
        <f>(240*60)*0.00244733207472916</f>
        <v>35.2415818760999</v>
      </c>
      <c r="I36" s="1"/>
      <c r="J36" s="1"/>
      <c r="K36" s="1"/>
      <c r="L36" s="1"/>
      <c r="M36" s="1"/>
      <c r="N36" s="1"/>
      <c r="O36" s="1"/>
      <c r="P36" s="1"/>
      <c r="Q36" s="1"/>
      <c r="R36" s="17"/>
      <c r="S36" s="1"/>
      <c r="V36" s="17"/>
      <c r="W36" s="1"/>
      <c r="X36" s="1"/>
      <c r="Y36" s="1"/>
      <c r="Z36" s="1"/>
      <c r="AA36" s="1"/>
      <c r="AB36" s="17">
        <v>36.647519999999993</v>
      </c>
      <c r="AC36" s="1"/>
      <c r="AD36" s="1"/>
      <c r="AE36" s="1"/>
      <c r="AF36" s="1"/>
      <c r="AG36" s="1"/>
      <c r="AH36" s="1"/>
      <c r="AI36" s="1"/>
      <c r="AJ36" s="1"/>
      <c r="AK36" s="1"/>
      <c r="AL36" s="1"/>
      <c r="AM36" s="1"/>
      <c r="AN36" s="1"/>
      <c r="AO36" s="1"/>
      <c r="AP36" s="1"/>
      <c r="AQ36" s="1"/>
      <c r="AR36" s="1"/>
      <c r="AS36" s="1">
        <v>60</v>
      </c>
      <c r="AT36" s="1"/>
      <c r="AU36" s="1"/>
      <c r="AV36" s="1"/>
      <c r="AW36" s="1"/>
      <c r="AX36" s="1"/>
      <c r="AY36" s="3"/>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DD36" s="1">
        <v>55.483197561542937</v>
      </c>
    </row>
    <row r="37" spans="1:109" x14ac:dyDescent="0.25">
      <c r="A37" s="8">
        <f t="shared" si="2"/>
        <v>1870</v>
      </c>
      <c r="C37" s="17">
        <v>67.692857142857136</v>
      </c>
      <c r="D37" s="17">
        <v>70.375</v>
      </c>
      <c r="E37" s="17">
        <v>48.375</v>
      </c>
      <c r="F37" s="17">
        <f>(240*60)*0.00430017243421785</f>
        <v>61.922483052737036</v>
      </c>
      <c r="G37" s="17"/>
      <c r="H37" s="17">
        <f>(240*60)*0.0052523294814383</f>
        <v>75.633544532711511</v>
      </c>
      <c r="I37" s="1"/>
      <c r="J37" s="1"/>
      <c r="K37" s="1"/>
      <c r="L37" s="1"/>
      <c r="M37" s="1"/>
      <c r="N37" s="1"/>
      <c r="O37" s="1"/>
      <c r="P37" s="1"/>
      <c r="Q37" s="1"/>
      <c r="R37" s="17"/>
      <c r="S37" s="1"/>
      <c r="T37" s="1"/>
      <c r="V37" s="17"/>
      <c r="W37" s="1"/>
      <c r="X37" s="1"/>
      <c r="Y37" s="1"/>
      <c r="Z37" s="1"/>
      <c r="AA37" s="1"/>
      <c r="AB37" s="17">
        <v>42.477807272727276</v>
      </c>
      <c r="AC37" s="1"/>
      <c r="AD37" s="1"/>
      <c r="AE37" s="1"/>
      <c r="AF37" s="1"/>
      <c r="AG37" s="1"/>
      <c r="AH37" s="1"/>
      <c r="AI37" s="1"/>
      <c r="AJ37" s="1"/>
      <c r="AK37" s="1"/>
      <c r="AL37" s="1"/>
      <c r="AM37" s="1"/>
      <c r="AN37" s="1"/>
      <c r="AO37" s="1"/>
      <c r="AP37" s="1"/>
      <c r="AQ37" s="1"/>
      <c r="AR37" s="1"/>
      <c r="AS37" s="1">
        <v>60</v>
      </c>
      <c r="AT37" s="1"/>
      <c r="AU37" s="1"/>
      <c r="AV37" s="1"/>
      <c r="AW37" s="1"/>
      <c r="AX37" s="1"/>
      <c r="AY37" s="14"/>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DD37" s="1">
        <v>62.209305395659285</v>
      </c>
    </row>
    <row r="38" spans="1:109" x14ac:dyDescent="0.25">
      <c r="A38" s="8">
        <f t="shared" si="2"/>
        <v>1871</v>
      </c>
      <c r="C38" s="17">
        <v>76.114285714285728</v>
      </c>
      <c r="D38" s="17">
        <v>85</v>
      </c>
      <c r="E38" s="17">
        <v>58.375</v>
      </c>
      <c r="F38" s="17"/>
      <c r="G38" s="17"/>
      <c r="H38" s="17">
        <f>(240*60)*0.00844878736960585</f>
        <v>121.66253812232425</v>
      </c>
      <c r="I38" s="1"/>
      <c r="J38" s="1"/>
      <c r="L38" s="1"/>
      <c r="M38" s="1"/>
      <c r="N38" s="1"/>
      <c r="O38" s="1"/>
      <c r="P38" s="1"/>
      <c r="Q38" s="1"/>
      <c r="R38" s="17">
        <v>147.27272727272725</v>
      </c>
      <c r="S38" s="1"/>
      <c r="T38" s="1"/>
      <c r="V38" s="17">
        <v>157.09090909090909</v>
      </c>
      <c r="W38" s="1"/>
      <c r="X38" s="1"/>
      <c r="Y38" s="1"/>
      <c r="Z38" s="1"/>
      <c r="AA38" s="1"/>
      <c r="AB38" s="17">
        <v>51.223238181818182</v>
      </c>
      <c r="AC38" s="1"/>
      <c r="AD38" s="1"/>
      <c r="AE38" s="1"/>
      <c r="AF38" s="1"/>
      <c r="AG38" s="1"/>
      <c r="AH38" s="1"/>
      <c r="AI38" s="1"/>
      <c r="AJ38" s="1"/>
      <c r="AK38" s="1"/>
      <c r="AL38" s="1"/>
      <c r="AM38" s="1"/>
      <c r="AN38" s="1"/>
      <c r="AO38" s="1"/>
      <c r="AP38" s="1"/>
      <c r="AQ38" s="1"/>
      <c r="AR38" s="1"/>
      <c r="AS38" s="1">
        <v>60</v>
      </c>
      <c r="AT38" s="1"/>
      <c r="AU38" s="1"/>
      <c r="AV38" s="1"/>
      <c r="AW38" s="1"/>
      <c r="AX38" s="1"/>
      <c r="AY38" s="3"/>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DD38" s="1">
        <v>41.811190082786993</v>
      </c>
    </row>
    <row r="39" spans="1:109" x14ac:dyDescent="0.25">
      <c r="A39" s="8">
        <f t="shared" si="2"/>
        <v>1872</v>
      </c>
      <c r="C39" s="17">
        <v>79.842857142857142</v>
      </c>
      <c r="D39" s="17">
        <v>85.5</v>
      </c>
      <c r="E39" s="17">
        <v>59.25</v>
      </c>
      <c r="F39" s="17"/>
      <c r="G39" s="17"/>
      <c r="H39" s="17"/>
      <c r="I39" s="1"/>
      <c r="J39" s="1"/>
      <c r="K39" s="1"/>
      <c r="L39" s="1"/>
      <c r="M39" s="1"/>
      <c r="N39" s="1"/>
      <c r="O39" s="1"/>
      <c r="P39" s="1"/>
      <c r="Q39" s="1"/>
      <c r="R39" s="17"/>
      <c r="T39" s="1"/>
      <c r="V39" s="17"/>
      <c r="W39" s="1"/>
      <c r="X39" s="1"/>
      <c r="Y39" s="1"/>
      <c r="Z39" s="1">
        <v>66.036585365853654</v>
      </c>
      <c r="AA39" s="1"/>
      <c r="AB39" s="17">
        <v>43.310705454545456</v>
      </c>
      <c r="AC39" s="1"/>
      <c r="AD39" s="1"/>
      <c r="AE39" s="1"/>
      <c r="AF39" s="1"/>
      <c r="AG39" s="1"/>
      <c r="AH39" s="1"/>
      <c r="AI39" s="1"/>
      <c r="AJ39" s="1"/>
      <c r="AK39" s="1"/>
      <c r="AL39" s="1"/>
      <c r="AM39" s="1"/>
      <c r="AN39" s="1"/>
      <c r="AO39" s="1"/>
      <c r="AP39" s="1">
        <f>(240/2240*60)*9.2</f>
        <v>59.142857142857132</v>
      </c>
      <c r="AQ39" s="1"/>
      <c r="AR39" s="1"/>
      <c r="AS39" s="1">
        <v>60</v>
      </c>
      <c r="AT39" s="1"/>
      <c r="AU39" s="1"/>
      <c r="AV39" s="1"/>
      <c r="AW39" s="1"/>
      <c r="AX39" s="1"/>
      <c r="AY39" s="3"/>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DD39" s="1">
        <v>47.60630927936451</v>
      </c>
    </row>
    <row r="40" spans="1:109" x14ac:dyDescent="0.25">
      <c r="A40" s="8">
        <f t="shared" ref="A40:A71" si="3">A39+1</f>
        <v>1873</v>
      </c>
      <c r="C40" s="17">
        <v>83.635714285714272</v>
      </c>
      <c r="D40" s="17">
        <v>88</v>
      </c>
      <c r="E40" s="17">
        <v>69.25</v>
      </c>
      <c r="F40" s="17"/>
      <c r="G40" s="17"/>
      <c r="H40" s="17"/>
      <c r="I40" s="3">
        <f>(240*60)*0.00297433035714286</f>
        <v>42.830357142857181</v>
      </c>
      <c r="J40" s="1"/>
      <c r="K40" s="1"/>
      <c r="L40" s="1"/>
      <c r="M40" s="1"/>
      <c r="N40" s="1"/>
      <c r="O40" s="1"/>
      <c r="P40" s="1"/>
      <c r="Q40" s="1"/>
      <c r="R40" s="17"/>
      <c r="T40" s="1">
        <f>(240*60)*0.0039032006245121</f>
        <v>56.206088992974237</v>
      </c>
      <c r="U40" s="1"/>
      <c r="V40" s="17"/>
      <c r="W40" s="1"/>
      <c r="X40" s="1"/>
      <c r="Y40" s="1"/>
      <c r="Z40" s="1"/>
      <c r="AA40" s="1"/>
      <c r="AB40" s="17">
        <v>49.557441818181815</v>
      </c>
      <c r="AC40" s="1"/>
      <c r="AD40" s="1"/>
      <c r="AE40" s="1"/>
      <c r="AF40" s="1"/>
      <c r="AG40" s="1"/>
      <c r="AH40" s="1"/>
      <c r="AI40" s="1"/>
      <c r="AJ40" s="1"/>
      <c r="AK40" s="1"/>
      <c r="AL40" s="1"/>
      <c r="AM40" s="1"/>
      <c r="AN40" s="1"/>
      <c r="AO40" s="1"/>
      <c r="AP40" s="1"/>
      <c r="AQ40" s="1"/>
      <c r="AR40" s="1"/>
      <c r="AS40" s="1">
        <v>60</v>
      </c>
      <c r="AT40" s="1"/>
      <c r="AU40" s="1"/>
      <c r="AV40" s="1"/>
      <c r="AW40" s="1"/>
      <c r="AX40" s="1"/>
      <c r="AY40" s="14"/>
      <c r="BC40" s="1"/>
      <c r="BD40" s="1"/>
      <c r="BE40" s="1"/>
      <c r="BF40" s="1"/>
      <c r="BG40" s="1"/>
      <c r="BH40" s="1"/>
      <c r="BI40" s="1"/>
      <c r="BJ40" s="1"/>
      <c r="BK40" s="1"/>
      <c r="BL40" s="1"/>
      <c r="BM40" s="1"/>
      <c r="BN40" s="1"/>
      <c r="BO40" s="1"/>
      <c r="BP40" s="1"/>
      <c r="BQ40" s="1"/>
      <c r="BR40" s="1"/>
      <c r="BS40" s="1"/>
      <c r="BT40" s="1"/>
      <c r="BU40" s="1"/>
      <c r="BW40" s="1">
        <f>(240*60)*0.00261538461538462</f>
        <v>37.661538461538527</v>
      </c>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DD40" s="1">
        <v>59.250141681994762</v>
      </c>
      <c r="DE40">
        <v>68.853399566814176</v>
      </c>
    </row>
    <row r="41" spans="1:109" x14ac:dyDescent="0.25">
      <c r="A41" s="8">
        <f t="shared" si="3"/>
        <v>1874</v>
      </c>
      <c r="C41" s="17">
        <v>78.107142857142861</v>
      </c>
      <c r="D41" s="17">
        <v>83.625</v>
      </c>
      <c r="E41" s="17">
        <v>61</v>
      </c>
      <c r="F41" s="17"/>
      <c r="G41" s="17"/>
      <c r="H41" s="17">
        <f>(240*60)*0.00192475124378109</f>
        <v>27.716417910447696</v>
      </c>
      <c r="J41" s="1"/>
      <c r="K41" s="1"/>
      <c r="L41" s="1"/>
      <c r="M41" s="1"/>
      <c r="N41" s="1"/>
      <c r="O41" s="1"/>
      <c r="P41" s="1"/>
      <c r="Q41" s="1"/>
      <c r="R41" s="17">
        <v>53.999999999999993</v>
      </c>
      <c r="T41" s="1">
        <f>(240*60)*0.00295911397345824</f>
        <v>42.611241217798657</v>
      </c>
      <c r="U41" s="1"/>
      <c r="V41" s="17">
        <v>62.836363636363636</v>
      </c>
      <c r="W41" s="1"/>
      <c r="X41" s="1"/>
      <c r="Y41" s="1"/>
      <c r="Z41" s="1">
        <v>34.49939024390244</v>
      </c>
      <c r="AA41" s="1"/>
      <c r="AB41" s="17"/>
      <c r="AC41" s="1"/>
      <c r="AD41" s="1"/>
      <c r="AE41" s="1"/>
      <c r="AF41" s="1"/>
      <c r="AG41" s="1"/>
      <c r="AH41" s="1"/>
      <c r="AI41" s="1"/>
      <c r="AJ41" s="1"/>
      <c r="AK41" s="1"/>
      <c r="AL41" s="1"/>
      <c r="AM41" s="1"/>
      <c r="AN41" s="1"/>
      <c r="AO41" s="1"/>
      <c r="AP41" s="1"/>
      <c r="AQ41" s="1"/>
      <c r="AR41" s="1"/>
      <c r="AS41" s="1"/>
      <c r="AT41" s="1"/>
      <c r="AU41" s="1"/>
      <c r="AV41" s="1"/>
      <c r="AW41" s="1"/>
      <c r="AX41" s="1"/>
      <c r="AY41" s="3"/>
      <c r="AZ41" s="1"/>
      <c r="BC41" s="1"/>
      <c r="BD41" s="1"/>
      <c r="BE41" s="1"/>
      <c r="BF41" s="1"/>
      <c r="BG41" s="1"/>
      <c r="BH41" s="1"/>
      <c r="BI41" s="1"/>
      <c r="BJ41" s="1"/>
      <c r="BK41" s="1"/>
      <c r="BL41" s="1"/>
      <c r="BM41" s="1"/>
      <c r="BN41" s="1"/>
      <c r="BO41" s="1"/>
      <c r="BP41" s="1"/>
      <c r="BQ41" s="1"/>
      <c r="BR41" s="1"/>
      <c r="BS41" s="1"/>
      <c r="BT41" s="1"/>
      <c r="BU41" s="1"/>
      <c r="BW41" s="1">
        <f>(240*60)*0.00261651676206051</f>
        <v>37.677841373671342</v>
      </c>
      <c r="BX41" s="1">
        <f>(240*60)*0.00250980392156863</f>
        <v>36.14117647058827</v>
      </c>
      <c r="BY41" s="3"/>
      <c r="BZ41" s="3"/>
      <c r="CA41" s="3"/>
      <c r="CB41" s="1"/>
      <c r="CC41" s="1"/>
      <c r="CD41" s="1"/>
      <c r="CE41" s="1"/>
      <c r="CF41" s="1"/>
      <c r="CG41" s="1"/>
      <c r="CH41" s="1"/>
      <c r="CI41" s="1"/>
      <c r="CJ41" s="1"/>
      <c r="CK41" s="1"/>
      <c r="CL41" s="1"/>
      <c r="CM41" s="1"/>
      <c r="CN41" s="1"/>
      <c r="CO41" s="1"/>
      <c r="CQ41" s="1">
        <f>11.7434402332362*3.60551625951646</f>
        <v>42.341164703592888</v>
      </c>
      <c r="CR41" s="1">
        <f>11.7434402332362*4.28008164414414</f>
        <v>50.262882981378034</v>
      </c>
      <c r="CS41" s="21"/>
      <c r="CT41" s="1"/>
      <c r="CU41" s="1"/>
      <c r="CV41" s="1"/>
      <c r="CW41" s="1"/>
      <c r="CX41" s="1"/>
      <c r="CY41" s="1"/>
      <c r="DD41" s="1">
        <v>55.228225849330407</v>
      </c>
    </row>
    <row r="42" spans="1:109" x14ac:dyDescent="0.25">
      <c r="A42" s="8">
        <f t="shared" si="3"/>
        <v>1875</v>
      </c>
      <c r="C42" s="17">
        <v>68.207142857142856</v>
      </c>
      <c r="D42" s="17">
        <v>67.75</v>
      </c>
      <c r="E42" s="17">
        <v>57.875</v>
      </c>
      <c r="F42" s="17"/>
      <c r="G42" s="17"/>
      <c r="H42" s="17">
        <f>(240*60)*0.00168428689883914</f>
        <v>24.253731343283615</v>
      </c>
      <c r="J42" s="1"/>
      <c r="L42" s="1"/>
      <c r="M42" s="1"/>
      <c r="N42" s="1"/>
      <c r="O42" s="1"/>
      <c r="P42" s="1"/>
      <c r="Q42" s="1"/>
      <c r="R42" s="17"/>
      <c r="S42" s="1"/>
      <c r="T42" s="1">
        <f>(240*60)*0.00266393442622951</f>
        <v>38.360655737704946</v>
      </c>
      <c r="U42" s="1"/>
      <c r="V42" s="17"/>
      <c r="W42" s="1"/>
      <c r="X42" s="1"/>
      <c r="Y42" s="1"/>
      <c r="Z42" s="1">
        <v>51.707317073170721</v>
      </c>
      <c r="AA42" s="1"/>
      <c r="AB42" s="17"/>
      <c r="AC42" s="1"/>
      <c r="AD42" s="1"/>
      <c r="AE42" s="1"/>
      <c r="AF42" s="1"/>
      <c r="AG42" s="1"/>
      <c r="AH42" s="1"/>
      <c r="AI42" s="1"/>
      <c r="AJ42" s="1"/>
      <c r="AK42" s="1"/>
      <c r="AL42" s="1"/>
      <c r="AM42" s="1"/>
      <c r="AN42" s="1"/>
      <c r="AO42" s="1"/>
      <c r="AP42" s="1"/>
      <c r="AQ42" s="1"/>
      <c r="AR42" s="1"/>
      <c r="AS42" s="1">
        <v>48</v>
      </c>
      <c r="AT42" s="1"/>
      <c r="AU42" s="1"/>
      <c r="AV42" s="1"/>
      <c r="AW42" s="1"/>
      <c r="AX42" s="1"/>
      <c r="AY42" s="3"/>
      <c r="AZ42" s="1"/>
      <c r="BC42" s="1"/>
      <c r="BD42" s="1"/>
      <c r="BE42" s="1"/>
      <c r="BF42" s="1"/>
      <c r="BG42" s="1"/>
      <c r="BH42" s="1"/>
      <c r="BI42" s="1"/>
      <c r="BJ42" s="1"/>
      <c r="BK42" s="1"/>
      <c r="BL42" s="1"/>
      <c r="BM42" s="1"/>
      <c r="BN42" s="1"/>
      <c r="BO42" s="1"/>
      <c r="BP42" s="1"/>
      <c r="BQ42" s="1"/>
      <c r="BR42" s="1"/>
      <c r="BS42" s="1"/>
      <c r="BT42" s="1"/>
      <c r="BU42" s="1"/>
      <c r="BW42" s="1">
        <f>(240*60)*0.00301960784313725</f>
        <v>43.482352941176394</v>
      </c>
      <c r="BY42" s="1"/>
      <c r="BZ42" s="1"/>
      <c r="CA42" s="1"/>
      <c r="CB42" s="1"/>
      <c r="CC42" s="1"/>
      <c r="CD42" s="3">
        <f>(240*60)*0.00189732142857143</f>
        <v>27.321428571428594</v>
      </c>
      <c r="CE42" s="1"/>
      <c r="CF42" s="1"/>
      <c r="CG42" s="1"/>
      <c r="CH42" s="1"/>
      <c r="CI42" s="1"/>
      <c r="CJ42" s="1"/>
      <c r="CK42" s="1"/>
      <c r="CL42" s="1"/>
      <c r="CM42" s="1"/>
      <c r="CN42" s="1"/>
      <c r="CO42" s="1"/>
      <c r="CQ42" s="1">
        <f>11.7434402332362*2.89008728382724</f>
        <v>33.939567286461134</v>
      </c>
      <c r="CR42" s="1">
        <f>11.7434402332362*3.21120809314137</f>
        <v>37.710630318290058</v>
      </c>
      <c r="CS42" s="1"/>
      <c r="CT42" s="1"/>
      <c r="CU42" s="1"/>
      <c r="CV42" s="1"/>
      <c r="CW42" s="1"/>
      <c r="CX42" s="1"/>
      <c r="CY42" s="1"/>
      <c r="DD42" s="1">
        <v>49.05245949324609</v>
      </c>
    </row>
    <row r="43" spans="1:109" x14ac:dyDescent="0.25">
      <c r="A43" s="8">
        <f t="shared" si="3"/>
        <v>1876</v>
      </c>
      <c r="C43" s="17">
        <v>67.050000000000011</v>
      </c>
      <c r="D43" s="17">
        <v>69.25</v>
      </c>
      <c r="E43" s="17">
        <v>58.75</v>
      </c>
      <c r="F43" s="17"/>
      <c r="G43" s="17"/>
      <c r="H43" s="17">
        <f>(240*60)*0.00169465174129353</f>
        <v>24.40298507462683</v>
      </c>
      <c r="J43" s="1"/>
      <c r="L43" s="1"/>
      <c r="M43" s="1"/>
      <c r="N43" s="1"/>
      <c r="O43" s="1"/>
      <c r="P43" s="1"/>
      <c r="Q43" s="1"/>
      <c r="R43" s="17"/>
      <c r="S43" s="1"/>
      <c r="T43" s="1">
        <f>(240*60)*0.00263112030935134</f>
        <v>37.888132454659292</v>
      </c>
      <c r="U43" s="1"/>
      <c r="V43" s="17">
        <v>41.236363636363635</v>
      </c>
      <c r="W43" s="1"/>
      <c r="X43" s="1"/>
      <c r="Y43" s="1"/>
      <c r="Z43" s="1">
        <v>46.829268292682926</v>
      </c>
      <c r="AA43" s="1"/>
      <c r="AB43" s="17"/>
      <c r="AC43" s="17">
        <v>52.458233215547715</v>
      </c>
      <c r="AD43" s="1"/>
      <c r="AE43" s="1"/>
      <c r="AF43" s="1"/>
      <c r="AG43" s="1"/>
      <c r="AH43" s="1"/>
      <c r="AI43" s="1"/>
      <c r="AJ43" s="1"/>
      <c r="AK43" s="1"/>
      <c r="AL43" s="1"/>
      <c r="AM43" s="1"/>
      <c r="AN43" s="1"/>
      <c r="AO43" s="1"/>
      <c r="AP43" s="1"/>
      <c r="AQ43" s="1"/>
      <c r="AR43" s="1"/>
      <c r="AS43" s="1"/>
      <c r="AT43" s="1"/>
      <c r="AU43" s="1"/>
      <c r="AV43" s="1"/>
      <c r="AW43" s="1"/>
      <c r="AX43" s="1"/>
      <c r="AY43" s="3"/>
      <c r="BC43" s="1"/>
      <c r="BD43" s="1"/>
      <c r="BE43" s="1"/>
      <c r="BF43" s="1"/>
      <c r="BG43" s="1"/>
      <c r="BH43" s="1"/>
      <c r="BI43" s="1"/>
      <c r="BJ43" s="1"/>
      <c r="BK43" s="1"/>
      <c r="BL43" s="1"/>
      <c r="BM43" s="1"/>
      <c r="BN43" s="1"/>
      <c r="BO43" s="1"/>
      <c r="BP43" s="1"/>
      <c r="BQ43" s="1"/>
      <c r="BR43" s="1"/>
      <c r="BS43" s="1"/>
      <c r="BT43" s="1"/>
      <c r="BU43" s="1"/>
      <c r="BW43" s="1"/>
      <c r="BX43" s="1"/>
      <c r="BY43" s="1"/>
      <c r="BZ43" s="1"/>
      <c r="CA43" s="1"/>
      <c r="CB43" s="1"/>
      <c r="CC43" s="1"/>
      <c r="CD43" s="3">
        <f>(240*60)*0.00208333333333333</f>
        <v>29.99999999999995</v>
      </c>
      <c r="CE43" s="1"/>
      <c r="CF43" s="1"/>
      <c r="CG43" s="1"/>
      <c r="CH43" s="1"/>
      <c r="CI43" s="1"/>
      <c r="CJ43" s="1"/>
      <c r="CK43" s="1"/>
      <c r="CL43" s="1"/>
      <c r="CM43" s="1"/>
      <c r="CN43" s="1"/>
      <c r="CO43" s="1"/>
      <c r="CQ43" s="1">
        <f>11.7434402332362*2.38264582910885</f>
        <v>27.980458891109294</v>
      </c>
      <c r="CR43" s="1">
        <f>11.7434402332362*2.62091041201974</f>
        <v>30.778504780220281</v>
      </c>
      <c r="CS43" s="1"/>
      <c r="CT43" s="1"/>
      <c r="CU43" s="1"/>
      <c r="CV43" s="1"/>
      <c r="CW43" s="1"/>
      <c r="CX43" s="1"/>
      <c r="CY43" s="1"/>
      <c r="DD43" s="1">
        <v>42.603157167845751</v>
      </c>
    </row>
    <row r="44" spans="1:109" x14ac:dyDescent="0.25">
      <c r="A44" s="8">
        <f t="shared" si="3"/>
        <v>1877</v>
      </c>
      <c r="C44" s="17">
        <v>80.292857142857144</v>
      </c>
      <c r="D44" s="17">
        <v>85.125</v>
      </c>
      <c r="E44" s="17">
        <v>45.625</v>
      </c>
      <c r="F44" s="17">
        <f>(240*60)*0.00147542373849025</f>
        <v>21.246101834259601</v>
      </c>
      <c r="G44" s="17"/>
      <c r="H44" s="17">
        <f>(240*60)*0.00209090909090909</f>
        <v>30.109090909090895</v>
      </c>
      <c r="J44" s="1"/>
      <c r="L44" s="1"/>
      <c r="M44" s="1"/>
      <c r="N44" s="1"/>
      <c r="O44" s="1"/>
      <c r="P44" s="1"/>
      <c r="Q44" s="1"/>
      <c r="R44" s="17"/>
      <c r="S44" s="1">
        <f>(240*60)*0.00531268973891925</f>
        <v>76.502732240437197</v>
      </c>
      <c r="T44" s="1">
        <f>(240*60)*0.0040983606557377</f>
        <v>59.016393442622878</v>
      </c>
      <c r="U44" s="1"/>
      <c r="V44" s="17"/>
      <c r="W44" s="1"/>
      <c r="X44" s="1"/>
      <c r="Y44" s="1"/>
      <c r="Z44" s="1">
        <v>97.457857142857137</v>
      </c>
      <c r="AA44" s="1"/>
      <c r="AB44" s="17"/>
      <c r="AC44" s="17">
        <v>64.399293286219077</v>
      </c>
      <c r="AD44" s="1"/>
      <c r="AE44" s="1"/>
      <c r="AF44" s="1"/>
      <c r="AG44" s="1"/>
      <c r="AH44" s="1"/>
      <c r="AI44" s="1"/>
      <c r="AJ44" s="1"/>
      <c r="AK44" s="1"/>
      <c r="AL44" s="1"/>
      <c r="AM44" s="1"/>
      <c r="AN44" s="1"/>
      <c r="AO44" s="1"/>
      <c r="AP44" s="1"/>
      <c r="AQ44" s="1"/>
      <c r="AR44" s="1"/>
      <c r="AS44" s="1"/>
      <c r="AT44" s="1"/>
      <c r="AU44" s="1"/>
      <c r="AV44" s="1"/>
      <c r="AW44" s="1"/>
      <c r="AX44" s="1"/>
      <c r="AY44" s="3"/>
      <c r="AZ44" s="1"/>
      <c r="BB44" s="1"/>
      <c r="BC44" s="1"/>
      <c r="BD44" s="1"/>
      <c r="BE44" s="1"/>
      <c r="BF44" s="1"/>
      <c r="BG44" s="1"/>
      <c r="BH44" s="1"/>
      <c r="BI44" s="1"/>
      <c r="BJ44" s="1"/>
      <c r="BK44" s="1"/>
      <c r="BL44" s="1"/>
      <c r="BM44" s="1"/>
      <c r="BN44" s="1"/>
      <c r="BO44" s="1"/>
      <c r="BP44" s="1"/>
      <c r="BQ44" s="1"/>
      <c r="BR44" s="1"/>
      <c r="BS44" s="1"/>
      <c r="BT44" s="1"/>
      <c r="BU44" s="1"/>
      <c r="BY44" s="1"/>
      <c r="BZ44" s="1"/>
      <c r="CA44" s="1"/>
      <c r="CB44" s="1"/>
      <c r="CC44" s="1"/>
      <c r="CD44" s="1"/>
      <c r="CE44" s="1"/>
      <c r="CF44" s="1"/>
      <c r="CG44" s="1"/>
      <c r="CH44" s="1"/>
      <c r="CI44" s="1"/>
      <c r="CJ44" s="1"/>
      <c r="CK44" s="1"/>
      <c r="CL44" s="1"/>
      <c r="CM44" s="1"/>
      <c r="CN44" s="3"/>
      <c r="CO44" s="3"/>
      <c r="CP44" s="3"/>
      <c r="CQ44" s="1">
        <f>(240/112*60)*0.403202716152073</f>
        <v>51.840349219552238</v>
      </c>
      <c r="CR44" s="1">
        <f>11.7434402332362*4.33266076566921</f>
        <v>50.880342752523767</v>
      </c>
      <c r="CS44" s="1"/>
      <c r="CT44" s="1"/>
      <c r="CU44" s="1"/>
      <c r="CV44" s="1"/>
      <c r="CW44" s="1"/>
      <c r="CX44" s="1"/>
      <c r="CY44" s="1"/>
      <c r="DD44" s="1">
        <v>51.182410101896046</v>
      </c>
    </row>
    <row r="45" spans="1:109" x14ac:dyDescent="0.25">
      <c r="A45" s="8">
        <f t="shared" si="3"/>
        <v>1878</v>
      </c>
      <c r="C45" s="17">
        <v>70.650000000000006</v>
      </c>
      <c r="D45" s="17">
        <v>69.625</v>
      </c>
      <c r="E45" s="17">
        <v>48.5</v>
      </c>
      <c r="F45" s="1"/>
      <c r="G45" s="17">
        <v>45.378151260504197</v>
      </c>
      <c r="H45" s="17">
        <f>(240*60)*0.00256313131313131</f>
        <v>36.909090909090864</v>
      </c>
      <c r="J45" s="1"/>
      <c r="L45" s="1"/>
      <c r="M45" s="1"/>
      <c r="N45" s="1"/>
      <c r="O45" s="1"/>
      <c r="P45" s="1"/>
      <c r="Q45" s="1"/>
      <c r="R45" s="17"/>
      <c r="S45" s="1"/>
      <c r="T45" s="1">
        <f>(240*60)*0.00398126463700234</f>
        <v>57.330210772833695</v>
      </c>
      <c r="U45" s="1"/>
      <c r="V45" s="17">
        <v>64.8</v>
      </c>
      <c r="W45" s="1"/>
      <c r="X45" s="1"/>
      <c r="Y45" s="1"/>
      <c r="Z45" s="1">
        <v>52.545921787709496</v>
      </c>
      <c r="AA45" s="1"/>
      <c r="AB45" s="17"/>
      <c r="AC45" s="17">
        <v>59.338939929328617</v>
      </c>
      <c r="AD45" s="1"/>
      <c r="AE45" s="1"/>
      <c r="AF45" s="1"/>
      <c r="AG45" s="1"/>
      <c r="AH45" s="1"/>
      <c r="AI45" s="1"/>
      <c r="AJ45" s="1"/>
      <c r="AK45" s="1"/>
      <c r="AL45" s="1"/>
      <c r="AM45" s="1"/>
      <c r="AN45" s="1"/>
      <c r="AO45" s="1"/>
      <c r="AP45" s="1"/>
      <c r="AQ45" s="1"/>
      <c r="AR45" s="1"/>
      <c r="AS45" s="1"/>
      <c r="AT45" s="1"/>
      <c r="AU45" s="1"/>
      <c r="AV45" s="1"/>
      <c r="AW45" s="1"/>
      <c r="AX45" s="1"/>
      <c r="AY45" s="3"/>
      <c r="AZ45" s="1"/>
      <c r="BB45" s="1">
        <f>(240/2240*60)*10.082623421944</f>
        <v>64.816864855354282</v>
      </c>
      <c r="BC45" s="1"/>
      <c r="BD45" s="1"/>
      <c r="BE45" s="1"/>
      <c r="BF45" s="1"/>
      <c r="BG45" s="1"/>
      <c r="BH45" s="1"/>
      <c r="BI45" s="1"/>
      <c r="BJ45" s="1"/>
      <c r="BK45" s="1"/>
      <c r="BL45" s="1"/>
      <c r="BM45" s="1"/>
      <c r="BN45" s="1"/>
      <c r="BO45" s="1"/>
      <c r="BP45" s="1"/>
      <c r="BQ45" s="1"/>
      <c r="BR45" s="1"/>
      <c r="BS45" s="1"/>
      <c r="BT45" s="1"/>
      <c r="BU45" s="1"/>
      <c r="BW45" s="1"/>
      <c r="BX45" s="1"/>
      <c r="BY45" s="1"/>
      <c r="BZ45" s="1"/>
      <c r="CA45" s="1"/>
      <c r="CB45" s="1"/>
      <c r="CC45" s="1"/>
      <c r="CD45" s="1"/>
      <c r="CE45" s="1"/>
      <c r="CF45" s="1"/>
      <c r="CG45" s="1"/>
      <c r="CH45" s="1"/>
      <c r="CI45" s="1"/>
      <c r="CJ45" s="1"/>
      <c r="CK45" s="1"/>
      <c r="CL45" s="1"/>
      <c r="CM45" s="1"/>
      <c r="CN45" s="3"/>
      <c r="CO45" s="3"/>
      <c r="CP45" s="3"/>
      <c r="CQ45" s="1">
        <f>(240/112*60)*0.386651635443436</f>
        <v>49.712353128441762</v>
      </c>
      <c r="CR45" s="1">
        <f>11.7434402332362*4.45158132911851</f>
        <v>52.276879281893393</v>
      </c>
      <c r="CS45" s="1"/>
      <c r="CT45" s="1"/>
      <c r="CU45" s="1"/>
      <c r="CV45" s="1"/>
      <c r="CW45" s="1"/>
      <c r="CX45" s="1"/>
      <c r="CY45" s="1"/>
      <c r="DD45" s="1">
        <v>57.76172109010561</v>
      </c>
    </row>
    <row r="46" spans="1:109" x14ac:dyDescent="0.25">
      <c r="A46" s="8">
        <f t="shared" si="3"/>
        <v>1879</v>
      </c>
      <c r="C46" s="17">
        <v>67.885714285714286</v>
      </c>
      <c r="D46" s="17">
        <v>65.75</v>
      </c>
      <c r="E46" s="17">
        <v>61.375</v>
      </c>
      <c r="G46" s="17"/>
      <c r="H46" s="17">
        <f>(240*60)*0.00363636363636364</f>
        <v>52.363636363636417</v>
      </c>
      <c r="J46" s="1"/>
      <c r="L46" s="1"/>
      <c r="M46" s="1"/>
      <c r="N46" s="1"/>
      <c r="O46" s="1"/>
      <c r="P46" s="1"/>
      <c r="Q46" s="1"/>
      <c r="R46" s="17">
        <v>56.945454545454538</v>
      </c>
      <c r="S46" s="1">
        <f>(240*60)*0.00487599831862127</f>
        <v>70.214375788146299</v>
      </c>
      <c r="T46" s="1">
        <f>(240*60)*0.0046927793767989</f>
        <v>67.576023025904149</v>
      </c>
      <c r="U46" s="1"/>
      <c r="V46" s="17">
        <v>127.63636363636363</v>
      </c>
      <c r="W46" s="1"/>
      <c r="X46" s="1"/>
      <c r="Y46" s="1"/>
      <c r="Z46" s="1">
        <v>72.980446927374274</v>
      </c>
      <c r="AA46" s="1"/>
      <c r="AB46" s="17">
        <v>48.724543636363627</v>
      </c>
      <c r="AC46" s="17">
        <v>50.592084805653712</v>
      </c>
      <c r="AD46" s="1"/>
      <c r="AE46" s="1"/>
      <c r="AF46" s="1"/>
      <c r="AG46" s="1"/>
      <c r="AH46" s="1"/>
      <c r="AI46" s="1"/>
      <c r="AJ46" s="1"/>
      <c r="AK46" s="1"/>
      <c r="AL46" s="1"/>
      <c r="AM46" s="1"/>
      <c r="AN46" s="1"/>
      <c r="AO46" s="1"/>
      <c r="AP46" s="1"/>
      <c r="AQ46" s="1"/>
      <c r="AR46" s="1"/>
      <c r="AS46" s="1"/>
      <c r="AT46" s="1"/>
      <c r="AU46" s="1"/>
      <c r="AV46" s="1"/>
      <c r="AW46" s="1"/>
      <c r="AX46" s="1"/>
      <c r="AY46" s="3"/>
      <c r="AZ46" s="1"/>
      <c r="BB46" s="1">
        <f>(240/2240*60)*9.99999999999999</f>
        <v>64.285714285714207</v>
      </c>
      <c r="BC46" s="1"/>
      <c r="BD46" s="1"/>
      <c r="BE46" s="1"/>
      <c r="BF46" s="1"/>
      <c r="BG46" s="1"/>
      <c r="BH46" s="1"/>
      <c r="BI46" s="1"/>
      <c r="BJ46" s="1"/>
      <c r="BK46" s="1"/>
      <c r="BL46" s="1"/>
      <c r="BM46" s="1"/>
      <c r="BN46" s="1"/>
      <c r="BO46" s="1"/>
      <c r="BP46" s="1"/>
      <c r="BQ46" s="1"/>
      <c r="BR46" s="1"/>
      <c r="BS46" s="1"/>
      <c r="BT46" s="1"/>
      <c r="BU46" s="1"/>
      <c r="BW46" s="1"/>
      <c r="BX46" s="1"/>
      <c r="BY46" s="1"/>
      <c r="BZ46" s="1"/>
      <c r="CA46" s="1"/>
      <c r="CB46" s="1"/>
      <c r="CC46" s="1"/>
      <c r="CD46" s="1"/>
      <c r="CE46" s="1"/>
      <c r="CF46" s="1"/>
      <c r="CG46" s="1"/>
      <c r="CH46" s="1"/>
      <c r="CI46" s="1"/>
      <c r="CJ46" s="1"/>
      <c r="CK46" s="1"/>
      <c r="CL46" s="1"/>
      <c r="CM46" s="1"/>
      <c r="CN46" s="3"/>
      <c r="CO46" s="3"/>
      <c r="CP46" s="3"/>
      <c r="CQ46" s="1">
        <f>(240/112*60)*0.376996838363398</f>
        <v>48.471022075294023</v>
      </c>
      <c r="CR46" s="1">
        <f>11.7434402332362*4.77446653848382</f>
        <v>56.068662440270856</v>
      </c>
      <c r="CS46" s="1"/>
      <c r="CT46" s="1"/>
      <c r="CU46" s="1"/>
      <c r="CV46" s="1"/>
      <c r="CW46" s="1"/>
      <c r="CX46" s="1"/>
      <c r="CY46" s="1"/>
      <c r="DD46" s="1">
        <v>59.398399472022142</v>
      </c>
    </row>
    <row r="47" spans="1:109" x14ac:dyDescent="0.25">
      <c r="A47" s="8">
        <f t="shared" si="3"/>
        <v>1880</v>
      </c>
      <c r="C47" s="17">
        <v>71.228571428571428</v>
      </c>
      <c r="D47" s="17">
        <v>66.5</v>
      </c>
      <c r="E47" s="17">
        <v>62.5</v>
      </c>
      <c r="G47" s="17"/>
      <c r="H47" s="17"/>
      <c r="J47" s="1"/>
      <c r="L47" s="1"/>
      <c r="M47" s="1"/>
      <c r="N47" s="1"/>
      <c r="O47" s="1"/>
      <c r="P47" s="1"/>
      <c r="Q47" s="1"/>
      <c r="R47" s="17"/>
      <c r="S47" s="1"/>
      <c r="T47" s="1">
        <f>(240*60)*0.00368748175030242</f>
        <v>53.099737204354845</v>
      </c>
      <c r="U47" s="3"/>
      <c r="V47" s="17">
        <v>62.836363636363636</v>
      </c>
      <c r="W47" s="1"/>
      <c r="X47" s="1"/>
      <c r="Y47" s="1"/>
      <c r="Z47" s="1"/>
      <c r="AA47" s="1"/>
      <c r="AB47" s="17">
        <v>45.892689818181815</v>
      </c>
      <c r="AC47" s="17">
        <v>63.094134275618373</v>
      </c>
      <c r="AD47" s="1"/>
      <c r="AE47" s="1"/>
      <c r="AF47" s="1"/>
      <c r="AG47" s="1"/>
      <c r="AH47" s="1"/>
      <c r="AI47" s="1"/>
      <c r="AJ47" s="1"/>
      <c r="AK47" s="1"/>
      <c r="AL47" s="1"/>
      <c r="AM47" s="1"/>
      <c r="AN47" s="1"/>
      <c r="AO47" s="1"/>
      <c r="AP47" s="1"/>
      <c r="AQ47" s="1"/>
      <c r="AR47" s="1"/>
      <c r="AS47" s="1"/>
      <c r="AT47" s="1"/>
      <c r="AU47" s="1"/>
      <c r="AV47" s="1"/>
      <c r="AW47" s="1"/>
      <c r="AX47" s="1"/>
      <c r="AY47" s="3"/>
      <c r="AZ47" s="1"/>
      <c r="BA47" s="18">
        <f>(240/2240*60)*9.81252857796068</f>
        <v>63.080540858318656</v>
      </c>
      <c r="BB47" s="1">
        <f>(240/2240*60)*9.13595933926302</f>
        <v>58.731167180976549</v>
      </c>
      <c r="BC47" s="1"/>
      <c r="BD47" s="1"/>
      <c r="BE47" s="1"/>
      <c r="BF47" s="1"/>
      <c r="BG47" s="1"/>
      <c r="BH47" s="1"/>
      <c r="BI47" s="1"/>
      <c r="BJ47" s="1"/>
      <c r="BK47" s="1"/>
      <c r="BL47" s="1"/>
      <c r="BM47" s="1"/>
      <c r="BN47" s="1"/>
      <c r="BO47" s="1"/>
      <c r="BP47" s="1"/>
      <c r="BQ47" s="1"/>
      <c r="BR47" s="1"/>
      <c r="BS47" s="1"/>
      <c r="BT47" s="1"/>
      <c r="BU47" s="1"/>
      <c r="BW47" s="1"/>
      <c r="BX47" s="1"/>
      <c r="BY47" s="1"/>
      <c r="BZ47" s="1"/>
      <c r="CA47" s="1"/>
      <c r="CB47" s="1"/>
      <c r="CC47" s="1"/>
      <c r="CD47" s="1"/>
      <c r="CE47" s="1"/>
      <c r="CF47" s="1"/>
      <c r="CG47" s="1"/>
      <c r="CH47" s="1"/>
      <c r="CI47" s="1"/>
      <c r="CJ47" s="1"/>
      <c r="CK47" s="1"/>
      <c r="CL47" s="1"/>
      <c r="CM47" s="1"/>
      <c r="CN47" s="1"/>
      <c r="CO47" s="1"/>
      <c r="CP47" s="1"/>
      <c r="CQ47" s="1">
        <f>(240/112*60)*0.265648045225077</f>
        <v>34.154748671795609</v>
      </c>
      <c r="CR47" s="1">
        <f>(240/112*60)*0.354009226268069</f>
        <v>45.515471948751724</v>
      </c>
      <c r="CS47" s="1"/>
      <c r="CT47" s="1"/>
      <c r="CU47" s="1"/>
      <c r="CV47" s="1"/>
      <c r="CW47" s="1"/>
      <c r="CX47" s="1"/>
      <c r="CY47" s="1"/>
      <c r="DD47" s="1">
        <v>56.893448003854708</v>
      </c>
    </row>
    <row r="48" spans="1:109" x14ac:dyDescent="0.25">
      <c r="A48" s="8">
        <f t="shared" si="3"/>
        <v>1881</v>
      </c>
      <c r="C48" s="17">
        <v>70.971428571428561</v>
      </c>
      <c r="D48" s="17">
        <v>68</v>
      </c>
      <c r="E48" s="17">
        <v>62.75</v>
      </c>
      <c r="G48" s="17"/>
      <c r="H48" s="17"/>
      <c r="J48" s="1"/>
      <c r="K48" s="1"/>
      <c r="L48" s="1"/>
      <c r="M48" s="1"/>
      <c r="N48" s="1"/>
      <c r="O48" s="1"/>
      <c r="P48" s="1"/>
      <c r="Q48" s="1"/>
      <c r="R48" s="17"/>
      <c r="S48" s="1"/>
      <c r="T48" s="1">
        <f>(240*60)*0.00303582270795386</f>
        <v>43.715846994535589</v>
      </c>
      <c r="U48" s="1"/>
      <c r="V48" s="17"/>
      <c r="W48" s="1"/>
      <c r="X48" s="1"/>
      <c r="Y48" s="1"/>
      <c r="Z48" s="1"/>
      <c r="AA48" s="1"/>
      <c r="AB48" s="17">
        <v>45.892689818181815</v>
      </c>
      <c r="AC48" s="17">
        <v>61.525653710247347</v>
      </c>
      <c r="AD48" s="1"/>
      <c r="AE48" s="1"/>
      <c r="AF48" s="1"/>
      <c r="AG48" s="1"/>
      <c r="AH48" s="1"/>
      <c r="AI48" s="1"/>
      <c r="AJ48" s="1"/>
      <c r="AK48" s="1"/>
      <c r="AL48" s="1"/>
      <c r="AM48" s="1"/>
      <c r="AN48" s="1"/>
      <c r="AO48" s="1"/>
      <c r="AP48" s="1"/>
      <c r="AQ48" s="1"/>
      <c r="AR48" s="1"/>
      <c r="AS48" s="1"/>
      <c r="AT48" s="1"/>
      <c r="AU48" s="1"/>
      <c r="AV48" s="1"/>
      <c r="AW48" s="1"/>
      <c r="AX48" s="1"/>
      <c r="AY48" s="3"/>
      <c r="AZ48" s="1"/>
      <c r="BB48" s="1">
        <f>(240/2240*60)*7.99999999999999</f>
        <v>51.42857142857136</v>
      </c>
      <c r="BC48" s="1"/>
      <c r="BD48" s="1"/>
      <c r="BE48" s="1"/>
      <c r="BF48" s="1"/>
      <c r="BG48" s="1"/>
      <c r="BH48" s="1"/>
      <c r="BI48" s="1"/>
      <c r="BJ48" s="1"/>
      <c r="BK48" s="1"/>
      <c r="BL48" s="1"/>
      <c r="BM48" s="1"/>
      <c r="BN48" s="1"/>
      <c r="BO48" s="1"/>
      <c r="BP48" s="1"/>
      <c r="BQ48" s="1"/>
      <c r="BR48" s="1"/>
      <c r="BS48" s="1"/>
      <c r="BT48" s="1"/>
      <c r="BU48" s="1"/>
      <c r="BW48" s="1"/>
      <c r="BX48" s="1"/>
      <c r="BY48" s="1"/>
      <c r="BZ48" s="1"/>
      <c r="CA48" s="1"/>
      <c r="CB48" s="1"/>
      <c r="CC48" s="1"/>
      <c r="CD48" s="1"/>
      <c r="CE48" s="1"/>
      <c r="CF48" s="1"/>
      <c r="CG48" s="1"/>
      <c r="CH48" s="1"/>
      <c r="CI48" s="1"/>
      <c r="CJ48" s="1"/>
      <c r="CK48" s="1"/>
      <c r="CL48" s="1"/>
      <c r="CM48" s="1"/>
      <c r="CN48" s="1"/>
      <c r="CO48" s="1"/>
      <c r="CP48" s="1"/>
      <c r="CQ48" s="1">
        <f>(240/112*60)*0.304482603747801</f>
        <v>39.147763339002985</v>
      </c>
      <c r="CR48" s="1">
        <f>(240/112*60)*0.300169818992166</f>
        <v>38.593262441849909</v>
      </c>
      <c r="CS48" s="1"/>
      <c r="CT48" s="1"/>
      <c r="CU48" s="1"/>
      <c r="CV48" s="1"/>
      <c r="CW48" s="1"/>
      <c r="CX48" s="1"/>
      <c r="CY48" s="1"/>
      <c r="DD48" s="1">
        <v>46.846797214011232</v>
      </c>
    </row>
    <row r="49" spans="1:109" x14ac:dyDescent="0.25">
      <c r="A49" s="8">
        <f t="shared" si="3"/>
        <v>1882</v>
      </c>
      <c r="C49" s="17">
        <v>68.592857142857142</v>
      </c>
      <c r="D49" s="17">
        <v>67.625</v>
      </c>
      <c r="E49" s="17">
        <v>55.625</v>
      </c>
      <c r="G49" s="17"/>
      <c r="H49" s="17"/>
      <c r="J49" s="1"/>
      <c r="K49" s="1"/>
      <c r="L49" s="1"/>
      <c r="M49" s="1"/>
      <c r="N49" s="1"/>
      <c r="O49" s="1"/>
      <c r="P49" s="1"/>
      <c r="Q49" s="1"/>
      <c r="R49" s="17"/>
      <c r="S49" s="1"/>
      <c r="T49" s="1">
        <f>(240*60)*0.0024741952910172</f>
        <v>35.62841219064768</v>
      </c>
      <c r="U49" s="1"/>
      <c r="V49" s="17">
        <v>64.8</v>
      </c>
      <c r="W49" s="1"/>
      <c r="X49" s="1"/>
      <c r="Y49" s="1"/>
      <c r="Z49" s="1"/>
      <c r="AA49" s="1"/>
      <c r="AB49" s="17">
        <v>45.892689818181815</v>
      </c>
      <c r="AC49" s="17">
        <v>64.239010600706706</v>
      </c>
      <c r="AD49" s="1"/>
      <c r="AE49" s="1"/>
      <c r="AF49" s="1"/>
      <c r="AG49" s="1"/>
      <c r="AH49" s="1"/>
      <c r="AI49" s="1"/>
      <c r="AJ49" s="1"/>
      <c r="AK49" s="1"/>
      <c r="AL49" s="1"/>
      <c r="AM49" s="1"/>
      <c r="AN49" s="1"/>
      <c r="AO49" s="1"/>
      <c r="AQ49" s="1"/>
      <c r="AR49" s="1"/>
      <c r="AS49" s="1"/>
      <c r="AT49" s="1"/>
      <c r="AU49" s="1"/>
      <c r="AV49" s="1"/>
      <c r="AW49" s="1"/>
      <c r="AX49" s="1"/>
      <c r="AY49" s="3"/>
      <c r="AZ49" s="1"/>
      <c r="BB49" s="1">
        <f>(240/2240*60)*7.99999999999999</f>
        <v>51.42857142857136</v>
      </c>
      <c r="BC49" s="1"/>
      <c r="BD49" s="1"/>
      <c r="BE49" s="1"/>
      <c r="BF49" s="1"/>
      <c r="BG49" s="1"/>
      <c r="BH49" s="1"/>
      <c r="BI49" s="1"/>
      <c r="BJ49" s="1"/>
      <c r="BK49" s="1"/>
      <c r="BL49" s="1"/>
      <c r="BM49" s="1"/>
      <c r="BN49" s="1"/>
      <c r="BO49" s="1"/>
      <c r="BP49" s="1"/>
      <c r="BQ49" s="1"/>
      <c r="BR49" s="1"/>
      <c r="BS49" s="1"/>
      <c r="BT49" s="1"/>
      <c r="BU49" s="1"/>
      <c r="BW49" s="1"/>
      <c r="BX49" s="1"/>
      <c r="BY49" s="1"/>
      <c r="BZ49" s="1"/>
      <c r="CA49" s="1"/>
      <c r="CB49" s="1"/>
      <c r="CC49" s="1"/>
      <c r="CD49" s="1"/>
      <c r="CE49" s="1"/>
      <c r="CF49" s="1"/>
      <c r="CG49" s="1"/>
      <c r="CH49" s="1"/>
      <c r="CI49" s="1"/>
      <c r="CJ49" s="1"/>
      <c r="CK49" s="1"/>
      <c r="CL49" s="1"/>
      <c r="CM49" s="1"/>
      <c r="CN49" s="1"/>
      <c r="CO49" s="1"/>
      <c r="CP49" s="1"/>
      <c r="CQ49" s="1">
        <f>(240/112*60)*0.25303992332168</f>
        <v>32.53370442707314</v>
      </c>
      <c r="CR49" s="1">
        <f>(240/112*60)*0.299806856695924</f>
        <v>38.54659586090451</v>
      </c>
      <c r="CS49" s="1"/>
      <c r="CT49" s="1"/>
      <c r="CU49" s="1"/>
      <c r="CV49" s="1"/>
      <c r="CW49" s="1"/>
      <c r="CX49" s="1"/>
      <c r="CY49" s="1"/>
      <c r="DD49" s="1">
        <v>49.237241852211852</v>
      </c>
    </row>
    <row r="50" spans="1:109" x14ac:dyDescent="0.25">
      <c r="A50" s="8">
        <f t="shared" si="3"/>
        <v>1883</v>
      </c>
      <c r="C50" s="17">
        <v>63.064285714285717</v>
      </c>
      <c r="D50" s="17">
        <v>62.375</v>
      </c>
      <c r="E50" s="17">
        <v>52.625</v>
      </c>
      <c r="G50" s="17"/>
      <c r="H50" s="17"/>
      <c r="J50" s="1"/>
      <c r="K50" s="1"/>
      <c r="L50" s="1"/>
      <c r="M50" s="1"/>
      <c r="N50" s="1"/>
      <c r="O50" s="1"/>
      <c r="P50" s="1"/>
      <c r="Q50" s="1"/>
      <c r="R50" s="17"/>
      <c r="S50" s="1"/>
      <c r="T50" s="1">
        <f>(240*60)*0.00241969632811082</f>
        <v>34.843627124795809</v>
      </c>
      <c r="U50" s="1"/>
      <c r="V50" s="17"/>
      <c r="W50" s="1"/>
      <c r="X50" s="1"/>
      <c r="Y50" s="1"/>
      <c r="Z50" s="1">
        <v>39.272727272727266</v>
      </c>
      <c r="AA50" s="1"/>
      <c r="AB50" s="17">
        <v>45.892689818181815</v>
      </c>
      <c r="AC50" s="17"/>
      <c r="AD50" s="1"/>
      <c r="AE50" s="1"/>
      <c r="AF50" s="1"/>
      <c r="AG50" s="1"/>
      <c r="AH50" s="1"/>
      <c r="AI50" s="1"/>
      <c r="AJ50" s="1"/>
      <c r="AK50" s="1"/>
      <c r="AL50" s="1"/>
      <c r="AM50" s="1"/>
      <c r="AN50" s="1"/>
      <c r="AO50" s="1"/>
      <c r="AQ50" s="1"/>
      <c r="AR50" s="1"/>
      <c r="AS50" s="1"/>
      <c r="AT50" s="1"/>
      <c r="AU50" s="1"/>
      <c r="AV50" s="1"/>
      <c r="AW50" s="1"/>
      <c r="AX50" s="1"/>
      <c r="AY50" s="3"/>
      <c r="AZ50" s="1"/>
      <c r="BB50" s="1">
        <f>(240/2240*60)*8.00037152622975</f>
        <v>51.430959811476967</v>
      </c>
      <c r="BC50" s="1"/>
      <c r="BD50" s="1"/>
      <c r="BE50" s="1"/>
      <c r="BF50" s="1"/>
      <c r="BG50" s="1"/>
      <c r="BH50" s="1"/>
      <c r="BI50" s="1"/>
      <c r="BJ50" s="1"/>
      <c r="BK50" s="1"/>
      <c r="BL50" s="1"/>
      <c r="BM50" s="1"/>
      <c r="BN50" s="1"/>
      <c r="BO50" s="1"/>
      <c r="BP50" s="1"/>
      <c r="BQ50" s="1"/>
      <c r="BR50" s="1"/>
      <c r="BS50" s="1"/>
      <c r="BT50" s="1"/>
      <c r="BU50" s="1"/>
      <c r="BW50" s="1"/>
      <c r="BX50" s="1"/>
      <c r="BY50" s="1"/>
      <c r="BZ50" s="1"/>
      <c r="CA50" s="1"/>
      <c r="CB50" s="1"/>
      <c r="CC50" s="1"/>
      <c r="CD50" s="1"/>
      <c r="CE50" s="1"/>
      <c r="CF50" s="1"/>
      <c r="CG50" s="1"/>
      <c r="CH50" s="1"/>
      <c r="CI50" s="1"/>
      <c r="CJ50" s="1"/>
      <c r="CK50" s="1"/>
      <c r="CL50" s="1"/>
      <c r="CM50" s="1"/>
      <c r="CN50" s="1"/>
      <c r="CO50" s="1"/>
      <c r="CP50" s="1"/>
      <c r="CQ50" s="1">
        <f>(240/112*60)*0.274289353239791</f>
        <v>35.26577398797312</v>
      </c>
      <c r="CR50" s="1">
        <f>(240/112*60)*0.29363649765981</f>
        <v>37.753263984832707</v>
      </c>
      <c r="CS50" s="1"/>
      <c r="CT50" s="1"/>
      <c r="CU50" s="1"/>
      <c r="CV50" s="1"/>
      <c r="CW50" s="1"/>
      <c r="CX50" s="1"/>
      <c r="CY50" s="1"/>
      <c r="DD50" s="1">
        <v>45.063773314078858</v>
      </c>
    </row>
    <row r="51" spans="1:109" x14ac:dyDescent="0.25">
      <c r="A51" s="8">
        <f t="shared" si="3"/>
        <v>1884</v>
      </c>
      <c r="C51" s="17">
        <v>54.064285714285717</v>
      </c>
      <c r="D51" s="17">
        <v>53.5</v>
      </c>
      <c r="E51" s="17">
        <v>43</v>
      </c>
      <c r="G51" s="17"/>
      <c r="H51" s="17"/>
      <c r="J51" s="1"/>
      <c r="K51" s="1"/>
      <c r="L51" s="3">
        <f>(240/2240*60)*2.54545454545455</f>
        <v>16.363636363636392</v>
      </c>
      <c r="M51" s="3">
        <f>(240/2240*60)*2.54545454545455</f>
        <v>16.363636363636392</v>
      </c>
      <c r="N51" s="3"/>
      <c r="O51" s="3"/>
      <c r="P51" s="3"/>
      <c r="Q51" s="3"/>
      <c r="R51" s="17"/>
      <c r="S51" s="1"/>
      <c r="T51" s="1">
        <f>(240*60)*0.00216972034715526</f>
        <v>31.243972999035741</v>
      </c>
      <c r="V51" s="17">
        <v>37.309090909090905</v>
      </c>
      <c r="W51" s="17">
        <v>53.436246750000002</v>
      </c>
      <c r="X51" s="1"/>
      <c r="Y51" s="1"/>
      <c r="Z51" s="3"/>
      <c r="AA51" s="3"/>
      <c r="AB51" s="17">
        <v>45.892689818181815</v>
      </c>
      <c r="AC51" s="17"/>
      <c r="AD51" s="1"/>
      <c r="AE51" s="1"/>
      <c r="AF51" s="1"/>
      <c r="AG51" s="1"/>
      <c r="AH51" s="1"/>
      <c r="AI51" s="1"/>
      <c r="AJ51" s="1"/>
      <c r="AK51" s="1"/>
      <c r="AL51" s="3"/>
      <c r="AM51" s="1">
        <f>(240/2240*60)*13.9645905090942</f>
        <v>89.772367558462705</v>
      </c>
      <c r="AN51" s="3"/>
      <c r="AO51" s="1"/>
      <c r="AQ51" s="1"/>
      <c r="AR51" s="1"/>
      <c r="AS51" s="1">
        <v>45</v>
      </c>
      <c r="AT51" s="3"/>
      <c r="AU51" s="3"/>
      <c r="AV51" s="3"/>
      <c r="AW51" s="3"/>
      <c r="AX51" s="1"/>
      <c r="AY51" s="3"/>
      <c r="AZ51" s="1"/>
      <c r="BB51" s="1"/>
      <c r="BC51" s="3"/>
      <c r="BD51" s="3"/>
      <c r="BE51" s="3"/>
      <c r="BF51" s="1"/>
      <c r="BG51" s="1"/>
      <c r="BH51" s="1"/>
      <c r="BI51" s="1"/>
      <c r="BJ51" s="1"/>
      <c r="BK51" s="1"/>
      <c r="BL51" s="1"/>
      <c r="BM51" s="1"/>
      <c r="BN51" s="1"/>
      <c r="BO51" s="1"/>
      <c r="BP51" s="3"/>
      <c r="BQ51" s="3"/>
      <c r="BR51" s="1"/>
      <c r="BS51" s="3"/>
      <c r="BT51" s="1"/>
      <c r="BU51" s="3"/>
      <c r="BW51" s="3"/>
      <c r="BX51" s="1"/>
      <c r="BY51" s="1"/>
      <c r="BZ51" s="1"/>
      <c r="CA51" s="1"/>
      <c r="CB51" s="1"/>
      <c r="CC51" s="3"/>
      <c r="CD51" s="1"/>
      <c r="CE51" s="3"/>
      <c r="CF51" s="1"/>
      <c r="CG51" s="3"/>
      <c r="CH51" s="3"/>
      <c r="CI51" s="1"/>
      <c r="CJ51" s="3"/>
      <c r="CK51" s="3"/>
      <c r="CL51" s="1"/>
      <c r="CM51" s="3"/>
      <c r="CN51" s="1"/>
      <c r="CO51" s="1"/>
      <c r="CP51" s="1"/>
      <c r="CQ51" s="1">
        <f>(240/112*60)*0.26337451621063</f>
        <v>33.862437798509568</v>
      </c>
      <c r="CR51" s="1">
        <f>(240/112*60)*0.293999459956052</f>
        <v>37.799930565778105</v>
      </c>
      <c r="CS51" s="3"/>
      <c r="CT51" s="3"/>
      <c r="CU51" s="1"/>
      <c r="CV51" s="3"/>
      <c r="CW51" s="1"/>
      <c r="CX51" s="3"/>
      <c r="CY51" s="3"/>
      <c r="DD51" s="1">
        <v>40.264772848301753</v>
      </c>
      <c r="DE51">
        <v>35.647135494696471</v>
      </c>
    </row>
    <row r="52" spans="1:109" x14ac:dyDescent="0.25">
      <c r="A52" s="8">
        <f t="shared" si="3"/>
        <v>1885</v>
      </c>
      <c r="C52" s="17">
        <v>50.335714285714289</v>
      </c>
      <c r="D52" s="17">
        <v>49.25</v>
      </c>
      <c r="E52" s="17">
        <v>36.75</v>
      </c>
      <c r="G52" s="17"/>
      <c r="H52" s="17"/>
      <c r="J52" s="1"/>
      <c r="K52" s="1"/>
      <c r="L52" s="1"/>
      <c r="M52" s="1"/>
      <c r="N52" s="1"/>
      <c r="O52" s="1"/>
      <c r="P52" s="1"/>
      <c r="Q52" s="1"/>
      <c r="R52" s="17"/>
      <c r="S52" s="1"/>
      <c r="T52" s="1">
        <f>(240*60)*0.00403530895334174</f>
        <v>58.108448928121057</v>
      </c>
      <c r="V52" s="17">
        <v>64.8</v>
      </c>
      <c r="W52" s="17"/>
      <c r="X52" s="1"/>
      <c r="Y52" s="1"/>
      <c r="Z52" s="1"/>
      <c r="AA52" s="1"/>
      <c r="AB52" s="17">
        <v>41.603264181818176</v>
      </c>
      <c r="AC52" s="17">
        <v>42.268833922261479</v>
      </c>
      <c r="AD52" s="1"/>
      <c r="AE52" s="1"/>
      <c r="AF52" s="1"/>
      <c r="AG52" s="1"/>
      <c r="AH52" s="1"/>
      <c r="AI52" s="1"/>
      <c r="AJ52" s="1"/>
      <c r="AK52" s="1"/>
      <c r="AL52" s="1"/>
      <c r="AM52" s="1">
        <f>(240/2240*60)*13.3404560168832</f>
        <v>85.760074394249131</v>
      </c>
      <c r="AN52" s="1"/>
      <c r="AO52" s="1"/>
      <c r="AQ52" s="1"/>
      <c r="AR52" s="1"/>
      <c r="AS52" s="1"/>
      <c r="AT52" s="1"/>
      <c r="AU52" s="1"/>
      <c r="AV52" s="1"/>
      <c r="AW52" s="1"/>
      <c r="AX52" s="1"/>
      <c r="AY52" s="3"/>
      <c r="AZ52" s="1"/>
      <c r="BB52" s="1">
        <f>(240/2240*60)*7.59438452732421</f>
        <v>48.821043389941345</v>
      </c>
      <c r="BC52" s="1"/>
      <c r="BD52" s="1"/>
      <c r="BE52" s="1"/>
      <c r="BF52" s="1"/>
      <c r="BG52" s="1"/>
      <c r="BH52" s="1"/>
      <c r="BI52" s="1"/>
      <c r="BJ52" s="1"/>
      <c r="BK52" s="1"/>
      <c r="BL52" s="1"/>
      <c r="BM52" s="1"/>
      <c r="BN52" s="1"/>
      <c r="BO52" s="1"/>
      <c r="BP52" s="1"/>
      <c r="BQ52" s="1"/>
      <c r="BR52" s="1"/>
      <c r="BS52" s="1"/>
      <c r="BT52" s="1"/>
      <c r="BU52" s="1"/>
      <c r="BW52" s="1"/>
      <c r="BX52" s="1"/>
      <c r="BY52" s="1"/>
      <c r="BZ52" s="1"/>
      <c r="CA52" s="1"/>
      <c r="CB52" s="1"/>
      <c r="CC52" s="1"/>
      <c r="CD52" s="1"/>
      <c r="CE52" s="1"/>
      <c r="CF52" s="1"/>
      <c r="CG52" s="1"/>
      <c r="CH52" s="1"/>
      <c r="CI52" s="1"/>
      <c r="CJ52" s="1"/>
      <c r="CK52" s="1"/>
      <c r="CL52" s="1"/>
      <c r="CM52" s="1"/>
      <c r="CN52" s="1"/>
      <c r="CO52" s="1"/>
      <c r="CP52" s="1"/>
      <c r="CQ52" s="1">
        <f>(240/112*60)*0.232914551270313</f>
        <v>29.946156591897381</v>
      </c>
      <c r="CR52" s="1">
        <f>(240/112*60)*0.261131207574134</f>
        <v>33.574012402388654</v>
      </c>
      <c r="CS52" s="1"/>
      <c r="CT52" s="1"/>
      <c r="CU52" s="1"/>
      <c r="CV52" s="1"/>
      <c r="CW52" s="1"/>
      <c r="CX52" s="1"/>
      <c r="CY52" s="1"/>
      <c r="DD52" s="1">
        <v>37.019422784391566</v>
      </c>
      <c r="DE52">
        <v>33.903824833702885</v>
      </c>
    </row>
    <row r="53" spans="1:109" x14ac:dyDescent="0.25">
      <c r="A53" s="8">
        <f t="shared" si="3"/>
        <v>1886</v>
      </c>
      <c r="C53" s="17">
        <v>48.535714285714278</v>
      </c>
      <c r="D53" s="17">
        <v>46.5</v>
      </c>
      <c r="E53" s="17">
        <v>44.625</v>
      </c>
      <c r="G53" s="17"/>
      <c r="H53" s="17"/>
      <c r="J53" s="1"/>
      <c r="K53" s="1"/>
      <c r="L53" s="1"/>
      <c r="M53" s="1"/>
      <c r="N53" s="1"/>
      <c r="O53" s="1"/>
      <c r="P53" s="1"/>
      <c r="Q53" s="1"/>
      <c r="R53" s="17"/>
      <c r="S53" s="1"/>
      <c r="T53" s="1">
        <f>(240*60)*0.00441361916771753</f>
        <v>63.556116015132424</v>
      </c>
      <c r="V53" s="17">
        <v>68.727272727272734</v>
      </c>
      <c r="W53" s="17"/>
      <c r="X53" s="1"/>
      <c r="Y53" s="1"/>
      <c r="Z53" s="1"/>
      <c r="AA53" s="1"/>
      <c r="AB53" s="17">
        <v>41.603264181818176</v>
      </c>
      <c r="AC53" s="17">
        <v>41.570459363957603</v>
      </c>
      <c r="AD53" s="1"/>
      <c r="AE53" s="1"/>
      <c r="AF53" s="17">
        <v>41.570459363957603</v>
      </c>
      <c r="AG53" s="1"/>
      <c r="AH53" s="1"/>
      <c r="AI53" s="1"/>
      <c r="AJ53" s="1"/>
      <c r="AK53" s="1"/>
      <c r="AL53" s="1"/>
      <c r="AM53" s="1"/>
      <c r="AN53" s="1"/>
      <c r="AP53" s="1"/>
      <c r="AQ53" s="1"/>
      <c r="AR53" s="1"/>
      <c r="AS53" s="1"/>
      <c r="AT53" s="1"/>
      <c r="AU53" s="1"/>
      <c r="AV53" s="1"/>
      <c r="AW53" s="1"/>
      <c r="AX53" s="1"/>
      <c r="AY53" s="3"/>
      <c r="AZ53" s="1"/>
      <c r="BB53" s="1">
        <f>(240/2240*60)*7.60974108752032</f>
        <v>48.9197641340592</v>
      </c>
      <c r="BC53" s="1"/>
      <c r="BD53" s="1"/>
      <c r="BE53" s="1"/>
      <c r="BF53" s="1"/>
      <c r="BG53" s="1"/>
      <c r="BH53" s="1"/>
      <c r="BI53" s="1"/>
      <c r="BJ53" s="1"/>
      <c r="BK53" s="1"/>
      <c r="BL53" s="1"/>
      <c r="BM53" s="1"/>
      <c r="BN53" s="1"/>
      <c r="BO53" s="1"/>
      <c r="BP53" s="1"/>
      <c r="BQ53" s="1"/>
      <c r="BR53" s="1"/>
      <c r="BS53" s="1"/>
      <c r="BT53" s="1"/>
      <c r="BU53" s="1"/>
      <c r="BW53" s="1"/>
      <c r="BX53" s="1"/>
      <c r="BY53" s="1"/>
      <c r="BZ53" s="1"/>
      <c r="CA53" s="1"/>
      <c r="CB53" s="1"/>
      <c r="CC53" s="1"/>
      <c r="CD53" s="1"/>
      <c r="CE53" s="1"/>
      <c r="CF53" s="1"/>
      <c r="CG53" s="1"/>
      <c r="CH53" s="1"/>
      <c r="CI53" s="1"/>
      <c r="CJ53" s="1"/>
      <c r="CK53" s="1"/>
      <c r="CL53" s="1"/>
      <c r="CM53" s="1"/>
      <c r="CN53" s="1"/>
      <c r="CO53" s="1"/>
      <c r="CP53" s="1"/>
      <c r="CQ53" s="1">
        <f>(240/112*60)*0.2823328147197</f>
        <v>36.299933321104284</v>
      </c>
      <c r="CR53" s="1">
        <f>(240/112*60)*0.261641757376176</f>
        <v>33.639654519794057</v>
      </c>
      <c r="CS53" s="1"/>
      <c r="CT53" s="1"/>
      <c r="CU53" s="1"/>
      <c r="CV53" s="1"/>
      <c r="CW53" s="1"/>
      <c r="CX53" s="1"/>
      <c r="CY53" s="1"/>
      <c r="DD53" s="1">
        <v>36.714928807616126</v>
      </c>
      <c r="DE53">
        <v>33.513925510876732</v>
      </c>
    </row>
    <row r="54" spans="1:109" x14ac:dyDescent="0.25">
      <c r="A54" s="8">
        <f t="shared" si="3"/>
        <v>1887</v>
      </c>
      <c r="C54" s="17">
        <v>49.178571428571438</v>
      </c>
      <c r="D54" s="17">
        <v>48.75</v>
      </c>
      <c r="E54" s="17">
        <v>40.125</v>
      </c>
      <c r="F54" s="1">
        <f>(240*60)*0.00374149659863946</f>
        <v>53.877551020408227</v>
      </c>
      <c r="G54" s="17"/>
      <c r="H54" s="17"/>
      <c r="I54" s="1">
        <f>(240*60)*0.00273133964651565</f>
        <v>39.331290909825363</v>
      </c>
      <c r="J54" s="1"/>
      <c r="K54" s="1"/>
      <c r="L54" s="1"/>
      <c r="M54" s="1"/>
      <c r="N54" s="1"/>
      <c r="O54" s="1"/>
      <c r="P54" s="1"/>
      <c r="Q54" s="1"/>
      <c r="R54" s="17"/>
      <c r="S54" s="1"/>
      <c r="T54" s="1">
        <f>(240*60)*0.00302648171500631</f>
        <v>43.581336696090865</v>
      </c>
      <c r="U54" s="1"/>
      <c r="V54" s="17">
        <v>39.272727272727273</v>
      </c>
      <c r="W54" s="17"/>
      <c r="X54" s="1"/>
      <c r="Y54" s="1"/>
      <c r="Z54" s="1"/>
      <c r="AA54" s="1"/>
      <c r="AB54" s="17">
        <v>41.603264181818176</v>
      </c>
      <c r="AC54" s="17">
        <v>45.085229681978802</v>
      </c>
      <c r="AD54" s="1"/>
      <c r="AE54" s="1"/>
      <c r="AF54" s="17">
        <v>45.096678445229678</v>
      </c>
      <c r="AG54" s="1"/>
      <c r="AH54" s="1"/>
      <c r="AI54" s="1"/>
      <c r="AJ54" s="1"/>
      <c r="AK54" s="1"/>
      <c r="AL54" s="1"/>
      <c r="AM54" s="1"/>
      <c r="AN54" s="1"/>
      <c r="AO54" s="1"/>
      <c r="AP54" s="1"/>
      <c r="AQ54" s="1"/>
      <c r="AR54" s="1"/>
      <c r="AS54" s="1"/>
      <c r="AT54" s="1"/>
      <c r="AU54" s="1"/>
      <c r="AV54" s="1"/>
      <c r="AW54" s="1"/>
      <c r="AX54" s="1"/>
      <c r="AY54" s="14"/>
      <c r="AZ54" s="1"/>
      <c r="BB54" s="1">
        <f>(240/2240*60)*7.90361663652802</f>
        <v>50.808964091965841</v>
      </c>
      <c r="BC54" s="1"/>
      <c r="BD54" s="1"/>
      <c r="BE54" s="1"/>
      <c r="BF54" s="1"/>
      <c r="BG54" s="1"/>
      <c r="BH54" s="1"/>
      <c r="BI54" s="1"/>
      <c r="BJ54" s="1"/>
      <c r="BK54" s="1"/>
      <c r="BL54" s="1"/>
      <c r="BM54" s="1"/>
      <c r="BN54" s="1"/>
      <c r="BO54" s="1"/>
      <c r="BP54" s="1"/>
      <c r="BQ54" s="1"/>
      <c r="BR54" s="1"/>
      <c r="BS54" s="1"/>
      <c r="BT54" s="1"/>
      <c r="BU54" s="1"/>
      <c r="BW54" s="1"/>
      <c r="BX54" s="1"/>
      <c r="BY54" s="1"/>
      <c r="BZ54" s="1"/>
      <c r="CA54" s="1"/>
      <c r="CB54" s="1"/>
      <c r="CC54" s="1"/>
      <c r="CD54" s="1"/>
      <c r="CE54" s="1"/>
      <c r="CF54" s="1"/>
      <c r="CG54" s="1"/>
      <c r="CH54" s="1"/>
      <c r="CI54" s="1"/>
      <c r="CJ54" s="1"/>
      <c r="CK54" s="1"/>
      <c r="CL54" s="1"/>
      <c r="CM54" s="1"/>
      <c r="CN54" s="1"/>
      <c r="CO54" s="1"/>
      <c r="CP54" s="1"/>
      <c r="CQ54" s="1">
        <f>(240/112*60)*0.267382224898302</f>
        <v>34.377714629781678</v>
      </c>
      <c r="CR54" s="1">
        <f>(240/112*60)*0.259518041813058</f>
        <v>33.366605375964596</v>
      </c>
      <c r="CS54" s="1"/>
      <c r="CT54" s="1"/>
      <c r="CU54" s="1"/>
      <c r="CV54" s="1"/>
      <c r="CY54" s="1"/>
      <c r="CZ54" s="1"/>
      <c r="DD54" s="1">
        <v>39.194847631999743</v>
      </c>
      <c r="DE54">
        <v>35.684121621621621</v>
      </c>
    </row>
    <row r="55" spans="1:109" x14ac:dyDescent="0.25">
      <c r="A55" s="8">
        <f t="shared" si="3"/>
        <v>1888</v>
      </c>
      <c r="C55" s="17">
        <v>49.371428571428581</v>
      </c>
      <c r="D55" s="17">
        <v>47.75</v>
      </c>
      <c r="E55" s="17">
        <v>40</v>
      </c>
      <c r="F55" s="1">
        <f>(240*60)*0.0035699584444096</f>
        <v>51.407401599498243</v>
      </c>
      <c r="G55" s="17">
        <v>44.248608534322813</v>
      </c>
      <c r="H55" s="17"/>
      <c r="I55" s="1">
        <f>(240*60)*0.00255102040816327</f>
        <v>36.734693877551088</v>
      </c>
      <c r="J55" s="1">
        <f>(240*60)*0.00263295514760138</f>
        <v>37.914554125459873</v>
      </c>
      <c r="L55" s="1"/>
      <c r="M55" s="1"/>
      <c r="N55" s="1"/>
      <c r="O55" s="1"/>
      <c r="P55" s="1"/>
      <c r="Q55" s="1"/>
      <c r="R55" s="17"/>
      <c r="S55" s="1"/>
      <c r="T55" s="1">
        <f>(240*60)*0.00314754098360656</f>
        <v>45.324590163934459</v>
      </c>
      <c r="U55" s="1"/>
      <c r="V55" s="17">
        <v>39.272727272727273</v>
      </c>
      <c r="W55" s="17"/>
      <c r="X55" s="1"/>
      <c r="Y55" s="1"/>
      <c r="Z55" s="1">
        <v>60</v>
      </c>
      <c r="AA55" s="1"/>
      <c r="AB55" s="17">
        <v>41.603264181818176</v>
      </c>
      <c r="AC55" s="17">
        <v>41.982614840989399</v>
      </c>
      <c r="AD55" s="1"/>
      <c r="AE55" s="1"/>
      <c r="AF55" s="17"/>
      <c r="AG55" s="1"/>
      <c r="AH55" s="1"/>
      <c r="AI55" s="1"/>
      <c r="AJ55" s="1"/>
      <c r="AK55" s="1"/>
      <c r="AL55" s="1"/>
      <c r="AM55" s="1"/>
      <c r="AN55" s="1"/>
      <c r="AO55" s="1"/>
      <c r="AP55" s="1"/>
      <c r="AQ55" s="1"/>
      <c r="AR55" s="1"/>
      <c r="AS55" s="1"/>
      <c r="AT55" s="1"/>
      <c r="AU55" s="1"/>
      <c r="AV55" s="1"/>
      <c r="AW55" s="1"/>
      <c r="AX55" s="1"/>
      <c r="AY55" s="3"/>
      <c r="AZ55" s="1"/>
      <c r="BB55" s="1">
        <f>(240/2240*60)*7.18911586338972</f>
        <v>46.215744836076766</v>
      </c>
      <c r="BC55" s="1"/>
      <c r="BD55" s="1"/>
      <c r="BE55" s="1"/>
      <c r="BF55" s="1"/>
      <c r="BG55" s="1"/>
      <c r="BH55" s="1"/>
      <c r="BI55" s="1"/>
      <c r="BJ55" s="1"/>
      <c r="BK55" s="1"/>
      <c r="BL55" s="3"/>
      <c r="BM55" s="1"/>
      <c r="BN55" s="1"/>
      <c r="BO55" s="1"/>
      <c r="BP55" s="1"/>
      <c r="BQ55" s="1"/>
      <c r="BR55" s="1"/>
      <c r="BS55" s="1"/>
      <c r="BT55" s="1"/>
      <c r="BU55" s="1"/>
      <c r="BW55" s="1"/>
      <c r="BX55" s="1"/>
      <c r="BY55" s="1"/>
      <c r="BZ55" s="1"/>
      <c r="CA55" s="1"/>
      <c r="CB55" s="1"/>
      <c r="CC55" s="1"/>
      <c r="CD55" s="1"/>
      <c r="CE55" s="1"/>
      <c r="CF55" s="1"/>
      <c r="CG55" s="1"/>
      <c r="CH55" s="1"/>
      <c r="CI55" s="1"/>
      <c r="CJ55" s="1"/>
      <c r="CK55" s="1"/>
      <c r="CL55" s="1"/>
      <c r="CM55" s="1"/>
      <c r="CN55" s="1"/>
      <c r="CO55" s="1"/>
      <c r="CP55" s="1"/>
      <c r="CQ55" s="1">
        <f>(240/112*60)*0.237135366878132</f>
        <v>30.488832884331252</v>
      </c>
      <c r="CR55" s="1">
        <f>(240/112*60)*0.237135366878132</f>
        <v>30.488832884331252</v>
      </c>
      <c r="CS55" s="1"/>
      <c r="CT55" s="1"/>
      <c r="CU55" s="1"/>
      <c r="CV55" s="1"/>
      <c r="CY55" s="1"/>
      <c r="CZ55" s="1"/>
      <c r="DD55" s="1">
        <v>38.940689482979629</v>
      </c>
      <c r="DE55">
        <v>35.328773895847071</v>
      </c>
    </row>
    <row r="56" spans="1:109" x14ac:dyDescent="0.25">
      <c r="A56" s="8">
        <f t="shared" si="3"/>
        <v>1889</v>
      </c>
      <c r="C56" s="17">
        <v>49.435714285714283</v>
      </c>
      <c r="D56" s="17">
        <v>44.625</v>
      </c>
      <c r="E56" s="17">
        <v>38.375</v>
      </c>
      <c r="F56" s="1">
        <f>(240*60)*0.0031328320802005</f>
        <v>45.112781954887204</v>
      </c>
      <c r="G56" s="17">
        <v>38.235294117647058</v>
      </c>
      <c r="H56" s="17"/>
      <c r="I56" s="1">
        <f>(240*60)*0.00281327484264734</f>
        <v>40.511157734121696</v>
      </c>
      <c r="J56" s="1">
        <f>(240*60)*0.0022760486354423</f>
        <v>32.775100350369122</v>
      </c>
      <c r="L56" s="1"/>
      <c r="M56" s="1"/>
      <c r="N56" s="1"/>
      <c r="O56" s="1"/>
      <c r="P56" s="1"/>
      <c r="Q56" s="1"/>
      <c r="R56" s="17"/>
      <c r="S56" s="1"/>
      <c r="T56" s="1">
        <f>(240*60)*0.00302541077313971</f>
        <v>43.565915133211824</v>
      </c>
      <c r="U56" s="1"/>
      <c r="V56" s="17">
        <v>31.418181818181818</v>
      </c>
      <c r="W56" s="17"/>
      <c r="X56" s="1"/>
      <c r="Y56" s="1"/>
      <c r="Z56" s="1"/>
      <c r="AA56" s="1"/>
      <c r="AB56" s="17">
        <v>33.202946102699642</v>
      </c>
      <c r="AC56" s="17">
        <v>42.463462897526512</v>
      </c>
      <c r="AD56" s="1"/>
      <c r="AE56" s="1"/>
      <c r="AF56" s="17"/>
      <c r="AG56" s="1"/>
      <c r="AH56" s="1"/>
      <c r="AI56" s="1"/>
      <c r="AJ56" s="1"/>
      <c r="AK56" s="1"/>
      <c r="AL56" s="1"/>
      <c r="AM56" s="1"/>
      <c r="AN56" s="1"/>
      <c r="AO56" s="1">
        <f>(240/2240*60)*15.2689711616175</f>
        <v>98.157671753255343</v>
      </c>
      <c r="AP56" s="1">
        <f>(240/2240*60)*13.2527284959608</f>
        <v>85.196111759747993</v>
      </c>
      <c r="AQ56" s="1"/>
      <c r="AR56" s="1"/>
      <c r="AS56" s="1"/>
      <c r="AT56" s="1"/>
      <c r="AU56" s="1"/>
      <c r="AV56" s="1"/>
      <c r="AW56" s="1"/>
      <c r="AX56" s="1"/>
      <c r="AY56" s="18">
        <v>58.831988913438529</v>
      </c>
      <c r="AZ56" s="1"/>
      <c r="BB56" s="1">
        <f>(240/2240*60)*6.89503431570447</f>
        <v>44.325220600957302</v>
      </c>
      <c r="BC56" s="1"/>
      <c r="BD56" s="1"/>
      <c r="BE56" s="1"/>
      <c r="BF56" s="1"/>
      <c r="BG56" s="1"/>
      <c r="BH56" s="1"/>
      <c r="BI56" s="1"/>
      <c r="BJ56" s="1"/>
      <c r="BK56" s="1"/>
      <c r="BL56" s="1">
        <f>(240*60)*0.00171131155898782</f>
        <v>24.642886449424608</v>
      </c>
      <c r="BN56" s="1"/>
      <c r="BO56" s="1"/>
      <c r="BP56" s="1"/>
      <c r="BQ56" s="1"/>
      <c r="BR56" s="1"/>
      <c r="BS56" s="1"/>
      <c r="BT56" s="1"/>
      <c r="BU56" s="1"/>
      <c r="BW56" s="1"/>
      <c r="BX56" s="1"/>
      <c r="BY56" s="1"/>
      <c r="BZ56" s="1"/>
      <c r="CA56" s="1"/>
      <c r="CB56" s="1"/>
      <c r="CC56" s="1"/>
      <c r="CD56" s="1"/>
      <c r="CE56" s="1"/>
      <c r="CF56" s="1"/>
      <c r="CG56" s="1"/>
      <c r="CH56" s="1"/>
      <c r="CI56" s="1"/>
      <c r="CJ56" s="1"/>
      <c r="CK56" s="1"/>
      <c r="CL56" s="1"/>
      <c r="CM56" s="1"/>
      <c r="CN56" s="1"/>
      <c r="CO56" s="1"/>
      <c r="CP56" s="1"/>
      <c r="CQ56" s="1">
        <f>(240/112*60)*0.248266203037948</f>
        <v>31.919940390593311</v>
      </c>
      <c r="CR56" s="1">
        <f>(240/112*60)*0.234130845648129</f>
        <v>30.102537297616582</v>
      </c>
      <c r="CS56" s="1"/>
      <c r="CT56" s="1"/>
      <c r="CU56" s="1"/>
      <c r="CV56" s="1"/>
      <c r="CY56" s="1"/>
      <c r="CZ56" s="1"/>
      <c r="DD56" s="1">
        <v>39.083852147924617</v>
      </c>
      <c r="DE56">
        <v>40.623982491360543</v>
      </c>
    </row>
    <row r="57" spans="1:109" x14ac:dyDescent="0.25">
      <c r="A57" s="8">
        <f t="shared" si="3"/>
        <v>1890</v>
      </c>
      <c r="C57" s="17">
        <v>50.142857142857146</v>
      </c>
      <c r="D57" s="17">
        <v>47.875</v>
      </c>
      <c r="E57" s="17">
        <v>42.875</v>
      </c>
      <c r="F57" s="1">
        <f>(240*60)*0.00334821428571429</f>
        <v>48.214285714285772</v>
      </c>
      <c r="G57" s="17">
        <v>39.084005695301371</v>
      </c>
      <c r="H57" s="17"/>
      <c r="I57" s="1">
        <f>(240*60)*0.00251509054325956</f>
        <v>36.217303822937666</v>
      </c>
      <c r="J57" s="1">
        <f>(240*60)*0.0023359099915193</f>
        <v>33.637103877877919</v>
      </c>
      <c r="L57" s="1"/>
      <c r="M57" s="1"/>
      <c r="N57" s="1"/>
      <c r="O57" s="1"/>
      <c r="P57" s="1"/>
      <c r="Q57" s="1"/>
      <c r="R57" s="17"/>
      <c r="S57" s="1"/>
      <c r="T57" s="1">
        <f>(240*60)*0.00241478473776038</f>
        <v>34.772900223749467</v>
      </c>
      <c r="U57" s="1"/>
      <c r="V57" s="17"/>
      <c r="W57" s="17"/>
      <c r="X57" s="1"/>
      <c r="Y57" s="1"/>
      <c r="Z57" s="1"/>
      <c r="AA57" s="1"/>
      <c r="AB57" s="17">
        <v>34.81952245791976</v>
      </c>
      <c r="AC57" s="17"/>
      <c r="AD57" s="1"/>
      <c r="AE57" s="1"/>
      <c r="AF57" s="17"/>
      <c r="AG57" s="1"/>
      <c r="AH57" s="1"/>
      <c r="AI57" s="1"/>
      <c r="AJ57" s="1"/>
      <c r="AK57" s="1"/>
      <c r="AL57" s="1"/>
      <c r="AM57" s="1"/>
      <c r="AN57" s="1"/>
      <c r="AO57" s="1">
        <f>(240/2240*60)*19.6266255715134</f>
        <v>126.17116438830043</v>
      </c>
      <c r="AP57" s="1">
        <f>(240/2240*60)*13.6919809421201</f>
        <v>88.019877485057776</v>
      </c>
      <c r="AQ57" s="1"/>
      <c r="AR57" s="1"/>
      <c r="AS57" s="1"/>
      <c r="AT57" s="1"/>
      <c r="AU57" s="1"/>
      <c r="AV57" s="1"/>
      <c r="AW57" s="1"/>
      <c r="AX57" s="1"/>
      <c r="AY57" s="18">
        <v>72.949870247768914</v>
      </c>
      <c r="AZ57" s="1"/>
      <c r="BB57" s="1">
        <f>(240/2240*60)*5.73783874205419</f>
        <v>36.886106198919784</v>
      </c>
      <c r="BC57" s="1"/>
      <c r="BD57" s="1"/>
      <c r="BE57" s="1"/>
      <c r="BF57" s="1"/>
      <c r="BG57" s="1"/>
      <c r="BH57" s="1"/>
      <c r="BI57" s="1"/>
      <c r="BJ57" s="1"/>
      <c r="BK57" s="1"/>
      <c r="BL57" s="1"/>
      <c r="BM57" s="1"/>
      <c r="BN57" s="1"/>
      <c r="BO57" s="1"/>
      <c r="BP57" s="1"/>
      <c r="BQ57" s="1"/>
      <c r="BR57" s="1"/>
      <c r="BS57" s="1"/>
      <c r="BT57" s="1"/>
      <c r="BU57" s="1"/>
      <c r="BW57" s="1"/>
      <c r="BX57" s="1"/>
      <c r="BY57" s="1"/>
      <c r="BZ57" s="1"/>
      <c r="CA57" s="1"/>
      <c r="CB57" s="1"/>
      <c r="CC57" s="1"/>
      <c r="CD57" s="1"/>
      <c r="CE57" s="1"/>
      <c r="CF57" s="1"/>
      <c r="CG57" s="1"/>
      <c r="CH57" s="1"/>
      <c r="CI57" s="1"/>
      <c r="CJ57" s="1"/>
      <c r="CK57" s="1"/>
      <c r="CL57" s="1"/>
      <c r="CM57" s="1"/>
      <c r="CN57" s="1"/>
      <c r="CP57" s="1"/>
      <c r="CQ57" s="1">
        <f>(240/112*60)*0.318947666975487</f>
        <v>41.007557182562607</v>
      </c>
      <c r="CR57" s="1">
        <f>(240/112*60)*0.23768845228193</f>
        <v>30.559943864819569</v>
      </c>
      <c r="CS57" s="1"/>
      <c r="CT57" s="1"/>
      <c r="CU57" s="1">
        <f>(240/112*60)*0.204823151125402</f>
        <v>26.334405144694539</v>
      </c>
      <c r="CV57" s="1"/>
      <c r="CY57" s="1"/>
      <c r="CZ57" s="1"/>
      <c r="DD57" s="1">
        <v>41.608947679970008</v>
      </c>
      <c r="DE57">
        <v>41.835305570061671</v>
      </c>
    </row>
    <row r="58" spans="1:109" x14ac:dyDescent="0.25">
      <c r="A58" s="8">
        <f t="shared" si="3"/>
        <v>1891</v>
      </c>
      <c r="C58" s="17">
        <v>57.085714285714296</v>
      </c>
      <c r="D58" s="17">
        <v>55.5</v>
      </c>
      <c r="E58" s="17">
        <v>48.75</v>
      </c>
      <c r="F58" s="1">
        <f>(240*60)*0.00356193009118541</f>
        <v>51.291793313069903</v>
      </c>
      <c r="G58" s="17">
        <v>40.009990009990005</v>
      </c>
      <c r="H58" s="17"/>
      <c r="I58" s="1"/>
      <c r="J58" s="3">
        <f>(240*60)*0.0023786769951429</f>
        <v>34.25294873005776</v>
      </c>
      <c r="L58" s="1"/>
      <c r="M58" s="1"/>
      <c r="N58" s="1"/>
      <c r="O58" s="1"/>
      <c r="P58" s="1"/>
      <c r="Q58" s="1"/>
      <c r="R58" s="17"/>
      <c r="S58" s="1"/>
      <c r="T58" s="1">
        <f>(240*60)*0.00308824664796562</f>
        <v>44.470751730704933</v>
      </c>
      <c r="U58" s="1"/>
      <c r="V58" s="17"/>
      <c r="W58" s="17"/>
      <c r="X58" s="1"/>
      <c r="Y58" s="1"/>
      <c r="Z58" s="1"/>
      <c r="AA58" s="1"/>
      <c r="AB58" s="17">
        <v>35.057253867846221</v>
      </c>
      <c r="AC58" s="17"/>
      <c r="AD58" s="1"/>
      <c r="AE58" s="1"/>
      <c r="AF58" s="17"/>
      <c r="AG58" s="1"/>
      <c r="AH58" s="1"/>
      <c r="AI58" s="1"/>
      <c r="AJ58" s="1"/>
      <c r="AK58" s="1"/>
      <c r="AL58" s="1"/>
      <c r="AM58" s="1"/>
      <c r="AN58" s="1"/>
      <c r="AO58" s="1"/>
      <c r="AP58" s="1"/>
      <c r="AQ58" s="1"/>
      <c r="AR58" s="1"/>
      <c r="AS58" s="1"/>
      <c r="AT58" s="1"/>
      <c r="AU58" s="1"/>
      <c r="AV58" s="1"/>
      <c r="AW58" s="1"/>
      <c r="AX58" s="1"/>
      <c r="AY58" s="18">
        <v>58.831988913438529</v>
      </c>
      <c r="AZ58" s="1"/>
      <c r="BB58" s="1">
        <f>(240/2240*60)*5.79626590069757</f>
        <v>37.261709361627233</v>
      </c>
      <c r="BC58" s="1"/>
      <c r="BD58" s="1"/>
      <c r="BE58" s="1"/>
      <c r="BF58" s="1"/>
      <c r="BG58" s="1"/>
      <c r="BH58" s="1"/>
      <c r="BI58" s="1"/>
      <c r="BJ58" s="1"/>
      <c r="BK58" s="1"/>
      <c r="BL58" s="1"/>
      <c r="BM58" s="1"/>
      <c r="BN58" s="1"/>
      <c r="BO58" s="1"/>
      <c r="BP58" s="1"/>
      <c r="BQ58" s="1"/>
      <c r="BR58" s="1"/>
      <c r="BS58" s="1"/>
      <c r="BT58" s="1"/>
      <c r="BU58" s="1"/>
      <c r="BV58" s="1"/>
      <c r="BW58" s="1"/>
      <c r="BX58" s="3"/>
      <c r="BY58" s="3"/>
      <c r="BZ58" s="3"/>
      <c r="CA58" s="3"/>
      <c r="CB58" s="1"/>
      <c r="CC58" s="1"/>
      <c r="CD58" s="1"/>
      <c r="CE58" s="1"/>
      <c r="CF58" s="1"/>
      <c r="CG58" s="1"/>
      <c r="CH58" s="1"/>
      <c r="CI58" s="1"/>
      <c r="CJ58" s="1"/>
      <c r="CK58" s="1"/>
      <c r="CL58" s="1"/>
      <c r="CN58" s="1"/>
      <c r="CO58" s="1"/>
      <c r="CP58" s="1"/>
      <c r="CQ58" s="1">
        <f>(240/112*60)*0.275806864470391</f>
        <v>35.460882574764554</v>
      </c>
      <c r="CR58" s="1">
        <f>(240/112*60)*0.26169581559051</f>
        <v>33.646604861636995</v>
      </c>
      <c r="CS58" s="1"/>
      <c r="CT58" s="1"/>
      <c r="CU58" s="1">
        <f>(240/112*60)*0.225184285961401</f>
        <v>28.95226533789441</v>
      </c>
      <c r="CV58" s="1"/>
      <c r="CW58" s="1"/>
      <c r="CY58" s="1"/>
      <c r="CZ58" s="1"/>
      <c r="DD58" s="1">
        <v>42.743333423064108</v>
      </c>
      <c r="DE58">
        <v>48.30557880100563</v>
      </c>
    </row>
    <row r="59" spans="1:109" x14ac:dyDescent="0.25">
      <c r="A59" s="8">
        <f t="shared" si="3"/>
        <v>1892</v>
      </c>
      <c r="C59" s="17">
        <v>49.242857142857147</v>
      </c>
      <c r="D59" s="17">
        <v>45.375</v>
      </c>
      <c r="E59" s="17">
        <v>37.375</v>
      </c>
      <c r="F59" s="1">
        <f>(240*60)*0.00314465408805031</f>
        <v>45.283018867924461</v>
      </c>
      <c r="G59" s="17">
        <v>42.328042328042322</v>
      </c>
      <c r="H59" s="17"/>
      <c r="I59" s="1"/>
      <c r="J59" s="3">
        <f>(240*60)*0.00251859351663657</f>
        <v>36.267746639566603</v>
      </c>
      <c r="L59" s="1"/>
      <c r="M59" s="1"/>
      <c r="N59" s="1"/>
      <c r="O59" s="1"/>
      <c r="P59" s="1"/>
      <c r="Q59" s="1"/>
      <c r="R59" s="17"/>
      <c r="S59" s="1"/>
      <c r="T59" s="1"/>
      <c r="U59" s="1"/>
      <c r="V59" s="17"/>
      <c r="W59" s="17"/>
      <c r="X59" s="1"/>
      <c r="Y59" s="1"/>
      <c r="Z59" s="1"/>
      <c r="AA59" s="1"/>
      <c r="AB59" s="17">
        <v>35.877747990918046</v>
      </c>
      <c r="AC59" s="17">
        <v>49.802120141342755</v>
      </c>
      <c r="AD59" s="1"/>
      <c r="AE59" s="1"/>
      <c r="AF59" s="17"/>
      <c r="AG59" s="1"/>
      <c r="AH59" s="1"/>
      <c r="AI59" s="1"/>
      <c r="AJ59" s="1"/>
      <c r="AK59" s="1"/>
      <c r="AL59" s="1"/>
      <c r="AM59" s="1">
        <f>(240/2240*60)*5.70225587144623</f>
        <v>36.657359173582904</v>
      </c>
      <c r="AN59" s="1"/>
      <c r="AO59" s="1"/>
      <c r="AP59" s="1"/>
      <c r="AQ59" s="1"/>
      <c r="AR59" s="1"/>
      <c r="AS59" s="1"/>
      <c r="AT59" s="1"/>
      <c r="AU59" s="1"/>
      <c r="AV59" s="1"/>
      <c r="AW59" s="1"/>
      <c r="AX59" s="1"/>
      <c r="AY59" s="18">
        <v>58.831988913438529</v>
      </c>
      <c r="AZ59" s="1"/>
      <c r="BB59" s="1">
        <f>(240/2240*60)*5.09081962603683</f>
        <v>32.726697595951045</v>
      </c>
      <c r="BC59" s="1"/>
      <c r="BD59" s="1"/>
      <c r="BE59" s="1"/>
      <c r="BF59" s="3"/>
      <c r="BG59" s="3"/>
      <c r="BH59" s="3"/>
      <c r="BI59" s="3"/>
      <c r="BJ59" s="1"/>
      <c r="BK59" s="1"/>
      <c r="BL59" s="1"/>
      <c r="BM59" s="1"/>
      <c r="BN59" s="1"/>
      <c r="BO59" s="1"/>
      <c r="BP59" s="1"/>
      <c r="BQ59" s="1"/>
      <c r="BR59" s="1"/>
      <c r="BS59" s="1"/>
      <c r="BT59" s="1"/>
      <c r="BU59" s="1"/>
      <c r="BV59" s="1"/>
      <c r="BW59" s="1"/>
      <c r="BX59" s="1">
        <f>(240*60)*0.00212418300653595</f>
        <v>30.58823529411768</v>
      </c>
      <c r="BY59" s="3"/>
      <c r="BZ59" s="3"/>
      <c r="CA59" s="3"/>
      <c r="CB59" s="1"/>
      <c r="CC59" s="1"/>
      <c r="CD59" s="1"/>
      <c r="CE59" s="3"/>
      <c r="CG59" s="1"/>
      <c r="CH59" s="1"/>
      <c r="CI59" s="1"/>
      <c r="CJ59" s="1"/>
      <c r="CK59" s="1"/>
      <c r="CL59" s="1"/>
      <c r="CN59" s="1"/>
      <c r="CO59" s="1"/>
      <c r="CP59" s="1"/>
      <c r="CQ59" s="1">
        <f>(240/112*60)*0.289887227846273</f>
        <v>37.271215008806529</v>
      </c>
      <c r="CR59" s="1">
        <f>(240/112*60)*0.282142691612145</f>
        <v>36.275488921561497</v>
      </c>
      <c r="CS59" s="1"/>
      <c r="CT59" s="1"/>
      <c r="CU59" s="1">
        <f>(240/112*60)*0.25350416267411</f>
        <v>32.593392343814145</v>
      </c>
      <c r="CV59" s="1"/>
      <c r="CW59" s="1"/>
      <c r="CY59" s="1"/>
      <c r="CZ59" s="1"/>
      <c r="DD59" s="1">
        <v>41.761671246829117</v>
      </c>
      <c r="DE59">
        <v>42.699549684281607</v>
      </c>
    </row>
    <row r="60" spans="1:109" x14ac:dyDescent="0.25">
      <c r="A60" s="8">
        <f t="shared" si="3"/>
        <v>1893</v>
      </c>
      <c r="C60" s="17">
        <v>41.400000000000006</v>
      </c>
      <c r="D60" s="17">
        <v>39.5</v>
      </c>
      <c r="E60" s="17">
        <v>30.875</v>
      </c>
      <c r="G60" s="17">
        <v>21.584984358706983</v>
      </c>
      <c r="H60" s="17"/>
      <c r="I60" s="1"/>
      <c r="J60" s="3">
        <f>(240*60)*0.00127554520960354</f>
        <v>18.367851018290974</v>
      </c>
      <c r="L60" s="1"/>
      <c r="M60" s="1"/>
      <c r="N60" s="1"/>
      <c r="O60" s="1"/>
      <c r="P60" s="1"/>
      <c r="Q60" s="1"/>
      <c r="R60" s="17">
        <v>60.872727272727275</v>
      </c>
      <c r="S60" s="1"/>
      <c r="T60" s="1"/>
      <c r="U60" s="1"/>
      <c r="V60" s="17"/>
      <c r="W60" s="17"/>
      <c r="X60" s="1"/>
      <c r="Y60" s="1"/>
      <c r="Z60" s="1"/>
      <c r="AA60" s="1"/>
      <c r="AB60" s="17">
        <v>33.398418221047145</v>
      </c>
      <c r="AC60" s="17">
        <v>42.93286219081272</v>
      </c>
      <c r="AD60" s="1"/>
      <c r="AE60" s="1"/>
      <c r="AF60" s="17"/>
      <c r="AG60" s="1"/>
      <c r="AH60" s="1"/>
      <c r="AI60" s="1"/>
      <c r="AJ60" s="1"/>
      <c r="AK60" s="1"/>
      <c r="AL60" s="1"/>
      <c r="AM60" s="1">
        <f>(240/2240*60)*4.99762940364041</f>
        <v>32.1276175948312</v>
      </c>
      <c r="AN60" s="1"/>
      <c r="AO60" s="1"/>
      <c r="AP60" s="1"/>
      <c r="AQ60" s="1"/>
      <c r="AR60" s="1"/>
      <c r="AS60" s="1"/>
      <c r="AT60" s="1"/>
      <c r="AU60" s="1"/>
      <c r="AV60" s="1"/>
      <c r="AW60" s="1"/>
      <c r="AX60" s="1"/>
      <c r="AY60" s="18"/>
      <c r="AZ60" s="1"/>
      <c r="BB60" s="1">
        <f>(240/2240*60)*4.32623224728488</f>
        <v>27.811493018259938</v>
      </c>
      <c r="BC60" s="1"/>
      <c r="BD60" s="1"/>
      <c r="BE60" s="1"/>
      <c r="BF60" s="3"/>
      <c r="BG60" s="3"/>
      <c r="BH60" s="3"/>
      <c r="BI60" s="3"/>
      <c r="BJ60" s="1"/>
      <c r="BK60" s="1"/>
      <c r="BL60" s="1"/>
      <c r="BM60" s="1"/>
      <c r="BN60" s="1"/>
      <c r="BO60" s="1"/>
      <c r="BP60" s="1"/>
      <c r="BQ60" s="1"/>
      <c r="BR60" s="1"/>
      <c r="BS60" s="1"/>
      <c r="BT60" s="1"/>
      <c r="BU60" s="1"/>
      <c r="BV60" s="3">
        <f>(240*60)*0.00120604237718294</f>
        <v>17.367010231434339</v>
      </c>
      <c r="BW60" s="1">
        <f>(240*60)*0.00174046226677806</f>
        <v>25.062656641604065</v>
      </c>
      <c r="BX60" s="3"/>
      <c r="BY60" s="3"/>
      <c r="BZ60" s="3"/>
      <c r="CA60" s="3"/>
      <c r="CB60" s="1"/>
      <c r="CC60" s="1"/>
      <c r="CD60" s="1"/>
      <c r="CE60" s="1"/>
      <c r="CG60" s="1"/>
      <c r="CH60" s="1"/>
      <c r="CI60" s="1"/>
      <c r="CJ60" s="1"/>
      <c r="CK60" s="1"/>
      <c r="CL60" s="1"/>
      <c r="CN60" s="1"/>
      <c r="CO60" s="1"/>
      <c r="CP60" s="1"/>
      <c r="CQ60" s="1">
        <f>(240/112*60)*0.235597223445533</f>
        <v>30.291071585854237</v>
      </c>
      <c r="CR60" s="1">
        <f>(240/112*60)*0.208485542961427</f>
        <v>26.805284095040609</v>
      </c>
      <c r="CS60" s="1"/>
      <c r="CT60" s="1"/>
      <c r="CU60" s="1">
        <f>(240/112*60)*0.224469820554649</f>
        <v>28.860405499883441</v>
      </c>
      <c r="CV60" s="1"/>
      <c r="CW60" s="1"/>
      <c r="CY60" s="1"/>
      <c r="CZ60" s="1"/>
      <c r="DD60" s="1">
        <v>36.720161859974439</v>
      </c>
      <c r="DE60">
        <v>35.367498800305739</v>
      </c>
    </row>
    <row r="61" spans="1:109" x14ac:dyDescent="0.25">
      <c r="A61" s="8">
        <f t="shared" si="3"/>
        <v>1894</v>
      </c>
      <c r="C61" s="17">
        <v>34.392857142857139</v>
      </c>
      <c r="D61" s="17">
        <v>34.25</v>
      </c>
      <c r="E61" s="17">
        <v>26.25</v>
      </c>
      <c r="G61" s="17">
        <v>12.698412698412696</v>
      </c>
      <c r="H61" s="17">
        <f>(240*60)*0.00137723214285714</f>
        <v>19.832142857142813</v>
      </c>
      <c r="I61" s="1"/>
      <c r="J61" s="3">
        <f>(240*60)*0.00131578999594088</f>
        <v>18.947375941548671</v>
      </c>
      <c r="L61" s="1"/>
      <c r="M61" s="1"/>
      <c r="N61" s="1"/>
      <c r="O61" s="1"/>
      <c r="P61" s="1"/>
      <c r="Q61" s="1"/>
      <c r="R61" s="17"/>
      <c r="S61" s="1"/>
      <c r="T61" s="1"/>
      <c r="U61" s="1"/>
      <c r="V61" s="17"/>
      <c r="W61" s="17"/>
      <c r="X61" s="1"/>
      <c r="Y61" s="1"/>
      <c r="Z61" s="1"/>
      <c r="AA61" s="1"/>
      <c r="AB61" s="17">
        <v>25.708735164284665</v>
      </c>
      <c r="AC61" s="17">
        <v>27.282402826855126</v>
      </c>
      <c r="AD61" s="1"/>
      <c r="AE61" s="1"/>
      <c r="AF61" s="17"/>
      <c r="AG61" s="1"/>
      <c r="AH61" s="1"/>
      <c r="AI61" s="1"/>
      <c r="AJ61" s="1"/>
      <c r="AK61" s="1"/>
      <c r="AL61" s="1"/>
      <c r="AM61" s="1">
        <f>(240/2240*60)*5.10178968336371</f>
        <v>32.797219393052416</v>
      </c>
      <c r="AN61" s="1"/>
      <c r="AO61" s="1"/>
      <c r="AP61" s="1"/>
      <c r="AQ61" s="1"/>
      <c r="AR61" s="1"/>
      <c r="AS61" s="1"/>
      <c r="AT61" s="1"/>
      <c r="AU61" s="1"/>
      <c r="AV61" s="3"/>
      <c r="AW61" s="1"/>
      <c r="AX61" s="1"/>
      <c r="AY61" s="18">
        <v>58.831988913438529</v>
      </c>
      <c r="AZ61" s="1"/>
      <c r="BB61" s="1">
        <f>(240/2240*60)*4.91356184798807</f>
        <v>31.58718330849473</v>
      </c>
      <c r="BC61" s="1"/>
      <c r="BD61" s="1"/>
      <c r="BE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G61" s="1"/>
      <c r="CH61" s="1"/>
      <c r="CI61" s="1"/>
      <c r="CJ61" s="1"/>
      <c r="CK61" s="1"/>
      <c r="CL61" s="1"/>
      <c r="CN61" s="1"/>
      <c r="CO61" s="1"/>
      <c r="CP61" s="1"/>
      <c r="CQ61" s="1">
        <f>(240/112*60)*0.196060133686741</f>
        <v>25.207731474009552</v>
      </c>
      <c r="CR61" s="1">
        <f>(240/112*60)*0.155603280703763</f>
        <v>20.00613609048381</v>
      </c>
      <c r="CS61" s="1"/>
      <c r="CT61" s="1"/>
      <c r="CU61" s="1">
        <f>(240/112*60)*0.0991467417987415</f>
        <v>12.747438231266763</v>
      </c>
      <c r="CV61" s="1"/>
      <c r="CW61" s="1"/>
      <c r="CY61" s="1"/>
      <c r="CZ61" s="1"/>
      <c r="DD61" s="1">
        <v>27.081061322308653</v>
      </c>
      <c r="DE61">
        <v>27.141396317766276</v>
      </c>
    </row>
    <row r="62" spans="1:109" x14ac:dyDescent="0.25">
      <c r="A62" s="8">
        <f t="shared" si="3"/>
        <v>1895</v>
      </c>
      <c r="C62" s="17">
        <v>35.421428571428571</v>
      </c>
      <c r="D62" s="17">
        <v>34.625</v>
      </c>
      <c r="E62" s="17">
        <v>29.5</v>
      </c>
      <c r="G62" s="17">
        <v>13.207394194908382</v>
      </c>
      <c r="H62" s="17">
        <f>(240*60)*0.00127418526785714</f>
        <v>18.348267857142815</v>
      </c>
      <c r="I62" s="1"/>
      <c r="J62" s="3">
        <f>(240*60)*0.00137755045556363</f>
        <v>19.836726560116272</v>
      </c>
      <c r="L62" s="1"/>
      <c r="M62" s="1"/>
      <c r="N62" s="1"/>
      <c r="O62" s="1"/>
      <c r="P62" s="1"/>
      <c r="Q62" s="1"/>
      <c r="R62" s="17"/>
      <c r="S62" s="1"/>
      <c r="T62" s="1">
        <f>(240*60)*0.00180655179500712</f>
        <v>26.014345848102529</v>
      </c>
      <c r="U62" s="1"/>
      <c r="V62" s="17"/>
      <c r="W62" s="17"/>
      <c r="X62" s="1"/>
      <c r="Y62" s="1"/>
      <c r="Z62" s="1"/>
      <c r="AA62" s="1"/>
      <c r="AB62" s="17">
        <v>24.796916768236322</v>
      </c>
      <c r="AC62" s="17">
        <v>28.049469964664311</v>
      </c>
      <c r="AD62" s="1"/>
      <c r="AE62" s="1"/>
      <c r="AF62" s="17"/>
      <c r="AG62" s="1"/>
      <c r="AH62" s="1"/>
      <c r="AI62" s="1"/>
      <c r="AJ62" s="1"/>
      <c r="AK62" s="1"/>
      <c r="AL62" s="1"/>
      <c r="AM62" s="1">
        <f>(240/2240*60)*6.26279527559055</f>
        <v>40.260826771653534</v>
      </c>
      <c r="AN62" s="1"/>
      <c r="AO62" s="1"/>
      <c r="AP62" s="1"/>
      <c r="AQ62" s="1"/>
      <c r="AR62" s="1"/>
      <c r="AS62" s="1"/>
      <c r="AT62" s="1"/>
      <c r="AU62" s="1"/>
      <c r="AV62" s="3"/>
      <c r="AW62" s="1"/>
      <c r="AX62" s="1"/>
      <c r="AY62" s="18"/>
      <c r="AZ62" s="1"/>
      <c r="BB62" s="1">
        <f>(240/2240*60)*4.96571825121443</f>
        <v>31.922474472092759</v>
      </c>
      <c r="BC62" s="1"/>
      <c r="BD62" s="1"/>
      <c r="BE62" s="1"/>
      <c r="BF62" s="3"/>
      <c r="BG62" s="3"/>
      <c r="BH62" s="3"/>
      <c r="BI62" s="3"/>
      <c r="BJ62" s="1"/>
      <c r="BK62" s="1"/>
      <c r="BL62" s="1"/>
      <c r="BM62" s="1"/>
      <c r="BN62" s="1"/>
      <c r="BO62" s="1"/>
      <c r="BP62" s="1"/>
      <c r="BQ62" s="1"/>
      <c r="BR62" s="1"/>
      <c r="BS62" s="1"/>
      <c r="BT62" s="1"/>
      <c r="BU62" s="1"/>
      <c r="BV62" s="1"/>
      <c r="BW62" s="1"/>
      <c r="BX62" s="1"/>
      <c r="BY62" s="1"/>
      <c r="BZ62" s="1"/>
      <c r="CA62" s="1"/>
      <c r="CB62" s="1"/>
      <c r="CC62" s="1"/>
      <c r="CD62" s="1"/>
      <c r="CE62" s="1"/>
      <c r="CG62" s="1"/>
      <c r="CH62" s="1"/>
      <c r="CI62" s="1"/>
      <c r="CJ62" s="1"/>
      <c r="CK62" s="1"/>
      <c r="CL62" s="1"/>
      <c r="CN62" s="1"/>
      <c r="CO62" s="1"/>
      <c r="CP62" s="1"/>
      <c r="CQ62" s="1">
        <f>(240/112*60)*0.201988517858695</f>
        <v>25.969952296117928</v>
      </c>
      <c r="CR62" s="1"/>
      <c r="CS62" s="1"/>
      <c r="CT62" s="1"/>
      <c r="CU62" s="1">
        <f>(240/112*60)*0.121276414517241</f>
        <v>15.592681866502412</v>
      </c>
      <c r="CV62" s="1"/>
      <c r="CW62" s="1"/>
      <c r="CY62" s="1"/>
      <c r="CZ62" s="1"/>
      <c r="DD62" s="1">
        <v>27.374778822519495</v>
      </c>
      <c r="DE62">
        <v>29.967862366378284</v>
      </c>
    </row>
    <row r="63" spans="1:109" x14ac:dyDescent="0.25">
      <c r="A63" s="8">
        <f t="shared" si="3"/>
        <v>1896</v>
      </c>
      <c r="C63" s="17">
        <v>39.792857142857144</v>
      </c>
      <c r="D63" s="17">
        <v>39.25</v>
      </c>
      <c r="E63" s="17">
        <v>30.103499999999997</v>
      </c>
      <c r="G63" s="17">
        <v>16.142227816236627</v>
      </c>
      <c r="H63" s="17">
        <f>(240*60)*0.00226004464285714</f>
        <v>32.544642857142819</v>
      </c>
      <c r="I63" s="1"/>
      <c r="J63" s="3">
        <f>(240*60)*0.00167410530151366</f>
        <v>24.107116341796704</v>
      </c>
      <c r="L63" s="1"/>
      <c r="M63" s="1"/>
      <c r="N63" s="1"/>
      <c r="O63" s="1"/>
      <c r="P63" s="1"/>
      <c r="Q63" s="1"/>
      <c r="R63" s="17"/>
      <c r="S63" s="1"/>
      <c r="T63" s="1">
        <f>(240*60)*0.0044384699761779</f>
        <v>63.913967656961766</v>
      </c>
      <c r="U63" s="1"/>
      <c r="V63" s="17"/>
      <c r="W63" s="17"/>
      <c r="X63" s="1"/>
      <c r="Y63" s="1"/>
      <c r="Z63" s="1"/>
      <c r="AA63" s="1"/>
      <c r="AB63" s="17">
        <v>30.084854890071522</v>
      </c>
      <c r="AC63" s="17">
        <v>31.552791519434631</v>
      </c>
      <c r="AD63" s="1"/>
      <c r="AE63" s="1"/>
      <c r="AF63" s="17">
        <v>30.94600706713781</v>
      </c>
      <c r="AG63" s="1"/>
      <c r="AH63" s="1"/>
      <c r="AI63" s="1"/>
      <c r="AJ63" s="1"/>
      <c r="AK63" s="1"/>
      <c r="AL63" s="1"/>
      <c r="AM63" s="1">
        <f>(240/2240*60)*6.48826219512195</f>
        <v>41.710256968641104</v>
      </c>
      <c r="AN63" s="1"/>
      <c r="AP63" s="1"/>
      <c r="AQ63" s="1"/>
      <c r="AR63" s="1"/>
      <c r="AS63" s="1"/>
      <c r="AT63" s="1"/>
      <c r="AU63" s="1"/>
      <c r="AV63" s="3"/>
      <c r="AW63" s="1"/>
      <c r="AX63" s="1"/>
      <c r="AY63" s="18"/>
      <c r="AZ63" s="1"/>
      <c r="BB63" s="1">
        <f>(240/2240*60)*5.5477942922266</f>
        <v>35.664391878599567</v>
      </c>
      <c r="BC63" s="1"/>
      <c r="BD63" s="1"/>
      <c r="BF63" s="3"/>
      <c r="BG63" s="3"/>
      <c r="BH63" s="3"/>
      <c r="BI63" s="3"/>
      <c r="BJ63" s="1"/>
      <c r="BK63" s="1"/>
      <c r="BL63" s="1"/>
      <c r="BM63" s="1"/>
      <c r="BN63" s="1"/>
      <c r="BO63" s="1"/>
      <c r="BP63" s="1"/>
      <c r="BQ63" s="1"/>
      <c r="BR63" s="1"/>
      <c r="BS63" s="1"/>
      <c r="BT63" s="1"/>
      <c r="BU63" s="1"/>
      <c r="BV63" s="1"/>
      <c r="BW63" s="1"/>
      <c r="BX63" s="1"/>
      <c r="BY63" s="1"/>
      <c r="BZ63" s="1"/>
      <c r="CA63" s="1"/>
      <c r="CB63" s="1"/>
      <c r="CC63" s="1"/>
      <c r="CD63" s="1"/>
      <c r="CE63" s="1"/>
      <c r="CG63" s="1"/>
      <c r="CH63" s="1"/>
      <c r="CI63" s="1"/>
      <c r="CJ63" s="1"/>
      <c r="CK63" s="1"/>
      <c r="CL63" s="1"/>
      <c r="CN63" s="1">
        <v>34.745559845559846</v>
      </c>
      <c r="CO63" s="1">
        <v>37.811688311688307</v>
      </c>
      <c r="CP63" s="1"/>
      <c r="CQ63" s="1">
        <f>(240/112*60)*0.208763814055213</f>
        <v>26.841061807098811</v>
      </c>
      <c r="CR63" s="1"/>
      <c r="CS63" s="1"/>
      <c r="CT63" s="1"/>
      <c r="CU63" s="1">
        <f>(240/112*60)*0.318008534332948</f>
        <v>40.88681155709331</v>
      </c>
      <c r="CV63" s="1"/>
      <c r="CW63" s="1">
        <f>(240/112*60)*0.304684684684685</f>
        <v>39.17374517374521</v>
      </c>
      <c r="CX63" s="1">
        <f>(240/112*60)*0.294148148148148</f>
        <v>37.819047619047595</v>
      </c>
      <c r="CY63" s="1"/>
      <c r="CZ63" s="1"/>
      <c r="DD63" s="1">
        <v>37.922893574179298</v>
      </c>
      <c r="DE63">
        <v>39.881374187748214</v>
      </c>
    </row>
    <row r="64" spans="1:109" x14ac:dyDescent="0.25">
      <c r="A64" s="8">
        <f t="shared" si="3"/>
        <v>1897</v>
      </c>
      <c r="C64" s="17">
        <v>47.892857142857139</v>
      </c>
      <c r="D64" s="17">
        <v>45.25</v>
      </c>
      <c r="E64" s="17">
        <v>36.025500000000001</v>
      </c>
      <c r="G64" s="17">
        <v>4.5112781954887211</v>
      </c>
      <c r="H64" s="17"/>
      <c r="I64" s="1"/>
      <c r="J64" s="3">
        <f>(240*60)*0.000490606520487728</f>
        <v>7.0647338950232834</v>
      </c>
      <c r="L64" s="1"/>
      <c r="M64" s="1"/>
      <c r="N64" s="1"/>
      <c r="O64" s="1"/>
      <c r="P64" s="1"/>
      <c r="Q64" s="1"/>
      <c r="R64" s="17"/>
      <c r="T64" s="1"/>
      <c r="U64" s="1"/>
      <c r="V64" s="17"/>
      <c r="W64" s="17"/>
      <c r="X64" s="1"/>
      <c r="Y64" s="1"/>
      <c r="Z64" s="1"/>
      <c r="AA64" s="1"/>
      <c r="AB64" s="17">
        <v>36.074435601630746</v>
      </c>
      <c r="AC64" s="17">
        <v>33.201413427561839</v>
      </c>
      <c r="AD64" s="1"/>
      <c r="AE64" s="1"/>
      <c r="AF64" s="17">
        <v>38.937243816254416</v>
      </c>
      <c r="AG64" s="1"/>
      <c r="AH64" s="1"/>
      <c r="AI64" s="1"/>
      <c r="AJ64" s="1"/>
      <c r="AK64" s="1"/>
      <c r="AL64" s="1"/>
      <c r="AM64" s="1"/>
      <c r="AN64" s="1"/>
      <c r="AO64" s="1"/>
      <c r="AP64" s="1"/>
      <c r="AQ64" s="1"/>
      <c r="AR64" s="1"/>
      <c r="AS64" s="1"/>
      <c r="AT64" s="1"/>
      <c r="AU64" s="1"/>
      <c r="AV64" s="3"/>
      <c r="AW64" s="1"/>
      <c r="AX64" s="1"/>
      <c r="AY64" s="18"/>
      <c r="AZ64" s="1"/>
      <c r="BB64" s="1">
        <f>(240/2240*60)*4.82177199161093</f>
        <v>30.997105660355977</v>
      </c>
      <c r="BC64" s="1"/>
      <c r="BD64" s="1"/>
      <c r="BG64" s="1"/>
      <c r="BH64" s="1"/>
      <c r="BI64" s="1"/>
      <c r="BJ64" s="1"/>
      <c r="BK64" s="1"/>
      <c r="BL64" s="1"/>
      <c r="BM64" s="1"/>
      <c r="BO64" s="1"/>
      <c r="BP64" s="1"/>
      <c r="BQ64" s="1"/>
      <c r="BR64" s="1"/>
      <c r="BS64" s="1"/>
      <c r="BT64" s="1"/>
      <c r="BU64" s="1"/>
      <c r="BV64" s="1"/>
      <c r="BW64" s="1"/>
      <c r="BX64" s="3"/>
      <c r="BY64" s="3"/>
      <c r="BZ64" s="3"/>
      <c r="CA64" s="3"/>
      <c r="CB64" s="1"/>
      <c r="CC64" s="1"/>
      <c r="CD64" s="1"/>
      <c r="CE64" s="1"/>
      <c r="CG64" s="1"/>
      <c r="CH64" s="1"/>
      <c r="CI64" s="1"/>
      <c r="CJ64" s="1"/>
      <c r="CK64" s="1"/>
      <c r="CL64" s="1"/>
      <c r="CN64" s="1">
        <v>44.597642755537493</v>
      </c>
      <c r="CO64" s="1">
        <v>52.246153846153845</v>
      </c>
      <c r="CP64" s="1"/>
      <c r="CQ64" s="1">
        <f>(240/112*60)*0.325029290440161</f>
        <v>41.789480199449265</v>
      </c>
      <c r="CR64" s="1"/>
      <c r="CS64" s="1"/>
      <c r="CT64" s="1">
        <f>(240/112*60)*0.337838902900378</f>
        <v>43.43643037290574</v>
      </c>
      <c r="CU64" s="1">
        <f>(240/112*60)*0.336559399951609</f>
        <v>43.27192285092115</v>
      </c>
      <c r="CV64" s="1"/>
      <c r="CW64" s="1">
        <f>(240/112*60)*0.437512195121951</f>
        <v>56.251567944250837</v>
      </c>
      <c r="CX64" s="1">
        <f>(240/112*60)*0.43752380952381</f>
        <v>56.253061224489848</v>
      </c>
      <c r="CY64" s="1"/>
      <c r="CZ64" s="1"/>
      <c r="DD64" s="1">
        <v>48.336886130841343</v>
      </c>
      <c r="DE64">
        <v>46.187876219657369</v>
      </c>
    </row>
    <row r="65" spans="1:109" x14ac:dyDescent="0.25">
      <c r="A65" s="8">
        <f t="shared" si="3"/>
        <v>1898</v>
      </c>
      <c r="C65" s="17">
        <v>51.557142857142864</v>
      </c>
      <c r="D65" s="17">
        <v>51</v>
      </c>
      <c r="E65" s="17">
        <v>45.895499999999998</v>
      </c>
      <c r="G65" s="17">
        <v>21.428571428571427</v>
      </c>
      <c r="H65" s="17"/>
      <c r="I65" s="1">
        <f>(240*60)*0.00127575535307338</f>
        <v>18.370877084256673</v>
      </c>
      <c r="J65" s="1">
        <f>(240*60)*0.00223214285714286</f>
        <v>32.142857142857181</v>
      </c>
      <c r="L65" s="1"/>
      <c r="M65" s="1"/>
      <c r="N65" s="1"/>
      <c r="O65" s="1"/>
      <c r="P65" s="1"/>
      <c r="Q65" s="1"/>
      <c r="R65" s="17"/>
      <c r="T65" s="1">
        <f>(240*60)*0.00353089533417402</f>
        <v>50.84489281210589</v>
      </c>
      <c r="U65" s="1"/>
      <c r="V65" s="17">
        <v>51.054545454545455</v>
      </c>
      <c r="W65" s="17"/>
      <c r="X65" s="1"/>
      <c r="Y65" s="1"/>
      <c r="Z65" s="1"/>
      <c r="AA65" s="1"/>
      <c r="AB65" s="17">
        <v>37.25513941916801</v>
      </c>
      <c r="AC65" s="17">
        <v>46.367491166077741</v>
      </c>
      <c r="AD65" s="1"/>
      <c r="AE65" s="1"/>
      <c r="AF65" s="17">
        <v>49.092296819787997</v>
      </c>
      <c r="AG65" s="1"/>
      <c r="AH65" s="1"/>
      <c r="AI65" s="1"/>
      <c r="AJ65" s="1"/>
      <c r="AK65" s="1"/>
      <c r="AL65" s="1"/>
      <c r="AM65" s="1"/>
      <c r="AN65" s="1"/>
      <c r="AO65" s="1"/>
      <c r="AP65" s="1"/>
      <c r="AQ65" s="1"/>
      <c r="AR65" s="1"/>
      <c r="AS65" s="1"/>
      <c r="AT65" s="1"/>
      <c r="AU65" s="1"/>
      <c r="AV65" s="3"/>
      <c r="AW65" s="1"/>
      <c r="AX65" s="1"/>
      <c r="AY65" s="18"/>
      <c r="AZ65" s="1"/>
      <c r="BB65" s="1">
        <f>(240/2240*60)*4.88802171700033</f>
        <v>31.422996752144979</v>
      </c>
      <c r="BC65" s="1"/>
      <c r="BD65" s="1"/>
      <c r="BE65" s="1"/>
      <c r="BF65" s="3"/>
      <c r="BG65" s="3"/>
      <c r="BH65" s="3"/>
      <c r="BI65" s="3"/>
      <c r="BJ65" s="1"/>
      <c r="BK65" s="1"/>
      <c r="BL65" s="1"/>
      <c r="BM65" s="1"/>
      <c r="BO65" s="1"/>
      <c r="BP65" s="1"/>
      <c r="BR65" s="1"/>
      <c r="BS65" s="1"/>
      <c r="BT65" s="1"/>
      <c r="BU65" s="1"/>
      <c r="BV65" s="1"/>
      <c r="BW65" s="1"/>
      <c r="BX65" s="1"/>
      <c r="BY65" s="1"/>
      <c r="BZ65" s="1"/>
      <c r="CA65" s="1"/>
      <c r="CB65" s="1"/>
      <c r="CC65" s="1"/>
      <c r="CD65" s="1"/>
      <c r="CE65" s="1"/>
      <c r="CG65" s="1"/>
      <c r="CH65" s="1"/>
      <c r="CI65" s="1"/>
      <c r="CJ65" s="1"/>
      <c r="CK65" s="1"/>
      <c r="CL65" s="1"/>
      <c r="CN65" s="1">
        <v>41.653442959917783</v>
      </c>
      <c r="CO65" s="1">
        <v>44.193277310924373</v>
      </c>
      <c r="CP65" s="1"/>
      <c r="CQ65" s="1">
        <f>(240/112*60)*0.299112859342461</f>
        <v>38.457367629744979</v>
      </c>
      <c r="CR65" s="1"/>
      <c r="CS65" s="1"/>
      <c r="CT65" s="1"/>
      <c r="CU65" s="1">
        <f>(240/112*60)*0.256652360515021</f>
        <v>32.998160637645555</v>
      </c>
      <c r="CV65" s="1"/>
      <c r="CW65" s="1">
        <f>(240/112*60)*0.313651162790698</f>
        <v>40.326578073089735</v>
      </c>
      <c r="CX65" s="1">
        <f>(240/112*60)*0.312471482889734</f>
        <v>40.174904942965789</v>
      </c>
      <c r="CY65" s="1"/>
      <c r="CZ65" s="1"/>
      <c r="DD65" s="1">
        <v>41.45923520289665</v>
      </c>
      <c r="DE65">
        <v>40.779561540568011</v>
      </c>
    </row>
    <row r="66" spans="1:109" x14ac:dyDescent="0.25">
      <c r="A66" s="8">
        <f t="shared" si="3"/>
        <v>1899</v>
      </c>
      <c r="C66" s="17">
        <v>43.007142857142853</v>
      </c>
      <c r="D66" s="17">
        <v>38.5</v>
      </c>
      <c r="E66" s="17">
        <v>38.986499999999999</v>
      </c>
      <c r="F66" s="1">
        <f>(240*60)*0.00686813186813187</f>
        <v>98.901098901098919</v>
      </c>
      <c r="G66" s="17">
        <v>21.428571428571427</v>
      </c>
      <c r="H66" s="17"/>
      <c r="I66" s="1">
        <f>(240*60)*0.00253416344511373</f>
        <v>36.491953609637712</v>
      </c>
      <c r="J66" s="1">
        <f>(240*60)*0.00223217578008947</f>
        <v>32.143331233288365</v>
      </c>
      <c r="L66" s="1"/>
      <c r="M66" s="1"/>
      <c r="N66" s="1"/>
      <c r="O66" s="1"/>
      <c r="P66" s="1"/>
      <c r="Q66" s="1"/>
      <c r="R66" s="17"/>
      <c r="T66" s="1"/>
      <c r="U66" s="1"/>
      <c r="V66" s="17"/>
      <c r="W66" s="17"/>
      <c r="X66" s="1"/>
      <c r="Y66" s="1"/>
      <c r="Z66" s="1">
        <v>44.634146341463413</v>
      </c>
      <c r="AA66" s="1"/>
      <c r="AB66" s="17">
        <v>34.164308071157301</v>
      </c>
      <c r="AC66" s="17">
        <v>45.085229681978802</v>
      </c>
      <c r="AD66" s="1"/>
      <c r="AE66" s="1"/>
      <c r="AF66" s="17">
        <v>45.085229681978802</v>
      </c>
      <c r="AG66" s="1"/>
      <c r="AH66" s="1"/>
      <c r="AI66" s="1"/>
      <c r="AJ66" s="1"/>
      <c r="AK66" s="1"/>
      <c r="AL66" s="1"/>
      <c r="AM66" s="1"/>
      <c r="AN66" s="1"/>
      <c r="AO66" s="1"/>
      <c r="AP66" s="1"/>
      <c r="AQ66" s="1"/>
      <c r="AR66" s="1"/>
      <c r="AS66" s="1"/>
      <c r="AT66" s="1"/>
      <c r="AU66" s="1"/>
      <c r="AV66" s="3"/>
      <c r="AW66" s="1"/>
      <c r="AX66" s="1"/>
      <c r="AY66" s="18"/>
      <c r="AZ66" s="1"/>
      <c r="BB66" s="1">
        <f>(240/2240*60)*4.49705714828175</f>
        <v>28.909653096096964</v>
      </c>
      <c r="BC66" s="1"/>
      <c r="BD66" s="1"/>
      <c r="BF66" s="1"/>
      <c r="BG66" s="1"/>
      <c r="BH66" s="1"/>
      <c r="BI66" s="1"/>
      <c r="BJ66" s="1"/>
      <c r="BK66" s="1"/>
      <c r="BL66" s="1"/>
      <c r="BM66" s="1"/>
      <c r="BO66" s="1"/>
      <c r="BP66" s="1"/>
      <c r="BR66" s="1"/>
      <c r="BS66" s="1"/>
      <c r="BT66" s="1"/>
      <c r="BU66" s="1"/>
      <c r="BV66" s="1"/>
      <c r="BW66" s="1"/>
      <c r="BX66" s="1"/>
      <c r="BY66" s="1"/>
      <c r="BZ66" s="1"/>
      <c r="CA66" s="1"/>
      <c r="CB66" s="1"/>
      <c r="CC66" s="1"/>
      <c r="CD66" s="1"/>
      <c r="CE66" s="1"/>
      <c r="CG66" s="1"/>
      <c r="CH66" s="1"/>
      <c r="CI66" s="1"/>
      <c r="CJ66" s="1"/>
      <c r="CK66" s="1"/>
      <c r="CL66" s="1"/>
      <c r="CN66" s="1"/>
      <c r="CO66" s="1"/>
      <c r="CP66" s="1"/>
      <c r="CQ66" s="1">
        <f>(240/112*60)*0.405165124246525</f>
        <v>52.092658831696063</v>
      </c>
      <c r="CR66" s="1"/>
      <c r="CS66" s="1"/>
      <c r="CT66" s="1"/>
      <c r="CU66" s="1">
        <f>(240/112*60)*0.251643192488263</f>
        <v>32.354124748490953</v>
      </c>
      <c r="CV66" s="1"/>
      <c r="CW66" s="1">
        <f>(240/112*60)*0.333333333333333</f>
        <v>42.857142857142804</v>
      </c>
      <c r="CX66" s="1">
        <f>(240/112*60)*0.333333333333333</f>
        <v>42.857142857142804</v>
      </c>
      <c r="CY66" s="1"/>
      <c r="CZ66" s="1"/>
      <c r="DD66" s="1">
        <v>38.814505656181865</v>
      </c>
      <c r="DE66">
        <v>36.786798513658482</v>
      </c>
    </row>
    <row r="67" spans="1:109" x14ac:dyDescent="0.25">
      <c r="A67" s="8">
        <f t="shared" si="3"/>
        <v>1900</v>
      </c>
      <c r="C67" s="17">
        <v>43.714285714285715</v>
      </c>
      <c r="D67" s="17">
        <v>40.375</v>
      </c>
      <c r="E67" s="17">
        <v>37.999499999999998</v>
      </c>
      <c r="F67" s="1">
        <f>(240*60)*0.00686813186813187</f>
        <v>98.901098901098919</v>
      </c>
      <c r="G67" s="17">
        <v>13.554216867469879</v>
      </c>
      <c r="H67" s="17"/>
      <c r="I67" s="1">
        <f>(240*60)*0.00255102040816327</f>
        <v>36.734693877551088</v>
      </c>
      <c r="J67" s="1">
        <f>(240*60)*0.00223214285714286</f>
        <v>32.142857142857181</v>
      </c>
      <c r="L67" s="1"/>
      <c r="M67" s="1"/>
      <c r="N67" s="1"/>
      <c r="O67" s="1"/>
      <c r="P67" s="1"/>
      <c r="Q67" s="1"/>
      <c r="R67" s="17"/>
      <c r="T67" s="1"/>
      <c r="U67" s="1"/>
      <c r="V67" s="17">
        <v>132.54545454545453</v>
      </c>
      <c r="W67" s="17"/>
      <c r="X67" s="1"/>
      <c r="Y67" s="1"/>
      <c r="Z67" s="1">
        <v>32.926829268292686</v>
      </c>
      <c r="AA67" s="1"/>
      <c r="AB67" s="17">
        <v>38.084223599999994</v>
      </c>
      <c r="AC67" s="17">
        <v>39.784452296819794</v>
      </c>
      <c r="AD67" s="1"/>
      <c r="AE67" s="1"/>
      <c r="AF67" s="17">
        <v>39.784452296819794</v>
      </c>
      <c r="AG67" s="1"/>
      <c r="AH67" s="1"/>
      <c r="AI67" s="1"/>
      <c r="AJ67" s="1"/>
      <c r="AK67" s="1"/>
      <c r="AL67" s="1"/>
      <c r="AM67" s="1">
        <f>(240/2240*60)*5.87431102362205</f>
        <v>37.763428008998886</v>
      </c>
      <c r="AN67" s="1"/>
      <c r="AO67" s="1"/>
      <c r="AP67" s="1"/>
      <c r="AQ67" s="1"/>
      <c r="AR67" s="1"/>
      <c r="AS67" s="1"/>
      <c r="AT67" s="1"/>
      <c r="AU67" s="1"/>
      <c r="AV67" s="3"/>
      <c r="AW67" s="1"/>
      <c r="AX67" s="1"/>
      <c r="AY67" s="18"/>
      <c r="AZ67" s="1"/>
      <c r="BB67" s="1">
        <f>(240/2240*60)*4.8185752930568</f>
        <v>30.976555455365141</v>
      </c>
      <c r="BC67" s="1"/>
      <c r="BD67" s="1"/>
      <c r="BF67" s="1"/>
      <c r="BG67" s="1"/>
      <c r="BH67" s="1"/>
      <c r="BI67" s="1"/>
      <c r="BJ67" s="1"/>
      <c r="BK67" s="1"/>
      <c r="BL67" s="1"/>
      <c r="BM67" s="1"/>
      <c r="BN67" s="1"/>
      <c r="BO67" s="1"/>
      <c r="BP67" s="1"/>
      <c r="BR67" s="1"/>
      <c r="BS67" s="1"/>
      <c r="BT67" s="1"/>
      <c r="BU67" s="1"/>
      <c r="BV67" s="1"/>
      <c r="BW67" s="1"/>
      <c r="BX67" s="1"/>
      <c r="BY67" s="1"/>
      <c r="BZ67" s="1"/>
      <c r="CA67" s="1"/>
      <c r="CB67" s="1"/>
      <c r="CC67" s="1"/>
      <c r="CD67" s="1"/>
      <c r="CE67" s="1"/>
      <c r="CG67" s="1"/>
      <c r="CH67" s="1"/>
      <c r="CI67" s="1"/>
      <c r="CJ67" s="1"/>
      <c r="CK67" s="1"/>
      <c r="CL67" s="1"/>
      <c r="CN67" s="1"/>
      <c r="CO67" s="1"/>
      <c r="CP67" s="1"/>
      <c r="CQ67" s="1">
        <f>(240/112*60)*0.213438450328086</f>
        <v>27.44208647075391</v>
      </c>
      <c r="CR67" s="1"/>
      <c r="CS67" s="1"/>
      <c r="CT67" s="1"/>
      <c r="CU67" s="1">
        <f>(240/112*60)*0.458501208702659</f>
        <v>58.950155404627573</v>
      </c>
      <c r="CV67" s="1"/>
      <c r="CX67" s="1"/>
      <c r="CY67" s="1"/>
      <c r="CZ67" s="1"/>
      <c r="DD67" s="1">
        <v>39.343848718872792</v>
      </c>
      <c r="DE67">
        <v>41.971060128401739</v>
      </c>
    </row>
    <row r="68" spans="1:109" x14ac:dyDescent="0.25">
      <c r="A68" s="8">
        <f t="shared" si="3"/>
        <v>1901</v>
      </c>
      <c r="C68" s="17">
        <v>42.557142857142864</v>
      </c>
      <c r="D68" s="17">
        <v>40.125</v>
      </c>
      <c r="E68" s="17">
        <v>37.012499999999996</v>
      </c>
      <c r="F68" s="1">
        <f>(240*60)*0.00549450549450549</f>
        <v>79.120879120879053</v>
      </c>
      <c r="G68" s="17">
        <v>26.428571428571423</v>
      </c>
      <c r="H68" s="17">
        <f>(240*60)*0.00260416666666667</f>
        <v>37.50000000000005</v>
      </c>
      <c r="I68" s="1">
        <f>(240*60)*0.00255074115031891</f>
        <v>36.730672564592304</v>
      </c>
      <c r="J68" s="1">
        <f>(240*60)*0.00234379161167761</f>
        <v>33.750599208157588</v>
      </c>
      <c r="L68" s="1"/>
      <c r="M68" s="1"/>
      <c r="N68" s="1"/>
      <c r="O68" s="1"/>
      <c r="P68" s="1"/>
      <c r="Q68" s="1"/>
      <c r="R68" s="17"/>
      <c r="T68" s="1"/>
      <c r="U68" s="1"/>
      <c r="V68" s="17">
        <v>59.890909090909098</v>
      </c>
      <c r="W68" s="17"/>
      <c r="X68" s="1"/>
      <c r="Y68" s="1"/>
      <c r="Z68" s="1">
        <v>34.390243902439032</v>
      </c>
      <c r="AA68" s="1"/>
      <c r="AB68" s="17">
        <v>38.981104729411761</v>
      </c>
      <c r="AC68" s="17">
        <v>37.013851590106007</v>
      </c>
      <c r="AD68" s="1"/>
      <c r="AE68" s="1"/>
      <c r="AF68" s="17">
        <v>37.013851590106007</v>
      </c>
      <c r="AG68" s="1"/>
      <c r="AH68" s="1"/>
      <c r="AI68" s="1"/>
      <c r="AJ68" s="1"/>
      <c r="AK68" s="1"/>
      <c r="AL68" s="1"/>
      <c r="AM68" s="1">
        <f>(240/2240*60)*6.05090803849215</f>
        <v>38.898694533163813</v>
      </c>
      <c r="AN68" s="1"/>
      <c r="AO68" s="1"/>
      <c r="AP68" s="1"/>
      <c r="AQ68" s="1"/>
      <c r="AR68" s="1"/>
      <c r="AS68" s="1"/>
      <c r="AT68" s="1"/>
      <c r="AU68" s="1"/>
      <c r="AV68" s="3"/>
      <c r="AW68" s="1"/>
      <c r="AX68" s="1"/>
      <c r="AY68" s="18">
        <v>22.678826166700631</v>
      </c>
      <c r="AZ68" s="1"/>
      <c r="BB68" s="1">
        <f>(240/2240*60)*4.95095693779904</f>
        <v>31.827580314422395</v>
      </c>
      <c r="BC68" s="1"/>
      <c r="BD68" s="1"/>
      <c r="BE68" s="1"/>
      <c r="BF68" s="1"/>
      <c r="BG68" s="1"/>
      <c r="BH68" s="1"/>
      <c r="BI68" s="1"/>
      <c r="BJ68" s="1"/>
      <c r="BK68" s="1"/>
      <c r="BL68" s="1"/>
      <c r="BM68" s="1"/>
      <c r="BN68" s="1"/>
      <c r="BO68" s="1"/>
      <c r="BP68" s="1"/>
      <c r="BR68" s="1"/>
      <c r="BS68" s="1"/>
      <c r="BT68" s="1"/>
      <c r="BU68" s="1"/>
      <c r="BV68" s="1"/>
      <c r="BW68" s="1"/>
      <c r="BX68" s="1"/>
      <c r="BY68" s="1"/>
      <c r="BZ68" s="1"/>
      <c r="CA68" s="1"/>
      <c r="CB68" s="1"/>
      <c r="CC68" s="1"/>
      <c r="CD68" s="1"/>
      <c r="CE68" s="1"/>
      <c r="CG68" s="1"/>
      <c r="CH68" s="1"/>
      <c r="CI68" s="1"/>
      <c r="CJ68" s="1"/>
      <c r="CK68" s="1"/>
      <c r="CL68" s="1"/>
      <c r="CN68" s="1">
        <v>47.141560406310781</v>
      </c>
      <c r="CO68" s="1"/>
      <c r="CP68" s="1"/>
      <c r="CQ68" s="1">
        <f>(240/112*60)*0.236681182944481</f>
        <v>30.430437807147555</v>
      </c>
      <c r="CR68" s="1"/>
      <c r="CS68" s="1"/>
      <c r="CT68" s="1">
        <f>(240/112*60)*0.405491567256273</f>
        <v>52.13463007580652</v>
      </c>
      <c r="CU68" s="1"/>
      <c r="CV68" s="1"/>
      <c r="CX68" s="1"/>
      <c r="CY68" s="1"/>
      <c r="CZ68" s="1"/>
      <c r="DD68" s="1">
        <v>42.675491515452919</v>
      </c>
      <c r="DE68">
        <v>41.599692358238535</v>
      </c>
    </row>
    <row r="69" spans="1:109" x14ac:dyDescent="0.25">
      <c r="A69" s="8">
        <f t="shared" si="3"/>
        <v>1902</v>
      </c>
      <c r="C69" s="17">
        <v>43.007142857142853</v>
      </c>
      <c r="D69" s="17">
        <v>42.125</v>
      </c>
      <c r="E69" s="17">
        <v>36.518999999999998</v>
      </c>
      <c r="F69" s="1">
        <f>(240*60)*0.00471132431043344</f>
        <v>67.843070070241524</v>
      </c>
      <c r="G69" s="17">
        <v>21.428571428571427</v>
      </c>
      <c r="H69" s="17">
        <f>(240*60)*0.00269001831501832</f>
        <v>38.736263736263808</v>
      </c>
      <c r="I69" s="1">
        <f>(240*60)*0.00255102040816327</f>
        <v>36.734693877551088</v>
      </c>
      <c r="J69" s="1">
        <f>(240*60)*0.00234361939101478</f>
        <v>33.748119230612829</v>
      </c>
      <c r="L69" s="1"/>
      <c r="M69" s="1"/>
      <c r="N69" s="1"/>
      <c r="O69" s="1"/>
      <c r="P69" s="1"/>
      <c r="Q69" s="1"/>
      <c r="R69" s="17"/>
      <c r="S69" s="1">
        <f>(240*60)*0.00521454619815276</f>
        <v>75.089465253399752</v>
      </c>
      <c r="T69" s="1"/>
      <c r="V69" s="17"/>
      <c r="W69" s="17">
        <v>35.835428571428572</v>
      </c>
      <c r="X69" s="1"/>
      <c r="Y69" s="1"/>
      <c r="Z69" s="1"/>
      <c r="AA69" s="1"/>
      <c r="AB69" s="17">
        <v>38.263024498353225</v>
      </c>
      <c r="AC69" s="17">
        <v>36.498657243816254</v>
      </c>
      <c r="AD69" s="1"/>
      <c r="AE69" s="1"/>
      <c r="AF69" s="17">
        <v>36.498657243816254</v>
      </c>
      <c r="AG69" s="1"/>
      <c r="AH69" s="1"/>
      <c r="AI69" s="1"/>
      <c r="AJ69" s="1"/>
      <c r="AK69" s="1"/>
      <c r="AL69" s="1"/>
      <c r="AM69" s="1"/>
      <c r="AN69" s="1"/>
      <c r="AO69" s="1"/>
      <c r="AP69" s="1"/>
      <c r="AQ69" s="1"/>
      <c r="AR69" s="1"/>
      <c r="AS69" s="1"/>
      <c r="AT69" s="1"/>
      <c r="AU69" s="1"/>
      <c r="AV69" s="3"/>
      <c r="AW69" s="1"/>
      <c r="AX69" s="1"/>
      <c r="AY69" s="18"/>
      <c r="AZ69" s="1"/>
      <c r="BB69" s="1">
        <f>(240/2240*60)*4.57304869913275</f>
        <v>29.398170208710532</v>
      </c>
      <c r="BC69" s="1"/>
      <c r="BD69" s="1"/>
      <c r="BE69" s="1"/>
      <c r="BF69" s="1"/>
      <c r="BG69" s="1"/>
      <c r="BH69" s="1"/>
      <c r="BI69" s="3"/>
      <c r="BJ69" s="1">
        <f>(240*60)*0.00907237831014688</f>
        <v>130.64224766611505</v>
      </c>
      <c r="BK69" s="1">
        <f>(240*60)*0.0020979020979021</f>
        <v>30.209790209790242</v>
      </c>
      <c r="BL69" s="1"/>
      <c r="BM69" s="1"/>
      <c r="BN69" s="1"/>
      <c r="BO69" s="1">
        <f>(240/112*60)*0.0423211875843455</f>
        <v>5.4412955465587061</v>
      </c>
      <c r="BP69" s="1"/>
      <c r="BR69" s="1"/>
      <c r="BS69" s="1"/>
      <c r="BT69" s="1"/>
      <c r="BU69" s="1"/>
      <c r="BV69" s="1"/>
      <c r="BW69" s="1"/>
      <c r="BX69" s="1"/>
      <c r="BY69" s="1"/>
      <c r="BZ69" s="1"/>
      <c r="CA69" s="1"/>
      <c r="CB69" s="1"/>
      <c r="CC69" s="1"/>
      <c r="CD69" s="1"/>
      <c r="CE69" s="1"/>
      <c r="CG69" s="1"/>
      <c r="CH69" s="1"/>
      <c r="CI69" s="1"/>
      <c r="CJ69" s="1"/>
      <c r="CK69" s="1"/>
      <c r="CL69" s="1"/>
      <c r="CN69" s="1">
        <v>42.896981459727257</v>
      </c>
      <c r="CO69" s="1"/>
      <c r="CP69" s="1"/>
      <c r="CQ69" s="1">
        <f>(240/112*60)*0.139405399831066</f>
        <v>17.923551406851342</v>
      </c>
      <c r="CR69" s="1"/>
      <c r="CS69" s="1"/>
      <c r="CT69" s="1">
        <f>(240/112*60)*0.255136644723718</f>
        <v>32.803282893049456</v>
      </c>
      <c r="CU69" s="1"/>
      <c r="CV69" s="1"/>
      <c r="CX69" s="1"/>
      <c r="CY69" s="1"/>
      <c r="DD69" s="1">
        <v>36.172634581341093</v>
      </c>
      <c r="DE69">
        <v>37.988589634931095</v>
      </c>
    </row>
    <row r="70" spans="1:109" x14ac:dyDescent="0.25">
      <c r="A70" s="8">
        <f t="shared" si="3"/>
        <v>1903</v>
      </c>
      <c r="C70" s="17">
        <v>43.65</v>
      </c>
      <c r="D70" s="17">
        <v>40.125</v>
      </c>
      <c r="E70" s="17">
        <v>36.518999999999998</v>
      </c>
      <c r="G70" s="17">
        <v>21.669341894060992</v>
      </c>
      <c r="H70" s="17">
        <f>(240*60)*0.00173778044871795</f>
        <v>25.024038461538478</v>
      </c>
      <c r="I70" s="1">
        <f>(240*60)*0.00255034891029326</f>
        <v>36.725024308222942</v>
      </c>
      <c r="J70" s="1">
        <f>(240*60)*0.00223216159905385</f>
        <v>32.143127026375439</v>
      </c>
      <c r="L70" s="1"/>
      <c r="M70" s="1"/>
      <c r="N70" s="1"/>
      <c r="O70" s="1"/>
      <c r="P70" s="1"/>
      <c r="Q70" s="1"/>
      <c r="R70" s="17">
        <v>78.545454545454547</v>
      </c>
      <c r="S70" s="1"/>
      <c r="T70" s="1"/>
      <c r="V70" s="17">
        <v>49.090909090909086</v>
      </c>
      <c r="W70" s="17">
        <v>36.000000000000007</v>
      </c>
      <c r="X70" s="1"/>
      <c r="Y70" s="1"/>
      <c r="Z70" s="1"/>
      <c r="AA70" s="1"/>
      <c r="AB70" s="17">
        <v>35.200877040158495</v>
      </c>
      <c r="AC70" s="17">
        <v>40.219505300353362</v>
      </c>
      <c r="AD70" s="1"/>
      <c r="AE70" s="1"/>
      <c r="AF70" s="17">
        <v>40.219505300353362</v>
      </c>
      <c r="AG70" s="1"/>
      <c r="AH70" s="1"/>
      <c r="AI70" s="1"/>
      <c r="AJ70" s="1"/>
      <c r="AK70" s="1"/>
      <c r="AL70" s="1"/>
      <c r="AM70" s="1"/>
      <c r="AN70" s="1"/>
      <c r="AO70" s="1"/>
      <c r="AP70" s="1"/>
      <c r="AQ70" s="1"/>
      <c r="AR70" s="1"/>
      <c r="AS70" s="1"/>
      <c r="AT70" s="1"/>
      <c r="AU70" s="1"/>
      <c r="AV70" s="3"/>
      <c r="AW70" s="1"/>
      <c r="AX70" s="1"/>
      <c r="AY70" s="18"/>
      <c r="AZ70" s="1"/>
      <c r="BB70" s="1">
        <f>(240/2240*60)*4.48212875197472</f>
        <v>28.813684834123197</v>
      </c>
      <c r="BC70" s="1"/>
      <c r="BD70" s="1"/>
      <c r="BF70" s="1"/>
      <c r="BG70" s="1"/>
      <c r="BH70" s="1"/>
      <c r="BI70" s="3"/>
      <c r="BJ70" s="1">
        <f>(240*60)*0.00470994127110267</f>
        <v>67.823154303878454</v>
      </c>
      <c r="BK70" s="1">
        <f>(240*60)*0.00488535890903642</f>
        <v>70.349168290124453</v>
      </c>
      <c r="BL70" s="1"/>
      <c r="BM70" s="1">
        <f>(240/112*60)*0.305588428665352</f>
        <v>39.289940828402401</v>
      </c>
      <c r="BN70" s="1"/>
      <c r="BP70" s="1"/>
      <c r="BR70" s="1"/>
      <c r="BS70" s="1"/>
      <c r="BT70" s="1"/>
      <c r="BU70" s="1"/>
      <c r="BV70" s="1"/>
      <c r="BW70" s="1"/>
      <c r="BX70" s="1"/>
      <c r="BY70" s="1"/>
      <c r="BZ70" s="1"/>
      <c r="CA70" s="1"/>
      <c r="CB70" s="1"/>
      <c r="CC70" s="1"/>
      <c r="CD70" s="1"/>
      <c r="CE70" s="1"/>
      <c r="CG70" s="1"/>
      <c r="CH70" s="1"/>
      <c r="CI70" s="1"/>
      <c r="CJ70" s="1"/>
      <c r="CK70" s="1"/>
      <c r="CL70" s="1"/>
      <c r="CN70" s="1">
        <v>34.285714285714285</v>
      </c>
      <c r="CO70" s="1"/>
      <c r="CP70" s="1"/>
      <c r="CQ70" s="1">
        <f>(240/112*60)*0.175015555415021</f>
        <v>22.50199998193127</v>
      </c>
      <c r="CR70" s="1"/>
      <c r="CS70" s="1"/>
      <c r="CT70" s="1"/>
      <c r="CU70" s="1"/>
      <c r="CV70" s="1"/>
      <c r="CX70" s="1"/>
      <c r="CY70" s="1"/>
      <c r="DD70" s="1">
        <v>33.309057529789854</v>
      </c>
      <c r="DE70">
        <v>36.420642398569129</v>
      </c>
    </row>
    <row r="71" spans="1:109" x14ac:dyDescent="0.25">
      <c r="A71" s="8">
        <f t="shared" si="3"/>
        <v>1904</v>
      </c>
      <c r="C71" s="17">
        <v>45.06428571428571</v>
      </c>
      <c r="D71" s="17">
        <v>42.5</v>
      </c>
      <c r="E71" s="17">
        <v>38.492999999999995</v>
      </c>
      <c r="G71" s="17">
        <v>23.166023166023166</v>
      </c>
      <c r="H71" s="17">
        <f>(240*60)*0.00208094856532357</f>
        <v>29.965659340659411</v>
      </c>
      <c r="I71" s="1">
        <f>(240*60)*0.00255005666792595</f>
        <v>36.720816018133682</v>
      </c>
      <c r="J71" s="1">
        <f>(240*60)*0.00138236098689876</f>
        <v>19.905998211342144</v>
      </c>
      <c r="L71" s="1"/>
      <c r="M71" s="1"/>
      <c r="N71" s="1"/>
      <c r="O71" s="1"/>
      <c r="P71" s="1"/>
      <c r="Q71" s="1"/>
      <c r="R71" s="17"/>
      <c r="S71" s="1"/>
      <c r="T71" s="1"/>
      <c r="V71" s="17"/>
      <c r="W71" s="17">
        <v>39</v>
      </c>
      <c r="X71" s="1"/>
      <c r="Y71" s="1"/>
      <c r="Z71" s="1"/>
      <c r="AA71" s="1"/>
      <c r="AB71" s="17">
        <v>34.791789569410952</v>
      </c>
      <c r="AC71" s="17">
        <v>46.081272084805654</v>
      </c>
      <c r="AD71" s="1"/>
      <c r="AE71" s="1"/>
      <c r="AF71" s="17">
        <v>42.646643109540641</v>
      </c>
      <c r="AG71" s="1"/>
      <c r="AH71" s="1"/>
      <c r="AI71" s="1"/>
      <c r="AJ71" s="1"/>
      <c r="AK71" s="1"/>
      <c r="AL71" s="1"/>
      <c r="AM71" s="1"/>
      <c r="AN71" s="1"/>
      <c r="AO71" s="1"/>
      <c r="AP71" s="1"/>
      <c r="AQ71" s="1"/>
      <c r="AR71" s="1"/>
      <c r="AS71" s="1"/>
      <c r="AT71" s="1"/>
      <c r="AU71" s="1"/>
      <c r="AV71" s="1"/>
      <c r="AW71" s="1"/>
      <c r="AX71" s="1"/>
      <c r="AY71" s="18"/>
      <c r="AZ71" s="1"/>
      <c r="BB71" s="1">
        <f>(240/2240*60)*4.58191382765531</f>
        <v>29.455160320641273</v>
      </c>
      <c r="BC71" s="1"/>
      <c r="BD71" s="1"/>
      <c r="BF71" s="1"/>
      <c r="BG71" s="1"/>
      <c r="BH71" s="1"/>
      <c r="BI71" s="3"/>
      <c r="BJ71" s="1">
        <f>(240*60)*0.00272360710474593</f>
        <v>39.219942308341395</v>
      </c>
      <c r="BK71" s="1"/>
      <c r="BL71" s="1"/>
      <c r="BM71" s="1">
        <f>(240/112*60)*0.521059362830332</f>
        <v>66.993346649614111</v>
      </c>
      <c r="BN71" s="1"/>
      <c r="BO71" s="1">
        <f>(240/112*60)*0.199035288144199</f>
        <v>25.590251332825581</v>
      </c>
      <c r="BP71" s="1"/>
      <c r="BQ71" s="12"/>
      <c r="BR71" s="1"/>
      <c r="BS71" s="1"/>
      <c r="BT71" s="1"/>
      <c r="BU71" s="1"/>
      <c r="BV71" s="1"/>
      <c r="BW71" s="1"/>
      <c r="BX71" s="1"/>
      <c r="BY71" s="1"/>
      <c r="BZ71" s="1"/>
      <c r="CA71" s="1"/>
      <c r="CB71" s="1"/>
      <c r="CC71" s="1"/>
      <c r="CD71" s="1"/>
      <c r="CE71" s="1"/>
      <c r="CG71" s="1"/>
      <c r="CH71" s="1"/>
      <c r="CI71" s="1"/>
      <c r="CJ71" s="1"/>
      <c r="CK71" s="1"/>
      <c r="CL71" s="1"/>
      <c r="CN71" s="1">
        <v>46.886884446611404</v>
      </c>
      <c r="CO71" s="1">
        <v>52.922554767047217</v>
      </c>
      <c r="CP71" s="1"/>
      <c r="CQ71" s="1">
        <f>(240/112*60)*0.23212490597379</f>
        <v>29.844630768058714</v>
      </c>
      <c r="CR71" s="1"/>
      <c r="CS71" s="1"/>
      <c r="CT71" s="1"/>
      <c r="CU71" s="1"/>
      <c r="CV71" s="1"/>
      <c r="CW71" s="1"/>
      <c r="CX71" s="1"/>
      <c r="CY71" s="1"/>
      <c r="DD71" s="1">
        <v>33.725886748339967</v>
      </c>
      <c r="DE71">
        <v>37.646847005495502</v>
      </c>
    </row>
    <row r="72" spans="1:109" x14ac:dyDescent="0.25">
      <c r="A72" s="8">
        <f t="shared" ref="A72:A103" si="4">A71+1</f>
        <v>1905</v>
      </c>
      <c r="C72" s="17">
        <v>46.478571428571428</v>
      </c>
      <c r="D72" s="17">
        <v>44.5</v>
      </c>
      <c r="E72" s="17">
        <v>41.454000000000001</v>
      </c>
      <c r="F72" s="20">
        <f>(240*60)*0.00821827744904668</f>
        <v>118.34319526627219</v>
      </c>
      <c r="G72" s="17">
        <v>34.165834165834163</v>
      </c>
      <c r="H72" s="17">
        <f>(240*60)*0.00167124542124542</f>
        <v>24.065934065934048</v>
      </c>
      <c r="I72" s="1">
        <f>(240*60)*0.00255279812273341</f>
        <v>36.760292967361103</v>
      </c>
      <c r="J72" s="1">
        <f>(240*60)*0.00204082168562016</f>
        <v>29.387832272930304</v>
      </c>
      <c r="L72" s="1"/>
      <c r="M72" s="1"/>
      <c r="N72" s="1"/>
      <c r="O72" s="1"/>
      <c r="P72" s="1"/>
      <c r="Q72" s="1"/>
      <c r="R72" s="17"/>
      <c r="S72" s="1"/>
      <c r="T72" s="1"/>
      <c r="U72" s="1"/>
      <c r="V72" s="17"/>
      <c r="W72" s="17">
        <v>44</v>
      </c>
      <c r="X72" s="1"/>
      <c r="Y72" s="1"/>
      <c r="Z72" s="1"/>
      <c r="AA72" s="1"/>
      <c r="AB72" s="17">
        <v>39.827412709786003</v>
      </c>
      <c r="AC72" s="17">
        <v>44.787561837455826</v>
      </c>
      <c r="AD72" s="1"/>
      <c r="AE72" s="1"/>
      <c r="AF72" s="17">
        <v>44.787561837455826</v>
      </c>
      <c r="AG72" s="1"/>
      <c r="AH72" s="1"/>
      <c r="AI72" s="1"/>
      <c r="AJ72" s="1"/>
      <c r="AK72" s="1"/>
      <c r="AL72" s="1"/>
      <c r="AM72" s="1"/>
      <c r="AN72" s="1"/>
      <c r="AO72" s="1"/>
      <c r="AP72" s="1"/>
      <c r="AQ72" s="1"/>
      <c r="AR72" s="1"/>
      <c r="AS72" s="1"/>
      <c r="AT72" s="1"/>
      <c r="AU72" s="1"/>
      <c r="AV72" s="1"/>
      <c r="AW72" s="1"/>
      <c r="AX72" s="1"/>
      <c r="AY72" s="18"/>
      <c r="AZ72" s="1"/>
      <c r="BB72" s="1">
        <f>(240/2240*60)*5.02153905151476</f>
        <v>32.281322474023455</v>
      </c>
      <c r="BC72" s="1"/>
      <c r="BD72" s="1"/>
      <c r="BE72" s="1"/>
      <c r="BF72" s="1"/>
      <c r="BG72" s="1"/>
      <c r="BH72" s="1"/>
      <c r="BI72" s="3"/>
      <c r="BJ72" s="1">
        <f>(240*60)*0.00353165154371435</f>
        <v>50.855782229486636</v>
      </c>
      <c r="BK72" s="1"/>
      <c r="BL72" s="1"/>
      <c r="BM72" s="1"/>
      <c r="BN72" s="1"/>
      <c r="BO72" s="1"/>
      <c r="BP72" s="1"/>
      <c r="BQ72" s="1"/>
      <c r="BR72" s="1"/>
      <c r="BS72" s="1"/>
      <c r="BT72" s="1"/>
      <c r="BU72" s="1"/>
      <c r="BV72" s="1"/>
      <c r="BW72" s="1"/>
      <c r="BX72" s="1"/>
      <c r="BY72" s="1"/>
      <c r="BZ72" s="1"/>
      <c r="CA72" s="1"/>
      <c r="CB72" s="1"/>
      <c r="CC72" s="1"/>
      <c r="CD72" s="1"/>
      <c r="CF72" s="3"/>
      <c r="CG72" s="1"/>
      <c r="CH72" s="1"/>
      <c r="CI72" s="1"/>
      <c r="CJ72" s="1"/>
      <c r="CK72" s="1"/>
      <c r="CL72" s="1"/>
      <c r="CN72" s="1">
        <v>38.465873291186739</v>
      </c>
      <c r="CO72" s="1">
        <v>40.712727272727271</v>
      </c>
      <c r="CP72" s="1"/>
      <c r="CQ72" s="1">
        <f>(240/112*60)*0.275757575757576</f>
        <v>35.454545454545482</v>
      </c>
      <c r="CR72" s="1"/>
      <c r="CS72" s="1"/>
      <c r="CT72" s="1"/>
      <c r="CU72" s="1"/>
      <c r="CV72" s="1"/>
      <c r="CW72" s="1"/>
      <c r="CX72" s="1"/>
      <c r="CY72" s="1"/>
      <c r="DD72" s="1">
        <v>34.112863746293748</v>
      </c>
      <c r="DE72">
        <v>41.465630591422574</v>
      </c>
    </row>
    <row r="73" spans="1:109" x14ac:dyDescent="0.25">
      <c r="A73" s="8">
        <f t="shared" si="4"/>
        <v>1906</v>
      </c>
      <c r="C73" s="17">
        <v>45.192857142857136</v>
      </c>
      <c r="D73" s="17">
        <v>42.375</v>
      </c>
      <c r="E73" s="17">
        <v>41.454000000000001</v>
      </c>
      <c r="F73" s="20">
        <f>(240*60)*0.00824175824175824</f>
        <v>118.68131868131866</v>
      </c>
      <c r="G73" s="17">
        <v>28.660714285714285</v>
      </c>
      <c r="H73" s="17">
        <f>(240*60)*0.00228589534673185</f>
        <v>32.916892992938635</v>
      </c>
      <c r="I73" s="1">
        <f>(240*60)*0.00229576176695356</f>
        <v>33.058969444131264</v>
      </c>
      <c r="J73" s="1">
        <f>(240*60)*0.00170067495791477</f>
        <v>24.489719393972688</v>
      </c>
      <c r="L73" s="1"/>
      <c r="M73" s="1"/>
      <c r="N73" s="1"/>
      <c r="O73" s="1"/>
      <c r="P73" s="1"/>
      <c r="Q73" s="1"/>
      <c r="R73" s="17"/>
      <c r="S73" s="1"/>
      <c r="T73" s="1">
        <f>(240*60)*0.00476190476190476</f>
        <v>68.571428571428541</v>
      </c>
      <c r="U73" s="1"/>
      <c r="V73" s="17">
        <v>67.25454545454545</v>
      </c>
      <c r="W73" s="17">
        <v>41.6</v>
      </c>
      <c r="X73" s="1"/>
      <c r="Y73" s="1"/>
      <c r="Z73" s="1"/>
      <c r="AA73" s="1"/>
      <c r="AB73" s="17">
        <v>41.311385941994509</v>
      </c>
      <c r="AC73" s="17">
        <v>42.452014134275608</v>
      </c>
      <c r="AD73" s="1"/>
      <c r="AE73" s="1"/>
      <c r="AF73" s="17">
        <v>42.452014134275608</v>
      </c>
      <c r="AG73" s="1"/>
      <c r="AH73" s="1"/>
      <c r="AI73" s="1"/>
      <c r="AJ73" s="1"/>
      <c r="AK73" s="1"/>
      <c r="AL73" s="1"/>
      <c r="AM73" s="1"/>
      <c r="AN73" s="1"/>
      <c r="AO73" s="1"/>
      <c r="AP73" s="1"/>
      <c r="AQ73" s="1"/>
      <c r="AR73" s="1"/>
      <c r="AS73" s="1"/>
      <c r="AT73" s="1"/>
      <c r="AU73" s="1"/>
      <c r="AV73" s="1"/>
      <c r="AW73" s="1"/>
      <c r="AX73" s="1"/>
      <c r="AY73" s="18"/>
      <c r="AZ73" s="1"/>
      <c r="BB73" s="1">
        <f>(240/2240*60)*4.91936107175061</f>
        <v>31.624464032682493</v>
      </c>
      <c r="BC73" s="1"/>
      <c r="BD73" s="1"/>
      <c r="BF73" s="1"/>
      <c r="BG73" s="1"/>
      <c r="BH73" s="1"/>
      <c r="BI73" s="3"/>
      <c r="BJ73" s="1">
        <f>(240*60)*0.00395622627061864</f>
        <v>56.969658296908413</v>
      </c>
      <c r="BK73" s="1"/>
      <c r="BL73" s="1"/>
      <c r="BM73" s="1"/>
      <c r="BN73" s="1"/>
      <c r="BO73" s="1"/>
      <c r="BP73" s="1"/>
      <c r="BQ73" s="1"/>
      <c r="BR73" s="1"/>
      <c r="BS73" s="1"/>
      <c r="BT73" s="1"/>
      <c r="BU73" s="1"/>
      <c r="BV73" s="1"/>
      <c r="BW73" s="1"/>
      <c r="BX73" s="1"/>
      <c r="BY73" s="1"/>
      <c r="BZ73" s="1"/>
      <c r="CA73" s="3"/>
      <c r="CB73" s="3">
        <f>(240*60)*0.00330014659598563</f>
        <v>47.522110982193077</v>
      </c>
      <c r="CC73" s="1"/>
      <c r="CD73" s="1"/>
      <c r="CE73" s="3"/>
      <c r="CF73" s="3">
        <f>(240*60)*0.0015421907506728</f>
        <v>22.207546809688321</v>
      </c>
      <c r="CG73" s="3"/>
      <c r="CH73" s="1"/>
      <c r="CI73" s="1"/>
      <c r="CJ73" s="1"/>
      <c r="CK73" s="1"/>
      <c r="CL73" s="1"/>
      <c r="CN73" s="1">
        <v>40.734513230623321</v>
      </c>
      <c r="CO73" s="1">
        <v>42.857142857142854</v>
      </c>
      <c r="CP73" s="1"/>
      <c r="CQ73" s="1">
        <f>(240/112*60)*0.256</f>
        <v>32.914285714285711</v>
      </c>
      <c r="CR73" s="1"/>
      <c r="CS73" s="1"/>
      <c r="CT73" s="1"/>
      <c r="CU73" s="1"/>
      <c r="CV73" s="1"/>
      <c r="CW73" s="1"/>
      <c r="CX73" s="1"/>
      <c r="CY73" s="1"/>
      <c r="DD73" s="1">
        <v>39.640595503052459</v>
      </c>
      <c r="DE73">
        <v>43.385538036422311</v>
      </c>
    </row>
    <row r="74" spans="1:109" x14ac:dyDescent="0.25">
      <c r="A74" s="8">
        <f t="shared" si="4"/>
        <v>1907</v>
      </c>
      <c r="C74" s="17">
        <v>49.435714285714283</v>
      </c>
      <c r="D74" s="17">
        <v>45.875</v>
      </c>
      <c r="E74" s="1"/>
      <c r="G74" s="17">
        <v>42.925604746691008</v>
      </c>
      <c r="H74" s="17">
        <f>(240*60)*0.00250184833122095</f>
        <v>36.026615969581684</v>
      </c>
      <c r="I74" s="1"/>
      <c r="J74" s="3">
        <f>(240*60)*0.00255102040816327</f>
        <v>36.734693877551088</v>
      </c>
      <c r="K74" s="1"/>
      <c r="L74" s="1"/>
      <c r="M74" s="1"/>
      <c r="N74" s="1"/>
      <c r="O74" s="1"/>
      <c r="P74" s="1"/>
      <c r="Q74" s="1"/>
      <c r="R74" s="17"/>
      <c r="S74" s="1">
        <f>(240*60)*0.00267857142857143</f>
        <v>38.571428571428591</v>
      </c>
      <c r="T74" s="1"/>
      <c r="U74" s="1"/>
      <c r="V74" s="17"/>
      <c r="W74" s="17"/>
      <c r="X74" s="1"/>
      <c r="Y74" s="1"/>
      <c r="Z74" s="1"/>
      <c r="AA74" s="1"/>
      <c r="AB74" s="17">
        <v>39.419525394354466</v>
      </c>
      <c r="AC74" s="17">
        <v>52.87038869257951</v>
      </c>
      <c r="AD74" s="1"/>
      <c r="AE74" s="1"/>
      <c r="AF74" s="17">
        <v>52.87038869257951</v>
      </c>
      <c r="AG74" s="1"/>
      <c r="AH74" s="1"/>
      <c r="AI74" s="1"/>
      <c r="AJ74" s="1"/>
      <c r="AK74" s="1"/>
      <c r="AL74" s="1"/>
      <c r="AM74" s="1"/>
      <c r="AN74" s="1"/>
      <c r="AO74" s="1">
        <f>(240/2240*60)*8.89908063871416</f>
        <v>57.208375534591028</v>
      </c>
      <c r="AP74" s="1"/>
      <c r="AQ74" s="1"/>
      <c r="AR74" s="1"/>
      <c r="AS74" s="1"/>
      <c r="AT74" s="1"/>
      <c r="AU74" s="1"/>
      <c r="AV74" s="1"/>
      <c r="AW74" s="1"/>
      <c r="AX74" s="1"/>
      <c r="AY74" s="18">
        <v>7.5348999534667298</v>
      </c>
      <c r="AZ74" s="1"/>
      <c r="BB74" s="1">
        <f>(240/2240*60)*5.67593930635838</f>
        <v>36.48818125516101</v>
      </c>
      <c r="BC74" s="1"/>
      <c r="BD74" s="1"/>
      <c r="BF74" s="1"/>
      <c r="BH74" s="1"/>
      <c r="BI74" s="3"/>
      <c r="BJ74" s="1">
        <f>(240*60)*0.0106508875739645</f>
        <v>153.37278106508882</v>
      </c>
      <c r="BK74" s="1"/>
      <c r="BL74" s="1"/>
      <c r="BM74" s="1"/>
      <c r="BN74" s="1"/>
      <c r="BO74" s="1"/>
      <c r="BP74" s="1"/>
      <c r="BQ74" s="1"/>
      <c r="BR74" s="1"/>
      <c r="BS74" s="1"/>
      <c r="BT74" s="1"/>
      <c r="BU74" s="1"/>
      <c r="BV74" s="1"/>
      <c r="BW74" s="1"/>
      <c r="BX74" s="1"/>
      <c r="BY74" s="1"/>
      <c r="BZ74" s="1"/>
      <c r="CA74" s="3"/>
      <c r="CB74" s="3">
        <f>(240*60)*0.00341718142427743</f>
        <v>49.207412509594995</v>
      </c>
      <c r="CC74" s="1"/>
      <c r="CD74" s="1"/>
      <c r="CE74" s="3"/>
      <c r="CF74" s="3">
        <f>(240*60)*0.00186803674643286</f>
        <v>26.899729148633185</v>
      </c>
      <c r="CG74" s="3"/>
      <c r="CH74" s="1"/>
      <c r="CI74" s="1"/>
      <c r="CJ74" s="1"/>
      <c r="CK74" s="1"/>
      <c r="CL74" s="1"/>
      <c r="CN74" s="1">
        <v>51.428571428571431</v>
      </c>
      <c r="CO74" s="1">
        <v>51.428571428571431</v>
      </c>
      <c r="CP74" s="1"/>
      <c r="CQ74" s="1">
        <f>(240/112*60)*0.2625</f>
        <v>33.75</v>
      </c>
      <c r="CR74" s="1"/>
      <c r="CS74" s="1"/>
      <c r="CT74" s="1"/>
      <c r="CU74" s="1"/>
      <c r="CV74" s="1"/>
      <c r="CW74" s="1">
        <f>(240/112*60)*0.26304347826087</f>
        <v>33.819875776397566</v>
      </c>
      <c r="CX74" s="1">
        <f>(240/112*60)*0.308721241305511</f>
        <v>39.692731024994266</v>
      </c>
      <c r="CY74" s="1"/>
      <c r="DD74" s="1">
        <v>39.711134331590173</v>
      </c>
      <c r="DE74">
        <v>48.862916706293049</v>
      </c>
    </row>
    <row r="75" spans="1:109" x14ac:dyDescent="0.25">
      <c r="A75" s="8">
        <f t="shared" si="4"/>
        <v>1908</v>
      </c>
      <c r="C75" s="17">
        <v>54</v>
      </c>
      <c r="D75" s="17">
        <v>48</v>
      </c>
      <c r="E75" s="1"/>
      <c r="G75" s="17">
        <v>51.471286188894162</v>
      </c>
      <c r="H75" s="17">
        <f>(240*60)*0.00274538483010441</f>
        <v>39.533541553503504</v>
      </c>
      <c r="I75" s="1"/>
      <c r="J75" s="3">
        <f>(240*60)*0.00306122195034272</f>
        <v>44.081596084935171</v>
      </c>
      <c r="K75" s="1"/>
      <c r="L75" s="1"/>
      <c r="M75" s="1"/>
      <c r="N75" s="1"/>
      <c r="O75" s="1"/>
      <c r="P75" s="1"/>
      <c r="Q75" s="1"/>
      <c r="R75" s="17">
        <v>107.99999999999999</v>
      </c>
      <c r="S75" s="1"/>
      <c r="T75" s="1">
        <f>(240*60)*0.00382478425764062</f>
        <v>55.076893310024928</v>
      </c>
      <c r="U75" s="1"/>
      <c r="V75" s="17"/>
      <c r="W75" s="17">
        <v>64</v>
      </c>
      <c r="X75" s="1"/>
      <c r="Y75" s="1"/>
      <c r="Z75" s="1"/>
      <c r="AA75" s="1"/>
      <c r="AB75" s="17">
        <v>49.907019001544001</v>
      </c>
      <c r="AC75" s="17">
        <v>61.880565371024751</v>
      </c>
      <c r="AD75" s="1"/>
      <c r="AE75" s="1"/>
      <c r="AF75" s="17">
        <v>61.880565371024751</v>
      </c>
      <c r="AG75" s="1"/>
      <c r="AH75" s="1"/>
      <c r="AI75" s="1"/>
      <c r="AJ75" s="1"/>
      <c r="AK75" s="1"/>
      <c r="AL75" s="1"/>
      <c r="AM75" s="1"/>
      <c r="AN75" s="1"/>
      <c r="AO75" s="1"/>
      <c r="AQ75" s="1"/>
      <c r="AR75" s="1"/>
      <c r="AS75" s="1"/>
      <c r="AT75" s="1"/>
      <c r="AU75" s="1"/>
      <c r="AV75" s="1"/>
      <c r="AW75" s="1"/>
      <c r="AX75" s="1"/>
      <c r="AY75" s="3"/>
      <c r="AZ75" s="1"/>
      <c r="BB75" s="1">
        <f>(240/2240*60)*5.82176843774781</f>
        <v>37.425654242664493</v>
      </c>
      <c r="BC75" s="1"/>
      <c r="BD75" s="1"/>
      <c r="BF75" s="1"/>
      <c r="BG75" s="1"/>
      <c r="BI75" s="3"/>
      <c r="BJ75" s="1">
        <f>(240*60)*0.0185185185185185</f>
        <v>266.6666666666664</v>
      </c>
      <c r="BK75" s="1">
        <f>(240*60)*0.00157037391304602</f>
        <v>22.613384347862688</v>
      </c>
      <c r="BL75" s="1"/>
      <c r="BM75" s="1"/>
      <c r="BN75" s="1">
        <f>(240/112*60)*0.16948427134603</f>
        <v>21.790834887346712</v>
      </c>
      <c r="BO75" s="1"/>
      <c r="BP75" s="1"/>
      <c r="BQ75" s="1"/>
      <c r="BR75" s="1"/>
      <c r="BS75" s="1"/>
      <c r="BT75" s="1"/>
      <c r="BU75" s="1"/>
      <c r="BV75" s="1"/>
      <c r="BW75" s="1"/>
      <c r="BX75" s="1"/>
      <c r="BY75" s="1"/>
      <c r="BZ75" s="1"/>
      <c r="CA75" s="3"/>
      <c r="CB75" s="3">
        <f>(240*60)*0.00338669086622571</f>
        <v>48.768348473650221</v>
      </c>
      <c r="CC75" s="1"/>
      <c r="CD75" s="1"/>
      <c r="CE75" s="3"/>
      <c r="CF75" s="3">
        <f>(240*60)*0.00356446274813622</f>
        <v>51.328263573161571</v>
      </c>
      <c r="CG75" s="3"/>
      <c r="CH75" s="1"/>
      <c r="CI75" s="3">
        <f>(240*60)*0.00283363913629901</f>
        <v>40.804403562705744</v>
      </c>
      <c r="CJ75" s="1"/>
      <c r="CK75" s="1"/>
      <c r="CL75" s="1"/>
      <c r="CN75" s="1">
        <v>67.263423524463775</v>
      </c>
      <c r="CO75" s="1">
        <v>64.846416382252556</v>
      </c>
      <c r="CP75" s="1"/>
      <c r="CQ75" s="1">
        <f>(240/112*60)*0.300428003668603</f>
        <v>38.626457614534665</v>
      </c>
      <c r="CR75" s="1"/>
      <c r="CS75" s="1"/>
      <c r="CT75" s="1"/>
      <c r="CU75" s="1"/>
      <c r="CV75" s="1"/>
      <c r="CW75" s="1">
        <f>(240/112*60)*0.380620645978467</f>
        <v>48.936940197231465</v>
      </c>
      <c r="CX75" s="1">
        <f>(240/112*60)*0.376479873717443</f>
        <v>48.404555192242668</v>
      </c>
      <c r="CY75" s="1"/>
      <c r="DD75" s="1">
        <v>51.624014581499921</v>
      </c>
      <c r="DE75">
        <v>56.12719604170605</v>
      </c>
    </row>
    <row r="76" spans="1:109" x14ac:dyDescent="0.25">
      <c r="A76" s="8">
        <f t="shared" si="4"/>
        <v>1909</v>
      </c>
      <c r="C76" s="17">
        <v>59.464285714285708</v>
      </c>
      <c r="D76" s="17">
        <v>55.375</v>
      </c>
      <c r="E76" s="1"/>
      <c r="G76" s="17">
        <v>59.340659340659336</v>
      </c>
      <c r="H76" s="17">
        <f>(240*60)*0.00386169201520913</f>
        <v>55.608365019011472</v>
      </c>
      <c r="I76" s="1">
        <f>(240*60)*0.00420891170967321</f>
        <v>60.608328619294227</v>
      </c>
      <c r="J76" s="1">
        <f>(240*60)*0.00331632653061224</f>
        <v>47.755102040816254</v>
      </c>
      <c r="K76" s="1"/>
      <c r="L76" s="1"/>
      <c r="M76" s="1"/>
      <c r="N76" s="1"/>
      <c r="O76" s="1"/>
      <c r="P76" s="1"/>
      <c r="Q76" s="1"/>
      <c r="R76" s="17">
        <v>162</v>
      </c>
      <c r="S76" s="1"/>
      <c r="T76" s="1">
        <f>(240*60)*0.00558035714285714</f>
        <v>80.357142857142819</v>
      </c>
      <c r="U76" s="1"/>
      <c r="V76" s="17"/>
      <c r="W76" s="17">
        <v>72.000000000000014</v>
      </c>
      <c r="X76" s="1"/>
      <c r="Y76" s="1"/>
      <c r="Z76" s="1"/>
      <c r="AA76" s="1"/>
      <c r="AB76" s="17">
        <v>48.018477444191348</v>
      </c>
      <c r="AC76" s="17"/>
      <c r="AD76" s="1"/>
      <c r="AE76" s="1"/>
      <c r="AF76" s="17"/>
      <c r="AG76" s="1"/>
      <c r="AH76" s="1"/>
      <c r="AI76" s="1"/>
      <c r="AJ76" s="1"/>
      <c r="AK76" s="1"/>
      <c r="AL76" s="1"/>
      <c r="AM76" s="1"/>
      <c r="AN76" s="1"/>
      <c r="AO76" s="1"/>
      <c r="AP76" s="1"/>
      <c r="AQ76" s="1"/>
      <c r="AR76" s="1"/>
      <c r="AS76" s="1"/>
      <c r="AT76" s="1"/>
      <c r="AU76" s="1"/>
      <c r="AV76" s="1"/>
      <c r="AW76" s="1"/>
      <c r="AX76" s="1"/>
      <c r="AY76" s="14"/>
      <c r="AZ76" s="1"/>
      <c r="BB76" s="1">
        <f>(240/2240*60)*6.01345895020188</f>
        <v>38.657950394154938</v>
      </c>
      <c r="BC76" s="1"/>
      <c r="BD76" s="1"/>
      <c r="BE76" s="1"/>
      <c r="BF76" s="1"/>
      <c r="BG76" s="1"/>
      <c r="BH76" s="1"/>
      <c r="BI76" s="3"/>
      <c r="BJ76" s="1">
        <f>(240*60)*0.0189125295508274</f>
        <v>272.34042553191455</v>
      </c>
      <c r="BK76" s="1">
        <f>(240*60)*0.00190157096116717</f>
        <v>27.382621840807246</v>
      </c>
      <c r="BL76" s="1"/>
      <c r="BM76" s="1"/>
      <c r="BN76" s="1">
        <f>(240/112*60)*0.176647564469914</f>
        <v>22.71182971756037</v>
      </c>
      <c r="BO76" s="1"/>
      <c r="BP76" s="1"/>
      <c r="BQ76" s="12"/>
      <c r="BR76" s="1"/>
      <c r="BS76" s="1"/>
      <c r="BT76" s="1"/>
      <c r="BU76" s="1"/>
      <c r="BV76" s="1"/>
      <c r="BW76" s="1"/>
      <c r="BX76" s="1"/>
      <c r="BY76" s="1"/>
      <c r="BZ76" s="1"/>
      <c r="CA76" s="3"/>
      <c r="CB76" s="3">
        <f>(240*60)*0.00311743196650391</f>
        <v>44.891020317656299</v>
      </c>
      <c r="CC76" s="1"/>
      <c r="CD76" s="1"/>
      <c r="CE76" s="3"/>
      <c r="CF76" s="3">
        <f>(240*60)*0.00146029213440462</f>
        <v>21.028206735426529</v>
      </c>
      <c r="CG76" s="3"/>
      <c r="CH76" s="1"/>
      <c r="CI76" s="3">
        <f>(240*60)*0.00198937432161327</f>
        <v>28.646990231231086</v>
      </c>
      <c r="CJ76" s="1"/>
      <c r="CK76" s="1"/>
      <c r="CL76" s="1"/>
      <c r="CN76" s="1">
        <v>81.246992681135566</v>
      </c>
      <c r="CO76" s="1">
        <v>66.623376623376615</v>
      </c>
      <c r="CP76" s="1"/>
      <c r="CQ76" s="1">
        <f>(240/112*60)*0.309018404907975</f>
        <v>39.730937773882495</v>
      </c>
      <c r="CR76" s="1"/>
      <c r="CS76" s="1"/>
      <c r="CT76" s="1"/>
      <c r="CU76" s="1"/>
      <c r="CV76" s="1"/>
      <c r="CW76" s="1">
        <f>(240/112*60)*0.518810607727327</f>
        <v>66.704220993513459</v>
      </c>
      <c r="CX76" s="1"/>
      <c r="CY76" s="1"/>
      <c r="DD76" s="1">
        <v>50.481507703879004</v>
      </c>
      <c r="DE76">
        <v>54.876959930313582</v>
      </c>
    </row>
    <row r="77" spans="1:109" x14ac:dyDescent="0.25">
      <c r="A77" s="8">
        <f t="shared" si="4"/>
        <v>1910</v>
      </c>
      <c r="C77" s="17">
        <v>53.935714285714283</v>
      </c>
      <c r="D77" s="17">
        <v>47.5</v>
      </c>
      <c r="E77" s="1"/>
      <c r="G77" s="17">
        <v>51.275510204081627</v>
      </c>
      <c r="H77" s="17">
        <f>(240*60)*0.002586249170137</f>
        <v>37.241988049972804</v>
      </c>
      <c r="I77" s="1">
        <f>(240*60)*0.00408163265306122</f>
        <v>58.775510204081563</v>
      </c>
      <c r="J77" s="1">
        <f>(240*60)*0.00306121533913802</f>
        <v>44.081500883587488</v>
      </c>
      <c r="K77" s="1"/>
      <c r="L77" s="1"/>
      <c r="M77" s="1"/>
      <c r="N77" s="1"/>
      <c r="O77" s="1"/>
      <c r="P77" s="1"/>
      <c r="Q77" s="1"/>
      <c r="R77" s="17">
        <v>127.63636363636363</v>
      </c>
      <c r="S77" s="1">
        <f>(240*60)*0.00435106107660455</f>
        <v>62.655279503105518</v>
      </c>
      <c r="T77" s="1"/>
      <c r="U77" s="1">
        <f>(240*60)*0.00396174863387978</f>
        <v>57.049180327868825</v>
      </c>
      <c r="V77" s="17"/>
      <c r="W77" s="17">
        <v>80.533333333333346</v>
      </c>
      <c r="X77" s="1"/>
      <c r="Y77" s="1"/>
      <c r="Z77" s="1"/>
      <c r="AA77" s="1"/>
      <c r="AB77" s="17">
        <v>41.103727623995347</v>
      </c>
      <c r="AC77" s="1"/>
      <c r="AD77" s="1"/>
      <c r="AE77" s="1"/>
      <c r="AF77" s="17"/>
      <c r="AG77" s="1"/>
      <c r="AH77" s="1"/>
      <c r="AI77" s="1"/>
      <c r="AJ77" s="1"/>
      <c r="AK77" s="1"/>
      <c r="AL77" s="1">
        <f>(240/2240*60)*7.38244527020903</f>
        <v>47.458576737058046</v>
      </c>
      <c r="AM77" s="1"/>
      <c r="AN77" s="1"/>
      <c r="AO77" s="1"/>
      <c r="AP77" s="1"/>
      <c r="AQ77" s="1"/>
      <c r="AR77" s="1"/>
      <c r="AS77" s="1"/>
      <c r="AT77" s="1"/>
      <c r="AU77" s="1"/>
      <c r="AV77" s="1"/>
      <c r="AW77" s="1"/>
      <c r="AX77" s="1"/>
      <c r="AY77" s="3"/>
      <c r="AZ77" s="1"/>
      <c r="BB77" s="1">
        <f>(240/2240*60)*6.49927219796215</f>
        <v>41.781035558328107</v>
      </c>
      <c r="BC77" s="1"/>
      <c r="BD77" s="1"/>
      <c r="BE77" s="1"/>
      <c r="BF77" s="1"/>
      <c r="BG77" s="1"/>
      <c r="BH77" s="1"/>
      <c r="BI77" s="3"/>
      <c r="BJ77" s="1">
        <f>(240*60)*0.0277222063446699</f>
        <v>399.19977136324655</v>
      </c>
      <c r="BK77" s="1">
        <f>(240*60)*0.00302001588900732</f>
        <v>43.488228801705411</v>
      </c>
      <c r="BL77" s="1"/>
      <c r="BM77" s="1"/>
      <c r="BN77" s="1">
        <f>(240/112*60)*0.15005954743946</f>
        <v>19.293370385073427</v>
      </c>
      <c r="BO77" s="1"/>
      <c r="BP77" s="1"/>
      <c r="BQ77" s="1"/>
      <c r="BR77" s="3">
        <f>(240*60)*0.00468521229868228</f>
        <v>67.467057101024821</v>
      </c>
      <c r="BS77" s="1"/>
      <c r="BT77" s="1">
        <f>(240*60)*0.00240060015003751</f>
        <v>34.568642160540143</v>
      </c>
      <c r="BU77" s="1"/>
      <c r="BV77" s="1"/>
      <c r="BW77" s="1"/>
      <c r="BX77" s="1"/>
      <c r="BY77" s="1"/>
      <c r="BZ77" s="1"/>
      <c r="CA77" s="3"/>
      <c r="CB77" s="3">
        <f>(240*60)*0.0030965372113594</f>
        <v>44.590135843575361</v>
      </c>
      <c r="CC77" s="1"/>
      <c r="CD77" s="1"/>
      <c r="CE77" s="1"/>
      <c r="CF77" s="3">
        <f>(240*60)*0.00172215843857635</f>
        <v>24.799081515499442</v>
      </c>
      <c r="CG77" s="3"/>
      <c r="CH77" s="1"/>
      <c r="CI77" s="3">
        <f>(240*60)*0.00136700375254546</f>
        <v>19.684854036654624</v>
      </c>
      <c r="CJ77" s="1"/>
      <c r="CK77" s="1">
        <f>(240*60)*0.00369230769230769</f>
        <v>53.169230769230737</v>
      </c>
      <c r="CL77" s="3"/>
      <c r="CN77" s="1">
        <v>48.920507751534707</v>
      </c>
      <c r="CO77" s="1">
        <v>67.881355932203377</v>
      </c>
      <c r="CP77" s="1"/>
      <c r="CQ77" s="1">
        <f>(240/112*60)*0.376445846477392</f>
        <v>48.400180261378964</v>
      </c>
      <c r="CR77" s="1">
        <f>(240/112*60)*0.380952380952381</f>
        <v>48.979591836734691</v>
      </c>
      <c r="CS77" s="1"/>
      <c r="CT77" s="1"/>
      <c r="CU77" s="1"/>
      <c r="CV77" s="1"/>
      <c r="CW77" s="1">
        <f>(240/112*60)*0.511927300265051</f>
        <v>65.819224319792255</v>
      </c>
      <c r="CX77" s="1">
        <f>(240/112*60)*0.262387387387387</f>
        <v>33.735521235521176</v>
      </c>
      <c r="CY77" s="1"/>
      <c r="DD77" s="1">
        <v>42.011151414823694</v>
      </c>
      <c r="DE77">
        <v>45.945084083503183</v>
      </c>
    </row>
    <row r="78" spans="1:109" x14ac:dyDescent="0.25">
      <c r="A78" s="8">
        <f t="shared" si="4"/>
        <v>1911</v>
      </c>
      <c r="C78" s="17">
        <v>51.042857142857144</v>
      </c>
      <c r="D78" s="17">
        <v>47.5</v>
      </c>
      <c r="E78" s="1"/>
      <c r="F78" s="1"/>
      <c r="G78" s="17">
        <v>51.375878220140514</v>
      </c>
      <c r="H78" s="17">
        <f>(240*60)*0.0024443237370994</f>
        <v>35.198261814231365</v>
      </c>
      <c r="I78" s="1">
        <f>(240*60)*0.00255102040816327</f>
        <v>36.734693877551088</v>
      </c>
      <c r="J78" s="3">
        <f>(240*60)*0.00306122448979592</f>
        <v>44.081632653061249</v>
      </c>
      <c r="K78" s="1">
        <f>(240*60)*0.00150896611511577</f>
        <v>21.729112057667088</v>
      </c>
      <c r="L78" s="1"/>
      <c r="M78" s="1"/>
      <c r="N78" s="1"/>
      <c r="O78" s="1"/>
      <c r="P78" s="1"/>
      <c r="Q78" s="1"/>
      <c r="R78" s="17">
        <v>147.27272727272725</v>
      </c>
      <c r="S78" s="1"/>
      <c r="T78" s="1">
        <f>(240*60)*0.00385405960945529</f>
        <v>55.498458376156179</v>
      </c>
      <c r="U78" s="1"/>
      <c r="V78" s="17">
        <v>71.181818181818173</v>
      </c>
      <c r="W78" s="17">
        <v>78</v>
      </c>
      <c r="X78" s="1"/>
      <c r="Y78" s="1"/>
      <c r="Z78" s="1"/>
      <c r="AA78" s="1"/>
      <c r="AB78" s="17">
        <v>44.032328963579133</v>
      </c>
      <c r="AC78" s="1"/>
      <c r="AD78" s="1"/>
      <c r="AE78" s="1"/>
      <c r="AF78" s="17"/>
      <c r="AG78" s="1"/>
      <c r="AH78" s="1"/>
      <c r="AI78" s="1"/>
      <c r="AJ78" s="1"/>
      <c r="AK78" s="1"/>
      <c r="AL78" s="1">
        <f>(240/2240*60)*6.99859088774072</f>
        <v>44.990941421190342</v>
      </c>
      <c r="AM78" s="1">
        <f>(240/2240*60)*7.25351018081965</f>
        <v>46.629708305269176</v>
      </c>
      <c r="AN78" s="1"/>
      <c r="AO78" s="1"/>
      <c r="AP78" s="1">
        <f>(240/2240*60)*2.125</f>
        <v>13.660714285714285</v>
      </c>
      <c r="AQ78" s="1"/>
      <c r="AR78" s="1"/>
      <c r="AS78" s="1"/>
      <c r="AT78" s="1"/>
      <c r="AU78" s="1"/>
      <c r="AV78" s="1"/>
      <c r="AW78" s="1"/>
      <c r="AX78" s="1"/>
      <c r="AY78" s="1"/>
      <c r="AZ78" s="1"/>
      <c r="BA78" s="1"/>
      <c r="BB78" s="1">
        <f>(240/2240*60)*7.08793774319066</f>
        <v>45.565314063368525</v>
      </c>
      <c r="BC78" s="1"/>
      <c r="BD78" s="1"/>
      <c r="BE78" s="1"/>
      <c r="BF78" s="1"/>
      <c r="BG78" s="1"/>
      <c r="BH78" s="1"/>
      <c r="BI78" s="3"/>
      <c r="BJ78" s="1">
        <f>(240*60)*0.00464225730601276</f>
        <v>66.848505206583738</v>
      </c>
      <c r="BK78" s="1">
        <f>(240*60)*0.000353848673377868</f>
        <v>5.0954208966412988</v>
      </c>
      <c r="BL78" s="1"/>
      <c r="BM78" s="1"/>
      <c r="BN78" s="1">
        <f>(240/112*60)*0.256493506493506</f>
        <v>32.977736549165051</v>
      </c>
      <c r="BO78" s="1"/>
      <c r="BP78" s="1"/>
      <c r="BQ78" s="1"/>
      <c r="BR78" s="3">
        <f>(240*60)*0.00453879941434846</f>
        <v>65.358711566617814</v>
      </c>
      <c r="BS78" s="1"/>
      <c r="BT78" s="1">
        <f>(240*60)*0.00255063765941485</f>
        <v>36.729182295573843</v>
      </c>
      <c r="BU78" s="1"/>
      <c r="BV78" s="1"/>
      <c r="BW78" s="1"/>
      <c r="BX78" s="1"/>
      <c r="BY78" s="1"/>
      <c r="BZ78" s="1"/>
      <c r="CA78" s="1"/>
      <c r="CB78" s="1"/>
      <c r="CC78" s="1"/>
      <c r="CD78" s="1"/>
      <c r="CE78" s="1"/>
      <c r="CG78" s="1"/>
      <c r="CH78" s="1"/>
      <c r="CI78" s="1"/>
      <c r="CJ78" s="1"/>
      <c r="CK78" s="1">
        <f>(240*60)*0.00769230769230769</f>
        <v>110.76923076923073</v>
      </c>
      <c r="CL78" s="3"/>
      <c r="CN78" s="1">
        <v>57.14236076640524</v>
      </c>
      <c r="CO78" s="1">
        <v>38.543838136112811</v>
      </c>
      <c r="CP78" s="1"/>
      <c r="CQ78" s="1">
        <f>(240/112*60)*0.249701314217443</f>
        <v>32.10445468509981</v>
      </c>
      <c r="CR78" s="1">
        <f>(240/112*60)*0.374200426439232</f>
        <v>48.111483399329828</v>
      </c>
      <c r="CS78" s="1"/>
      <c r="CT78" s="1"/>
      <c r="CU78" s="1"/>
      <c r="CV78" s="1"/>
      <c r="CW78" s="1">
        <f>(240/112*60)*0.320117474302496</f>
        <v>41.157960981749476</v>
      </c>
      <c r="CX78" s="1">
        <f>(240/112*60)*0.341370402263501</f>
        <v>43.890480291021554</v>
      </c>
      <c r="CY78" s="1"/>
      <c r="DD78" s="1">
        <v>37.128793518654767</v>
      </c>
      <c r="DE78">
        <v>42.045506173228318</v>
      </c>
    </row>
    <row r="79" spans="1:109" x14ac:dyDescent="0.25">
      <c r="A79" s="8">
        <f t="shared" si="4"/>
        <v>1912</v>
      </c>
      <c r="C79" s="17">
        <v>54.51428571428572</v>
      </c>
      <c r="D79" s="17">
        <v>52.125</v>
      </c>
      <c r="E79" s="1"/>
      <c r="F79" s="1"/>
      <c r="G79" s="17">
        <v>55.790816326530617</v>
      </c>
      <c r="H79" s="17">
        <f>(240*60)*0.00357142857142857</f>
        <v>51.428571428571409</v>
      </c>
      <c r="I79" s="1">
        <f>(240*60)*0.00306172641215857</f>
        <v>44.08886033508341</v>
      </c>
      <c r="J79" s="3">
        <f>(240*60)*0.00331633744616993</f>
        <v>47.755259224846988</v>
      </c>
      <c r="K79" s="1">
        <f>(240*60)*0.00311905217240845</f>
        <v>44.914351282681679</v>
      </c>
      <c r="L79" s="1"/>
      <c r="M79" s="1"/>
      <c r="N79" s="1"/>
      <c r="O79" s="1"/>
      <c r="P79" s="1"/>
      <c r="Q79" s="1"/>
      <c r="R79" s="17">
        <v>166.90909090909088</v>
      </c>
      <c r="S79" s="1">
        <f>(240*60)*0.00463598901098901</f>
        <v>66.758241758241752</v>
      </c>
      <c r="T79" s="1">
        <f>(240*60)*0.00374391233766234</f>
        <v>53.912337662337698</v>
      </c>
      <c r="U79" s="1">
        <f>(240*60)*0.00532786885245902</f>
        <v>76.721311475409891</v>
      </c>
      <c r="V79" s="1"/>
      <c r="W79" s="1"/>
      <c r="X79" s="1"/>
      <c r="Y79" s="1"/>
      <c r="Z79" s="1"/>
      <c r="AA79" s="1"/>
      <c r="AB79" s="1"/>
      <c r="AC79" s="1"/>
      <c r="AD79" s="1"/>
      <c r="AE79" s="1"/>
      <c r="AF79" s="17"/>
      <c r="AG79" s="1"/>
      <c r="AH79" s="1"/>
      <c r="AI79" s="1"/>
      <c r="AJ79" s="1"/>
      <c r="AK79" s="1"/>
      <c r="AL79" s="1"/>
      <c r="AN79" s="1"/>
      <c r="AO79" s="1"/>
      <c r="AP79" s="1"/>
      <c r="AQ79" s="1"/>
      <c r="AR79" s="1"/>
      <c r="AS79" s="1"/>
      <c r="AT79" s="1"/>
      <c r="AU79" s="1"/>
      <c r="AV79" s="1"/>
      <c r="AW79" s="1"/>
      <c r="AX79" s="1"/>
      <c r="AY79" s="1"/>
      <c r="AZ79" s="1"/>
      <c r="BA79" s="1"/>
      <c r="BB79" s="1">
        <f>(240/2240*60)*5.85434083601286</f>
        <v>37.635048231511242</v>
      </c>
      <c r="BC79" s="1"/>
      <c r="BD79" s="1"/>
      <c r="BE79" s="1"/>
      <c r="BF79" s="1"/>
      <c r="BG79" s="1"/>
      <c r="BH79" s="1"/>
      <c r="BI79" s="1"/>
      <c r="BJ79" s="1">
        <f>(240*60)*0.00330253311316446</f>
        <v>47.556476829568219</v>
      </c>
      <c r="BK79" s="1">
        <f>(240*60)*0.00334588074582805</f>
        <v>48.180682739923917</v>
      </c>
      <c r="BL79" s="1"/>
      <c r="BM79" s="1"/>
      <c r="BN79" s="1">
        <f>(240/112*60)*1.09405940594059</f>
        <v>140.66478076379011</v>
      </c>
      <c r="BO79" s="1"/>
      <c r="BP79" s="1"/>
      <c r="BQ79" s="1"/>
      <c r="BR79" s="3">
        <f>(240*60)*0.00437870308288064</f>
        <v>63.053324393481219</v>
      </c>
      <c r="BS79" s="1"/>
      <c r="BT79" s="1">
        <f>(240*60)*0.00360090022505626</f>
        <v>51.852963240810141</v>
      </c>
      <c r="BU79" s="1"/>
      <c r="BV79" s="1"/>
      <c r="BW79" s="1"/>
      <c r="BX79" s="1"/>
      <c r="BY79" s="1"/>
      <c r="BZ79" s="1"/>
      <c r="CA79" s="1"/>
      <c r="CB79" s="1"/>
      <c r="CC79" s="1"/>
      <c r="CD79" s="1"/>
      <c r="CE79" s="1"/>
      <c r="CF79" s="1"/>
      <c r="CG79" s="1"/>
      <c r="CH79" s="1"/>
      <c r="CI79" s="1"/>
      <c r="CJ79" s="1"/>
      <c r="CK79" s="1">
        <f>(240*60)*0.00568589743589744</f>
        <v>81.876923076923134</v>
      </c>
      <c r="CL79" s="1"/>
      <c r="CN79" s="1">
        <v>56.819805194805191</v>
      </c>
      <c r="CO79" s="1">
        <v>42.264437689969611</v>
      </c>
      <c r="CP79" s="1"/>
      <c r="CQ79" s="1"/>
      <c r="CR79" s="1"/>
      <c r="CS79" s="1"/>
      <c r="CT79" s="1"/>
      <c r="CU79" s="1"/>
      <c r="CV79" s="1"/>
      <c r="CW79" s="1">
        <f>(240/112*60)*0.441322314049587</f>
        <v>56.741440377804032</v>
      </c>
      <c r="CX79" s="1">
        <f>(240/112*60)*0.340104468949507</f>
        <v>43.727717436365182</v>
      </c>
      <c r="CY79" s="1"/>
      <c r="DD79" s="1">
        <v>38.423749089864003</v>
      </c>
      <c r="DE79">
        <v>45.657338628047206</v>
      </c>
    </row>
    <row r="80" spans="1:109" x14ac:dyDescent="0.25">
      <c r="A80" s="8">
        <f t="shared" si="4"/>
        <v>1913</v>
      </c>
      <c r="C80" s="17">
        <v>53.228571428571428</v>
      </c>
      <c r="D80" s="17">
        <v>47.5</v>
      </c>
      <c r="E80" s="1"/>
      <c r="F80" s="1"/>
      <c r="G80" s="17">
        <v>64.285714285714278</v>
      </c>
      <c r="H80" s="1"/>
      <c r="I80" s="1">
        <f>(240*60)*0.0038264266332603</f>
        <v>55.100543518948321</v>
      </c>
      <c r="J80" s="1">
        <f>(240*60)*0.00382605278569059</f>
        <v>55.095160113944502</v>
      </c>
      <c r="L80" s="1"/>
      <c r="M80" s="1"/>
      <c r="N80" s="1"/>
      <c r="O80" s="1"/>
      <c r="P80" s="1"/>
      <c r="Q80" s="1"/>
      <c r="R80" s="17">
        <v>90.818181818181813</v>
      </c>
      <c r="S80" s="1"/>
      <c r="U80" s="1"/>
      <c r="V80" s="1"/>
      <c r="W80" s="1"/>
      <c r="X80" s="1"/>
      <c r="Y80" s="1"/>
      <c r="Z80" s="1"/>
      <c r="AA80" s="1"/>
      <c r="AB80" s="1"/>
      <c r="AC80" s="1"/>
      <c r="AD80" s="1"/>
      <c r="AE80" s="1"/>
      <c r="AF80" s="17"/>
      <c r="AG80" s="1"/>
      <c r="AH80" s="1"/>
      <c r="AI80" s="1"/>
      <c r="AJ80" s="1"/>
      <c r="AK80" s="1"/>
      <c r="AL80" s="1"/>
      <c r="AM80" s="1"/>
      <c r="AN80" s="1"/>
      <c r="AO80" s="1"/>
      <c r="AQ80" s="1"/>
      <c r="AR80" s="1"/>
      <c r="AS80" s="1"/>
      <c r="AT80" s="1"/>
      <c r="AU80" s="1"/>
      <c r="AV80" s="1"/>
      <c r="AW80" s="1"/>
      <c r="AX80" s="1"/>
      <c r="AY80" s="1"/>
      <c r="AZ80" s="1"/>
      <c r="BA80" s="1"/>
      <c r="BB80" s="1">
        <f>(240/2240*60)*6.13745019920319</f>
        <v>39.455036994877645</v>
      </c>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N80" s="1">
        <v>59.934513703613874</v>
      </c>
      <c r="CO80" s="1">
        <v>39.489795918367356</v>
      </c>
      <c r="CP80" s="1"/>
      <c r="CQ80" s="1"/>
      <c r="CR80" s="1"/>
      <c r="CS80" s="1"/>
      <c r="CT80" s="1"/>
      <c r="CU80" s="1"/>
      <c r="CV80" s="1"/>
      <c r="CX80" s="1"/>
      <c r="CY80" s="1"/>
      <c r="DD80" s="1">
        <v>40.995690176821299</v>
      </c>
      <c r="DE80">
        <v>46.385323929528063</v>
      </c>
    </row>
    <row r="81" spans="1:109" x14ac:dyDescent="0.25">
      <c r="A81" s="8">
        <f t="shared" si="4"/>
        <v>1914</v>
      </c>
      <c r="C81" s="17">
        <v>55.349999999999994</v>
      </c>
      <c r="D81" s="17">
        <v>52.375</v>
      </c>
      <c r="E81" s="1"/>
      <c r="F81" s="1"/>
      <c r="G81" s="17"/>
      <c r="H81" s="1"/>
      <c r="I81" s="1"/>
      <c r="J81" s="1"/>
      <c r="K81" s="1"/>
      <c r="L81" s="1"/>
      <c r="M81" s="1"/>
      <c r="N81" s="1"/>
      <c r="O81" s="1"/>
      <c r="P81" s="1"/>
      <c r="Q81" s="1"/>
      <c r="R81" s="1"/>
      <c r="S81" s="1"/>
      <c r="U81" s="1"/>
      <c r="V81" s="1"/>
      <c r="W81" s="1"/>
      <c r="X81" s="1"/>
      <c r="Y81" s="1"/>
      <c r="Z81" s="1"/>
      <c r="AA81" s="1"/>
      <c r="AB81" s="1"/>
      <c r="AC81" s="1"/>
      <c r="AD81" s="1"/>
      <c r="AE81" s="1"/>
      <c r="AF81" s="17"/>
      <c r="AG81" s="1"/>
      <c r="AH81" s="1"/>
      <c r="AI81" s="1"/>
      <c r="AJ81" s="1"/>
      <c r="AK81" s="1"/>
      <c r="AL81" s="1"/>
      <c r="AM81" s="1"/>
      <c r="AN81" s="1"/>
      <c r="AO81" s="1"/>
      <c r="AP81" s="1"/>
      <c r="AQ81" s="1"/>
      <c r="AR81" s="1"/>
      <c r="AS81" s="1"/>
      <c r="AT81" s="1"/>
      <c r="AU81" s="1"/>
      <c r="AV81" s="1"/>
      <c r="AW81" s="1"/>
      <c r="AX81" s="1"/>
      <c r="AY81" s="1"/>
      <c r="AZ81" s="1"/>
      <c r="BA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X81" s="1"/>
      <c r="CY81" s="1"/>
      <c r="DD81" s="1">
        <v>32.347749107755632</v>
      </c>
      <c r="DE81">
        <v>47.940724902003488</v>
      </c>
    </row>
    <row r="82" spans="1:109" x14ac:dyDescent="0.25">
      <c r="A82" s="8">
        <f t="shared" si="4"/>
        <v>1915</v>
      </c>
      <c r="C82" s="17">
        <v>83.121428571428581</v>
      </c>
      <c r="D82" s="17">
        <v>79.25</v>
      </c>
      <c r="E82" s="1"/>
      <c r="F82" s="1"/>
      <c r="G82" s="17"/>
      <c r="H82" s="1"/>
      <c r="I82" s="1"/>
      <c r="J82" s="1"/>
      <c r="K82" s="1"/>
      <c r="L82" s="1"/>
      <c r="M82" s="1"/>
      <c r="N82" s="1"/>
      <c r="O82" s="1"/>
      <c r="P82" s="1"/>
      <c r="Q82" s="1"/>
      <c r="R82" s="1"/>
      <c r="S82" s="1"/>
      <c r="T82" s="1"/>
      <c r="U82" s="1"/>
      <c r="V82" s="1"/>
      <c r="W82" s="1"/>
      <c r="X82" s="1"/>
      <c r="Y82" s="1"/>
      <c r="Z82" s="1"/>
      <c r="AA82" s="1"/>
      <c r="AB82" s="1"/>
      <c r="AC82" s="1"/>
      <c r="AD82" s="1"/>
      <c r="AE82" s="1"/>
      <c r="AF82" s="17"/>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X82" s="1"/>
      <c r="CY82" s="1"/>
      <c r="DD82" s="1">
        <v>37.669130620015608</v>
      </c>
      <c r="DE82">
        <v>61.53109395415941</v>
      </c>
    </row>
    <row r="83" spans="1:109" x14ac:dyDescent="0.25">
      <c r="A83" s="8">
        <f t="shared" si="4"/>
        <v>1916</v>
      </c>
      <c r="C83" s="17">
        <v>92.507142857142853</v>
      </c>
      <c r="D83" s="17">
        <v>87.625</v>
      </c>
      <c r="E83" s="1"/>
      <c r="F83" s="1"/>
      <c r="G83" s="17"/>
      <c r="H83" s="1"/>
      <c r="I83" s="1"/>
      <c r="J83" s="1"/>
      <c r="K83" s="1"/>
      <c r="L83" s="1"/>
      <c r="M83" s="1"/>
      <c r="N83" s="1"/>
      <c r="O83" s="1"/>
      <c r="P83" s="1"/>
      <c r="Q83" s="1"/>
      <c r="R83" s="1"/>
      <c r="S83" s="1"/>
      <c r="U83" s="1"/>
      <c r="V83" s="1"/>
      <c r="W83" s="1"/>
      <c r="X83" s="1"/>
      <c r="Y83" s="1"/>
      <c r="Z83" s="1"/>
      <c r="AA83" s="1"/>
      <c r="AB83" s="1"/>
      <c r="AC83" s="1"/>
      <c r="AD83" s="1"/>
      <c r="AE83" s="1"/>
      <c r="AF83" s="17"/>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X83" s="1"/>
      <c r="CY83" s="1"/>
      <c r="DD83" s="1">
        <v>36.203562794517651</v>
      </c>
      <c r="DE83">
        <v>59.067468287238682</v>
      </c>
    </row>
    <row r="84" spans="1:109" x14ac:dyDescent="0.25">
      <c r="A84" s="8">
        <f t="shared" si="4"/>
        <v>1917</v>
      </c>
      <c r="C84" s="17">
        <v>118.80000000000001</v>
      </c>
      <c r="D84" s="17">
        <v>113.625</v>
      </c>
      <c r="E84" s="1"/>
      <c r="F84" s="1"/>
      <c r="G84" s="17"/>
      <c r="H84" s="1"/>
      <c r="I84" s="1"/>
      <c r="J84" s="1"/>
      <c r="K84" s="1"/>
      <c r="L84" s="1"/>
      <c r="M84" s="1"/>
      <c r="N84" s="1"/>
      <c r="O84" s="1"/>
      <c r="P84" s="1"/>
      <c r="Q84" s="1"/>
      <c r="R84" s="1"/>
      <c r="S84" s="1"/>
      <c r="U84" s="1"/>
      <c r="V84" s="1"/>
      <c r="W84" s="1"/>
      <c r="X84" s="1"/>
      <c r="Y84" s="1"/>
      <c r="Z84" s="1"/>
      <c r="AA84" s="1"/>
      <c r="AB84" s="1"/>
      <c r="AC84" s="1"/>
      <c r="AD84" s="1"/>
      <c r="AE84" s="1"/>
      <c r="AF84" s="17"/>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X84" s="1"/>
      <c r="CY84" s="1"/>
      <c r="DD84" s="1">
        <v>35.771624143382873</v>
      </c>
      <c r="DE84">
        <v>68.934191392639377</v>
      </c>
    </row>
    <row r="85" spans="1:109" x14ac:dyDescent="0.25">
      <c r="A85" s="8">
        <f t="shared" si="4"/>
        <v>1918</v>
      </c>
      <c r="C85" s="17">
        <v>117.83571428571427</v>
      </c>
      <c r="D85" s="17">
        <v>109.25</v>
      </c>
      <c r="E85" s="1"/>
      <c r="F85" s="1"/>
      <c r="G85" s="17"/>
      <c r="H85" s="1"/>
      <c r="I85" s="1"/>
      <c r="J85" s="1"/>
      <c r="K85" s="1"/>
      <c r="L85" s="1"/>
      <c r="M85" s="1"/>
      <c r="N85" s="1"/>
      <c r="O85" s="1"/>
      <c r="P85" s="1"/>
      <c r="Q85" s="1"/>
      <c r="R85" s="1"/>
      <c r="S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X85" s="1"/>
      <c r="CY85" s="1"/>
      <c r="DD85" s="1">
        <v>42.891739838038283</v>
      </c>
      <c r="DE85">
        <v>77.59510895307055</v>
      </c>
    </row>
    <row r="86" spans="1:109" x14ac:dyDescent="0.25">
      <c r="A86" s="8">
        <f t="shared" si="4"/>
        <v>1919</v>
      </c>
      <c r="C86" s="17">
        <v>123.10714285714283</v>
      </c>
      <c r="D86" s="17">
        <v>109.375</v>
      </c>
      <c r="E86" s="1"/>
      <c r="F86" s="1"/>
      <c r="G86" s="17">
        <v>48.979591836734684</v>
      </c>
      <c r="H86" s="1"/>
      <c r="I86" s="1"/>
      <c r="J86" s="1"/>
      <c r="K86" s="1"/>
      <c r="L86" s="1"/>
      <c r="M86" s="1"/>
      <c r="N86" s="1"/>
      <c r="O86" s="1"/>
      <c r="P86" s="1"/>
      <c r="Q86" s="1"/>
      <c r="R86" s="1"/>
      <c r="S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X86" s="1"/>
      <c r="CY86" s="1"/>
      <c r="DD86" s="1">
        <v>55.703926309381202</v>
      </c>
      <c r="DE86">
        <v>95.968160394407732</v>
      </c>
    </row>
    <row r="87" spans="1:109" x14ac:dyDescent="0.25">
      <c r="A87" s="8">
        <f t="shared" si="4"/>
        <v>1920</v>
      </c>
      <c r="C87" s="17">
        <v>172.60714285714286</v>
      </c>
      <c r="D87" s="17">
        <v>121.25</v>
      </c>
      <c r="E87" s="1"/>
      <c r="F87" s="1"/>
      <c r="G87" s="17">
        <v>48.214285714285708</v>
      </c>
      <c r="H87" s="1"/>
      <c r="I87" s="1"/>
      <c r="J87" s="1"/>
      <c r="K87" s="1"/>
      <c r="L87" s="1"/>
      <c r="M87" s="1"/>
      <c r="N87" s="1"/>
      <c r="O87" s="1"/>
      <c r="P87" s="1"/>
      <c r="Q87" s="1"/>
      <c r="R87" s="1"/>
      <c r="S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X87" s="1"/>
      <c r="CY87" s="1"/>
      <c r="DD87" s="1">
        <v>68.590947070074805</v>
      </c>
      <c r="DE87">
        <v>96.438539834258222</v>
      </c>
    </row>
    <row r="88" spans="1:109" x14ac:dyDescent="0.25">
      <c r="A88" s="8">
        <f t="shared" si="4"/>
        <v>1921</v>
      </c>
      <c r="C88" s="17"/>
      <c r="D88" s="17">
        <v>107.25</v>
      </c>
      <c r="E88" s="1"/>
      <c r="F88" s="1"/>
      <c r="G88" s="17">
        <v>48.373408769448368</v>
      </c>
      <c r="H88" s="1"/>
      <c r="I88" s="1"/>
      <c r="J88" s="1"/>
      <c r="K88" s="1"/>
      <c r="L88" s="1"/>
      <c r="M88" s="1"/>
      <c r="N88" s="1"/>
      <c r="O88" s="1"/>
      <c r="P88" s="1"/>
      <c r="Q88" s="1"/>
      <c r="R88" s="1"/>
      <c r="S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DD88" s="1">
        <v>46.824624038712201</v>
      </c>
      <c r="DE88">
        <v>105.31250008928572</v>
      </c>
    </row>
    <row r="89" spans="1:109" x14ac:dyDescent="0.25">
      <c r="A89" s="8">
        <f t="shared" si="4"/>
        <v>1922</v>
      </c>
      <c r="C89" s="17"/>
      <c r="D89" s="17">
        <v>71.75</v>
      </c>
      <c r="E89" s="1"/>
      <c r="F89" s="1"/>
      <c r="G89" s="17">
        <v>48.149219201850777</v>
      </c>
      <c r="H89" s="1"/>
      <c r="I89" s="1"/>
      <c r="J89" s="1"/>
      <c r="K89" s="1"/>
      <c r="L89" s="1"/>
      <c r="M89" s="1"/>
      <c r="N89" s="1"/>
      <c r="O89" s="1"/>
      <c r="P89" s="1"/>
      <c r="Q89" s="1"/>
      <c r="R89" s="1"/>
      <c r="S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DD89" s="1">
        <v>64.25030413625305</v>
      </c>
    </row>
    <row r="90" spans="1:109" x14ac:dyDescent="0.25">
      <c r="A90" s="8">
        <f t="shared" si="4"/>
        <v>1923</v>
      </c>
      <c r="C90" s="17"/>
      <c r="D90" s="17">
        <v>63.214285714285715</v>
      </c>
      <c r="E90" s="1"/>
      <c r="F90" s="1"/>
      <c r="G90" s="17">
        <v>68.303571428571431</v>
      </c>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DD90" s="1">
        <v>41.563080438607926</v>
      </c>
    </row>
    <row r="91" spans="1:109" x14ac:dyDescent="0.25">
      <c r="A91" s="8">
        <f t="shared" si="4"/>
        <v>1924</v>
      </c>
      <c r="C91" s="17"/>
      <c r="D91" s="17">
        <v>73.928571428571431</v>
      </c>
      <c r="E91" s="1"/>
      <c r="F91" s="1"/>
      <c r="G91" s="17">
        <v>40.674408842871131</v>
      </c>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DD91" s="1">
        <v>40.181103634428233</v>
      </c>
    </row>
    <row r="92" spans="1:109" x14ac:dyDescent="0.25">
      <c r="A92" s="8">
        <f t="shared" si="4"/>
        <v>1925</v>
      </c>
      <c r="C92" s="17"/>
      <c r="D92" s="17">
        <v>78.214285714285708</v>
      </c>
      <c r="E92" s="1"/>
      <c r="F92" s="1"/>
      <c r="G92" s="17">
        <v>61.490683229813662</v>
      </c>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DD92" s="1">
        <v>44.039268878171704</v>
      </c>
    </row>
    <row r="93" spans="1:109" x14ac:dyDescent="0.25">
      <c r="A93" s="8">
        <f t="shared" si="4"/>
        <v>1926</v>
      </c>
      <c r="C93" s="17"/>
      <c r="D93" s="17">
        <v>79.821428571428569</v>
      </c>
      <c r="E93" s="1"/>
      <c r="F93" s="1"/>
      <c r="G93" s="17">
        <v>77.142857142857139</v>
      </c>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DD93" s="1">
        <v>45.807379920490099</v>
      </c>
    </row>
    <row r="94" spans="1:109" x14ac:dyDescent="0.25">
      <c r="A94" s="8">
        <f t="shared" si="4"/>
        <v>1927</v>
      </c>
      <c r="C94" s="17"/>
      <c r="D94" s="17">
        <v>73.928571428571431</v>
      </c>
      <c r="E94" s="1"/>
      <c r="F94" s="1"/>
      <c r="G94" s="17">
        <v>49.404761904761898</v>
      </c>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DD94" s="1">
        <v>44.307129415406678</v>
      </c>
    </row>
    <row r="95" spans="1:109" x14ac:dyDescent="0.25">
      <c r="A95" s="8">
        <f t="shared" si="4"/>
        <v>1928</v>
      </c>
      <c r="C95" s="17"/>
      <c r="D95" s="17">
        <v>64.285714285714292</v>
      </c>
      <c r="E95" s="1"/>
      <c r="F95" s="1"/>
      <c r="G95" s="17">
        <v>55.102040816326522</v>
      </c>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DD95" s="1">
        <v>42.277919436478975</v>
      </c>
    </row>
    <row r="96" spans="1:109" x14ac:dyDescent="0.25">
      <c r="A96" s="8">
        <f t="shared" si="4"/>
        <v>1929</v>
      </c>
      <c r="C96" s="17"/>
      <c r="D96" s="17">
        <v>63.214285714285715</v>
      </c>
      <c r="E96" s="1"/>
      <c r="F96" s="1"/>
      <c r="G96" s="17">
        <v>53.230209281164697</v>
      </c>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DD96" s="1">
        <v>47.723384004605499</v>
      </c>
    </row>
    <row r="97" spans="1:108" x14ac:dyDescent="0.25">
      <c r="A97" s="8">
        <f t="shared" si="4"/>
        <v>1930</v>
      </c>
      <c r="C97" s="17"/>
      <c r="D97" s="17">
        <v>51.428571428571431</v>
      </c>
      <c r="E97" s="1"/>
      <c r="F97" s="1"/>
      <c r="G97" s="17">
        <v>31.571428571428573</v>
      </c>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DD97" s="1">
        <v>34.382705636999326</v>
      </c>
    </row>
    <row r="98" spans="1:108" x14ac:dyDescent="0.25">
      <c r="A98" s="8">
        <f t="shared" si="4"/>
        <v>1931</v>
      </c>
      <c r="C98" s="17"/>
      <c r="D98" s="17">
        <v>36.964285714285715</v>
      </c>
      <c r="E98" s="1"/>
      <c r="F98" s="1"/>
      <c r="G98" s="17">
        <v>25.346938775510203</v>
      </c>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DD98" s="1">
        <v>23.918514486086405</v>
      </c>
    </row>
    <row r="99" spans="1:108" x14ac:dyDescent="0.25">
      <c r="A99" s="8">
        <f t="shared" si="4"/>
        <v>1932</v>
      </c>
      <c r="C99" s="17"/>
      <c r="D99" s="17">
        <v>38.035714285714285</v>
      </c>
      <c r="E99" s="1"/>
      <c r="F99" s="1"/>
      <c r="G99" s="17">
        <v>31.153846153846153</v>
      </c>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row>
    <row r="100" spans="1:108" x14ac:dyDescent="0.25">
      <c r="A100" s="8">
        <f t="shared" si="4"/>
        <v>1933</v>
      </c>
      <c r="C100" s="17"/>
      <c r="D100" s="17">
        <v>34.285714285714285</v>
      </c>
      <c r="E100" s="1"/>
      <c r="F100" s="1"/>
      <c r="G100" s="17">
        <v>30.055658627087194</v>
      </c>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row>
    <row r="101" spans="1:108" x14ac:dyDescent="0.25">
      <c r="A101" s="8">
        <f t="shared" si="4"/>
        <v>1934</v>
      </c>
      <c r="C101" s="17"/>
      <c r="D101" s="17">
        <v>31.071428571428573</v>
      </c>
      <c r="E101" s="1"/>
      <c r="F101" s="1"/>
      <c r="G101" s="17">
        <v>28.222996515679444</v>
      </c>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row>
    <row r="102" spans="1:108" x14ac:dyDescent="0.25">
      <c r="A102" s="8">
        <f t="shared" si="4"/>
        <v>1935</v>
      </c>
      <c r="C102" s="17"/>
      <c r="D102" s="17">
        <v>33.214285714285715</v>
      </c>
      <c r="E102" s="1"/>
      <c r="F102" s="1"/>
      <c r="G102" s="17">
        <v>6.4529220779220786</v>
      </c>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row>
    <row r="103" spans="1:108" x14ac:dyDescent="0.25">
      <c r="A103" s="8">
        <f t="shared" si="4"/>
        <v>1936</v>
      </c>
      <c r="C103" s="17"/>
      <c r="D103" s="17">
        <v>46.071428571428569</v>
      </c>
      <c r="E103" s="1"/>
      <c r="F103" s="1"/>
      <c r="G103" s="17">
        <v>34.322033898305079</v>
      </c>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row>
    <row r="104" spans="1:108" x14ac:dyDescent="0.25">
      <c r="A104" s="8">
        <f t="shared" ref="A104:A135" si="5">A103+1</f>
        <v>1937</v>
      </c>
      <c r="C104" s="17"/>
      <c r="D104" s="17">
        <v>60</v>
      </c>
      <c r="E104" s="1"/>
      <c r="F104" s="1"/>
      <c r="G104" s="17">
        <v>41.51312468450277</v>
      </c>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row>
    <row r="105" spans="1:108" x14ac:dyDescent="0.25">
      <c r="A105" s="8">
        <f t="shared" si="5"/>
        <v>1938</v>
      </c>
      <c r="C105" s="17"/>
      <c r="D105" s="17">
        <v>43.392857142857146</v>
      </c>
      <c r="E105" s="1"/>
      <c r="F105" s="1"/>
      <c r="G105" s="17">
        <v>36.753786753786756</v>
      </c>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row>
    <row r="106" spans="1:108" x14ac:dyDescent="0.25">
      <c r="A106" s="8">
        <f t="shared" si="5"/>
        <v>1939</v>
      </c>
      <c r="C106" s="17"/>
      <c r="D106" s="17">
        <v>32.142857142857146</v>
      </c>
      <c r="E106" s="1"/>
      <c r="F106" s="1"/>
      <c r="G106" s="17">
        <v>30.15017327685791</v>
      </c>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row>
    <row r="107" spans="1:108" x14ac:dyDescent="0.25">
      <c r="A107" s="8">
        <f t="shared" si="5"/>
        <v>1940</v>
      </c>
      <c r="C107" s="17"/>
      <c r="D107" s="17">
        <v>64.285714285714292</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row>
    <row r="108" spans="1:108" x14ac:dyDescent="0.25">
      <c r="A108" s="8">
        <f t="shared" si="5"/>
        <v>1941</v>
      </c>
      <c r="C108" s="17"/>
      <c r="D108" s="17"/>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row>
    <row r="109" spans="1:108" x14ac:dyDescent="0.25">
      <c r="A109" s="8">
        <f t="shared" si="5"/>
        <v>1942</v>
      </c>
      <c r="C109" s="17"/>
      <c r="D109" s="17"/>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row>
    <row r="110" spans="1:108" x14ac:dyDescent="0.25">
      <c r="A110" s="8">
        <f t="shared" si="5"/>
        <v>1943</v>
      </c>
      <c r="C110" s="17"/>
      <c r="D110" s="17"/>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row>
    <row r="111" spans="1:108" x14ac:dyDescent="0.25">
      <c r="A111" s="8">
        <f t="shared" si="5"/>
        <v>1944</v>
      </c>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row>
    <row r="112" spans="1:108" x14ac:dyDescent="0.25">
      <c r="A112" s="8">
        <f t="shared" si="5"/>
        <v>1945</v>
      </c>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row>
    <row r="113" spans="1:103" x14ac:dyDescent="0.25">
      <c r="A113" s="8">
        <f t="shared" si="5"/>
        <v>1946</v>
      </c>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row>
    <row r="114" spans="1:103" x14ac:dyDescent="0.25">
      <c r="A114" s="8">
        <f t="shared" si="5"/>
        <v>1947</v>
      </c>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row>
    <row r="115" spans="1:103" x14ac:dyDescent="0.25">
      <c r="A115" s="8">
        <f t="shared" si="5"/>
        <v>1948</v>
      </c>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row>
    <row r="116" spans="1:103" x14ac:dyDescent="0.25">
      <c r="A116" s="8">
        <f t="shared" si="5"/>
        <v>1949</v>
      </c>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row>
    <row r="117" spans="1:103" x14ac:dyDescent="0.25">
      <c r="A117" s="8">
        <f t="shared" si="5"/>
        <v>1950</v>
      </c>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row>
    <row r="118" spans="1:103" x14ac:dyDescent="0.25">
      <c r="A118" s="8">
        <f t="shared" si="5"/>
        <v>1951</v>
      </c>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row>
    <row r="119" spans="1:103" x14ac:dyDescent="0.25">
      <c r="A119" s="8">
        <f t="shared" si="5"/>
        <v>1952</v>
      </c>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row>
    <row r="120" spans="1:103" x14ac:dyDescent="0.25">
      <c r="A120" s="8">
        <f t="shared" si="5"/>
        <v>1953</v>
      </c>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row>
    <row r="121" spans="1:103" x14ac:dyDescent="0.25">
      <c r="A121" s="8">
        <f t="shared" si="5"/>
        <v>1954</v>
      </c>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row>
    <row r="122" spans="1:103" x14ac:dyDescent="0.25">
      <c r="A122" s="8">
        <f t="shared" si="5"/>
        <v>1955</v>
      </c>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row>
    <row r="123" spans="1:103" x14ac:dyDescent="0.25">
      <c r="A123" s="8">
        <f t="shared" si="5"/>
        <v>1956</v>
      </c>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row>
    <row r="124" spans="1:103" x14ac:dyDescent="0.25">
      <c r="A124" s="8">
        <f t="shared" si="5"/>
        <v>1957</v>
      </c>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row>
    <row r="125" spans="1:103" x14ac:dyDescent="0.25">
      <c r="A125" s="8">
        <f t="shared" si="5"/>
        <v>1958</v>
      </c>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row>
    <row r="126" spans="1:103" x14ac:dyDescent="0.25">
      <c r="A126" s="8">
        <f t="shared" si="5"/>
        <v>1959</v>
      </c>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row>
    <row r="127" spans="1:103" x14ac:dyDescent="0.25">
      <c r="A127" s="8">
        <f t="shared" si="5"/>
        <v>1960</v>
      </c>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row>
    <row r="128" spans="1:103" x14ac:dyDescent="0.25">
      <c r="A128" s="8">
        <f t="shared" si="5"/>
        <v>1961</v>
      </c>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row>
    <row r="129" spans="1:103" x14ac:dyDescent="0.25">
      <c r="A129" s="8">
        <f t="shared" si="5"/>
        <v>1962</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row>
    <row r="130" spans="1:103" x14ac:dyDescent="0.25">
      <c r="A130" s="8">
        <f t="shared" si="5"/>
        <v>1963</v>
      </c>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row>
    <row r="131" spans="1:103" x14ac:dyDescent="0.25">
      <c r="A131" s="8">
        <f t="shared" si="5"/>
        <v>1964</v>
      </c>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row>
    <row r="132" spans="1:103" x14ac:dyDescent="0.25">
      <c r="A132" s="8">
        <f t="shared" si="5"/>
        <v>1965</v>
      </c>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row>
    <row r="133" spans="1:103" x14ac:dyDescent="0.25">
      <c r="A133" s="8">
        <f t="shared" si="5"/>
        <v>1966</v>
      </c>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row>
    <row r="134" spans="1:103" x14ac:dyDescent="0.25">
      <c r="A134" s="8">
        <f t="shared" si="5"/>
        <v>1967</v>
      </c>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row>
    <row r="135" spans="1:103" x14ac:dyDescent="0.25">
      <c r="A135" s="8">
        <f t="shared" si="5"/>
        <v>1968</v>
      </c>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row>
    <row r="136" spans="1:103" x14ac:dyDescent="0.25">
      <c r="A136" s="8">
        <f t="shared" ref="A136:A145" si="6">A135+1</f>
        <v>1969</v>
      </c>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row>
    <row r="137" spans="1:103" x14ac:dyDescent="0.25">
      <c r="A137" s="8">
        <f t="shared" si="6"/>
        <v>1970</v>
      </c>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row>
    <row r="138" spans="1:103" x14ac:dyDescent="0.25">
      <c r="A138" s="8">
        <f t="shared" si="6"/>
        <v>1971</v>
      </c>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row>
    <row r="139" spans="1:103" x14ac:dyDescent="0.25">
      <c r="A139" s="8">
        <f t="shared" si="6"/>
        <v>1972</v>
      </c>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row>
    <row r="140" spans="1:103" x14ac:dyDescent="0.25">
      <c r="A140" s="8">
        <f t="shared" si="6"/>
        <v>1973</v>
      </c>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row>
    <row r="141" spans="1:103" x14ac:dyDescent="0.25">
      <c r="A141" s="8">
        <f t="shared" si="6"/>
        <v>1974</v>
      </c>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row>
    <row r="142" spans="1:103" x14ac:dyDescent="0.25">
      <c r="A142" s="8">
        <f t="shared" si="6"/>
        <v>1975</v>
      </c>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row>
    <row r="143" spans="1:103" x14ac:dyDescent="0.25">
      <c r="A143" s="8">
        <f t="shared" si="6"/>
        <v>1976</v>
      </c>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row>
    <row r="144" spans="1:103" x14ac:dyDescent="0.25">
      <c r="A144" s="8">
        <f t="shared" si="6"/>
        <v>1977</v>
      </c>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row>
    <row r="145" spans="1:103" x14ac:dyDescent="0.25">
      <c r="A145" s="8">
        <f t="shared" si="6"/>
        <v>1978</v>
      </c>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row>
    <row r="146" spans="1:103" x14ac:dyDescent="0.25">
      <c r="C146" s="1"/>
      <c r="D146" s="1"/>
      <c r="E146" s="1"/>
      <c r="F146" s="1"/>
      <c r="G146" s="1"/>
      <c r="H146" s="1"/>
      <c r="I146" s="1"/>
      <c r="J146" s="1"/>
      <c r="K146" s="1"/>
      <c r="L146" s="1"/>
      <c r="M146" s="1"/>
      <c r="N146" s="1"/>
      <c r="O146" s="1"/>
      <c r="P146" s="1"/>
      <c r="Q146" s="1"/>
      <c r="R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row>
    <row r="147" spans="1:103" x14ac:dyDescent="0.25">
      <c r="C147" s="1"/>
      <c r="D147" s="1"/>
      <c r="E147" s="1"/>
      <c r="F147" s="1"/>
      <c r="G147" s="1"/>
      <c r="H147" s="1"/>
      <c r="I147" s="1"/>
      <c r="J147" s="1"/>
      <c r="K147" s="1"/>
      <c r="L147" s="1"/>
      <c r="M147" s="1"/>
      <c r="N147" s="1"/>
      <c r="O147" s="1"/>
      <c r="P147" s="1"/>
      <c r="Q147" s="1"/>
      <c r="R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row>
    <row r="148" spans="1:103" x14ac:dyDescent="0.25">
      <c r="C148" s="1"/>
      <c r="D148" s="1"/>
      <c r="E148" s="1"/>
      <c r="F148" s="1"/>
      <c r="G148" s="1"/>
      <c r="H148" s="1"/>
      <c r="I148" s="1"/>
      <c r="J148" s="1"/>
      <c r="K148" s="1"/>
      <c r="L148" s="1"/>
      <c r="M148" s="1"/>
      <c r="N148" s="1"/>
      <c r="O148" s="1"/>
      <c r="P148" s="1"/>
      <c r="Q148" s="1"/>
      <c r="R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row>
    <row r="149" spans="1:103" x14ac:dyDescent="0.25">
      <c r="C149" s="1"/>
      <c r="D149" s="1"/>
      <c r="E149" s="1"/>
      <c r="F149" s="1"/>
      <c r="G149" s="1"/>
      <c r="H149" s="1"/>
      <c r="I149" s="1"/>
      <c r="J149" s="1"/>
      <c r="K149" s="1"/>
      <c r="L149" s="1"/>
      <c r="M149" s="1"/>
      <c r="N149" s="1"/>
      <c r="O149" s="1"/>
      <c r="P149" s="1"/>
      <c r="Q149" s="1"/>
      <c r="R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row>
    <row r="150" spans="1:103" x14ac:dyDescent="0.25">
      <c r="C150" s="1"/>
      <c r="D150" s="1"/>
      <c r="E150" s="1"/>
      <c r="F150" s="1"/>
      <c r="G150" s="1"/>
      <c r="H150" s="1"/>
      <c r="I150" s="1"/>
      <c r="J150" s="1"/>
      <c r="K150" s="1"/>
      <c r="L150" s="1"/>
      <c r="M150" s="1"/>
      <c r="N150" s="1"/>
      <c r="O150" s="1"/>
      <c r="P150" s="1"/>
      <c r="Q150" s="1"/>
      <c r="R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row>
    <row r="151" spans="1:103" x14ac:dyDescent="0.25">
      <c r="C151" s="1"/>
      <c r="D151" s="1"/>
      <c r="E151" s="1"/>
      <c r="F151" s="1"/>
      <c r="G151" s="1"/>
      <c r="H151" s="1"/>
      <c r="I151" s="1"/>
      <c r="J151" s="1"/>
      <c r="K151" s="1"/>
      <c r="L151" s="1"/>
      <c r="M151" s="1"/>
      <c r="N151" s="1"/>
      <c r="O151" s="1"/>
      <c r="P151" s="1"/>
      <c r="Q151" s="1"/>
      <c r="R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row>
    <row r="152" spans="1:103" x14ac:dyDescent="0.25">
      <c r="C152" s="1"/>
      <c r="D152" s="1"/>
      <c r="E152" s="1"/>
      <c r="F152" s="1"/>
      <c r="G152" s="1"/>
      <c r="H152" s="1"/>
      <c r="I152" s="1"/>
      <c r="J152" s="1"/>
      <c r="K152" s="1"/>
      <c r="L152" s="1"/>
      <c r="M152" s="1"/>
      <c r="N152" s="1"/>
      <c r="O152" s="1"/>
      <c r="P152" s="1"/>
      <c r="Q152" s="1"/>
      <c r="R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row>
    <row r="153" spans="1:103" x14ac:dyDescent="0.25">
      <c r="C153" s="1"/>
      <c r="D153" s="1"/>
      <c r="E153" s="1"/>
      <c r="F153" s="1"/>
      <c r="G153" s="1"/>
      <c r="H153" s="1"/>
      <c r="I153" s="1"/>
      <c r="J153" s="1"/>
      <c r="K153" s="1"/>
      <c r="L153" s="1"/>
      <c r="M153" s="1"/>
      <c r="N153" s="1"/>
      <c r="O153" s="1"/>
      <c r="P153" s="1"/>
      <c r="Q153" s="1"/>
      <c r="R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row>
    <row r="154" spans="1:103" x14ac:dyDescent="0.25">
      <c r="C154" s="1"/>
      <c r="D154" s="1"/>
      <c r="E154" s="1"/>
      <c r="F154" s="1"/>
      <c r="G154" s="1"/>
      <c r="H154" s="1"/>
      <c r="I154" s="1"/>
      <c r="J154" s="1"/>
      <c r="K154" s="1"/>
      <c r="L154" s="1"/>
      <c r="M154" s="1"/>
      <c r="N154" s="1"/>
      <c r="O154" s="1"/>
      <c r="P154" s="1"/>
      <c r="Q154" s="1"/>
      <c r="R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row>
    <row r="155" spans="1:103" x14ac:dyDescent="0.25">
      <c r="C155" s="1"/>
      <c r="D155" s="1"/>
      <c r="E155" s="1"/>
      <c r="F155" s="1"/>
      <c r="G155" s="1"/>
      <c r="H155" s="1"/>
      <c r="I155" s="1"/>
      <c r="J155" s="1"/>
      <c r="K155" s="1"/>
      <c r="L155" s="1"/>
      <c r="M155" s="1"/>
      <c r="N155" s="1"/>
      <c r="O155" s="1"/>
      <c r="P155" s="1"/>
      <c r="Q155" s="1"/>
      <c r="R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row>
    <row r="156" spans="1:103" x14ac:dyDescent="0.25">
      <c r="C156" s="1"/>
      <c r="D156" s="1"/>
      <c r="E156" s="1"/>
      <c r="F156" s="1"/>
      <c r="G156" s="1"/>
      <c r="H156" s="1"/>
      <c r="I156" s="1"/>
      <c r="J156" s="1"/>
      <c r="K156" s="1"/>
      <c r="L156" s="1"/>
      <c r="M156" s="1"/>
      <c r="N156" s="1"/>
      <c r="O156" s="1"/>
      <c r="P156" s="1"/>
      <c r="Q156" s="1"/>
      <c r="R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row>
    <row r="157" spans="1:103" x14ac:dyDescent="0.25">
      <c r="C157" s="1"/>
      <c r="D157" s="1"/>
      <c r="E157" s="1"/>
      <c r="F157" s="1"/>
      <c r="G157" s="1"/>
      <c r="H157" s="1"/>
      <c r="I157" s="1"/>
      <c r="J157" s="1"/>
      <c r="K157" s="1"/>
      <c r="L157" s="1"/>
      <c r="M157" s="1"/>
      <c r="N157" s="1"/>
      <c r="O157" s="1"/>
      <c r="P157" s="1"/>
      <c r="Q157" s="1"/>
      <c r="R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row>
    <row r="158" spans="1:103" x14ac:dyDescent="0.25">
      <c r="C158" s="1"/>
      <c r="D158" s="1"/>
      <c r="E158" s="1"/>
      <c r="F158" s="1"/>
      <c r="G158" s="1"/>
      <c r="H158" s="1"/>
      <c r="I158" s="1"/>
      <c r="J158" s="1"/>
      <c r="K158" s="1"/>
      <c r="L158" s="1"/>
      <c r="M158" s="1"/>
      <c r="N158" s="1"/>
      <c r="O158" s="1"/>
      <c r="P158" s="1"/>
      <c r="Q158" s="1"/>
      <c r="R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row>
    <row r="159" spans="1:103" x14ac:dyDescent="0.25">
      <c r="C159" s="1"/>
      <c r="D159" s="1"/>
      <c r="E159" s="1"/>
      <c r="F159" s="1"/>
      <c r="G159" s="1"/>
      <c r="H159" s="1"/>
      <c r="I159" s="1"/>
      <c r="J159" s="1"/>
      <c r="K159" s="1"/>
      <c r="L159" s="1"/>
      <c r="M159" s="1"/>
      <c r="N159" s="1"/>
      <c r="O159" s="1"/>
      <c r="P159" s="1"/>
      <c r="Q159" s="1"/>
      <c r="R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row>
    <row r="160" spans="1:103" x14ac:dyDescent="0.25">
      <c r="C160" s="1"/>
      <c r="D160" s="1"/>
      <c r="E160" s="1"/>
      <c r="F160" s="1"/>
      <c r="G160" s="1"/>
      <c r="H160" s="1"/>
      <c r="I160" s="1"/>
      <c r="J160" s="1"/>
      <c r="K160" s="1"/>
      <c r="L160" s="1"/>
      <c r="M160" s="1"/>
      <c r="N160" s="1"/>
      <c r="O160" s="1"/>
      <c r="P160" s="1"/>
      <c r="Q160" s="1"/>
      <c r="R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row>
    <row r="161" spans="3:87" x14ac:dyDescent="0.25">
      <c r="C161" s="1"/>
      <c r="D161" s="1"/>
      <c r="E161" s="1"/>
      <c r="F161" s="1"/>
      <c r="G161" s="1"/>
      <c r="H161" s="1"/>
      <c r="I161" s="1"/>
      <c r="J161" s="1"/>
      <c r="K161" s="1"/>
      <c r="L161" s="1"/>
      <c r="M161" s="1"/>
      <c r="N161" s="1"/>
      <c r="O161" s="1"/>
      <c r="P161" s="1"/>
      <c r="Q161" s="1"/>
      <c r="R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row>
    <row r="162" spans="3:87" x14ac:dyDescent="0.25">
      <c r="C162" s="1"/>
      <c r="D162" s="1"/>
      <c r="E162" s="1"/>
      <c r="F162" s="1"/>
      <c r="G162" s="1"/>
      <c r="H162" s="1"/>
      <c r="I162" s="1"/>
      <c r="J162" s="1"/>
      <c r="K162" s="1"/>
      <c r="L162" s="1"/>
      <c r="M162" s="1"/>
      <c r="N162" s="1"/>
      <c r="O162" s="1"/>
      <c r="P162" s="1"/>
      <c r="Q162" s="1"/>
      <c r="R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row>
    <row r="163" spans="3:87" x14ac:dyDescent="0.25">
      <c r="C163" s="1"/>
      <c r="D163" s="1"/>
      <c r="E163" s="1"/>
      <c r="F163" s="1"/>
      <c r="G163" s="1"/>
      <c r="H163" s="1"/>
      <c r="I163" s="1"/>
      <c r="J163" s="1"/>
      <c r="K163" s="1"/>
      <c r="L163" s="1"/>
      <c r="M163" s="1"/>
      <c r="N163" s="1"/>
      <c r="O163" s="1"/>
      <c r="P163" s="1"/>
      <c r="Q163" s="1"/>
      <c r="R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row>
    <row r="164" spans="3:87" x14ac:dyDescent="0.25">
      <c r="C164" s="1"/>
      <c r="D164" s="1"/>
      <c r="E164" s="1"/>
      <c r="F164" s="1"/>
      <c r="G164" s="1"/>
      <c r="H164" s="1"/>
      <c r="I164" s="1"/>
      <c r="J164" s="1"/>
      <c r="K164" s="1"/>
      <c r="L164" s="1"/>
      <c r="M164" s="1"/>
      <c r="N164" s="1"/>
      <c r="O164" s="1"/>
      <c r="P164" s="1"/>
      <c r="Q164" s="1"/>
      <c r="R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row>
    <row r="165" spans="3:87" x14ac:dyDescent="0.25">
      <c r="C165" s="1"/>
      <c r="D165" s="1"/>
      <c r="E165" s="1"/>
      <c r="F165" s="1"/>
      <c r="G165" s="1"/>
      <c r="H165" s="1"/>
      <c r="I165" s="1"/>
      <c r="J165" s="1"/>
      <c r="K165" s="1"/>
      <c r="L165" s="1"/>
      <c r="M165" s="1"/>
      <c r="N165" s="1"/>
      <c r="O165" s="1"/>
      <c r="P165" s="1"/>
      <c r="Q165" s="1"/>
      <c r="R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row>
    <row r="166" spans="3:87" x14ac:dyDescent="0.25">
      <c r="C166" s="1"/>
      <c r="D166" s="1"/>
      <c r="E166" s="1"/>
      <c r="F166" s="1"/>
      <c r="G166" s="1"/>
      <c r="H166" s="1"/>
      <c r="I166" s="1"/>
      <c r="J166" s="1"/>
      <c r="K166" s="1"/>
      <c r="L166" s="1"/>
      <c r="M166" s="1"/>
      <c r="N166" s="1"/>
      <c r="O166" s="1"/>
      <c r="P166" s="1"/>
      <c r="Q166" s="1"/>
      <c r="R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row>
    <row r="167" spans="3:87" x14ac:dyDescent="0.25">
      <c r="C167" s="1"/>
      <c r="D167" s="1"/>
      <c r="E167" s="1"/>
      <c r="F167" s="1"/>
      <c r="G167" s="1"/>
      <c r="H167" s="1"/>
      <c r="I167" s="1"/>
      <c r="J167" s="1"/>
      <c r="K167" s="1"/>
      <c r="L167" s="1"/>
      <c r="M167" s="1"/>
      <c r="N167" s="1"/>
      <c r="O167" s="1"/>
      <c r="P167" s="1"/>
      <c r="Q167" s="1"/>
      <c r="R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row>
    <row r="168" spans="3:87" x14ac:dyDescent="0.25">
      <c r="C168" s="1"/>
      <c r="D168" s="1"/>
      <c r="E168" s="1"/>
      <c r="F168" s="1"/>
      <c r="G168" s="1"/>
      <c r="H168" s="1"/>
      <c r="I168" s="1"/>
      <c r="J168" s="1"/>
      <c r="K168" s="1"/>
      <c r="L168" s="1"/>
      <c r="M168" s="1"/>
      <c r="N168" s="1"/>
      <c r="O168" s="1"/>
      <c r="P168" s="1"/>
      <c r="Q168" s="1"/>
      <c r="R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row>
    <row r="169" spans="3:87" x14ac:dyDescent="0.25">
      <c r="C169" s="1"/>
      <c r="D169" s="1"/>
      <c r="E169" s="1"/>
      <c r="F169" s="1"/>
      <c r="G169" s="1"/>
      <c r="H169" s="1"/>
      <c r="I169" s="1"/>
      <c r="J169" s="1"/>
      <c r="K169" s="1"/>
      <c r="L169" s="1"/>
      <c r="M169" s="1"/>
      <c r="N169" s="1"/>
      <c r="O169" s="1"/>
      <c r="P169" s="1"/>
      <c r="Q169" s="1"/>
      <c r="R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row>
    <row r="170" spans="3:87" x14ac:dyDescent="0.25">
      <c r="C170" s="1"/>
      <c r="D170" s="1"/>
      <c r="E170" s="1"/>
      <c r="F170" s="1"/>
      <c r="G170" s="1"/>
      <c r="H170" s="1"/>
      <c r="I170" s="1"/>
      <c r="J170" s="1"/>
      <c r="K170" s="1"/>
      <c r="L170" s="1"/>
      <c r="M170" s="1"/>
      <c r="N170" s="1"/>
      <c r="O170" s="1"/>
      <c r="P170" s="1"/>
      <c r="Q170" s="1"/>
      <c r="R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row>
    <row r="171" spans="3:87" x14ac:dyDescent="0.25">
      <c r="C171" s="1"/>
      <c r="D171" s="1"/>
      <c r="E171" s="1"/>
      <c r="F171" s="1"/>
      <c r="G171" s="1"/>
      <c r="H171" s="1"/>
      <c r="I171" s="1"/>
      <c r="J171" s="1"/>
      <c r="K171" s="1"/>
      <c r="L171" s="1"/>
      <c r="M171" s="1"/>
      <c r="N171" s="1"/>
      <c r="O171" s="1"/>
      <c r="P171" s="1"/>
      <c r="Q171" s="1"/>
      <c r="R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row>
    <row r="172" spans="3:87" x14ac:dyDescent="0.25">
      <c r="C172" s="1"/>
      <c r="D172" s="1"/>
      <c r="E172" s="1"/>
      <c r="F172" s="1"/>
      <c r="G172" s="1"/>
      <c r="H172" s="1"/>
      <c r="I172" s="1"/>
      <c r="J172" s="1"/>
      <c r="K172" s="1"/>
      <c r="L172" s="1"/>
      <c r="M172" s="1"/>
      <c r="N172" s="1"/>
      <c r="O172" s="1"/>
      <c r="P172" s="1"/>
      <c r="Q172" s="1"/>
      <c r="R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row>
    <row r="173" spans="3:87" x14ac:dyDescent="0.25">
      <c r="C173" s="1"/>
      <c r="D173" s="1"/>
      <c r="E173" s="1"/>
      <c r="F173" s="1"/>
      <c r="G173" s="1"/>
      <c r="H173" s="1"/>
      <c r="I173" s="1"/>
      <c r="J173" s="1"/>
      <c r="K173" s="1"/>
      <c r="L173" s="1"/>
      <c r="M173" s="1"/>
      <c r="N173" s="1"/>
      <c r="O173" s="1"/>
      <c r="P173" s="1"/>
      <c r="Q173" s="1"/>
      <c r="R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row>
    <row r="174" spans="3:87" x14ac:dyDescent="0.25">
      <c r="C174" s="1"/>
      <c r="D174" s="1"/>
      <c r="E174" s="1"/>
      <c r="F174" s="1"/>
      <c r="G174" s="1"/>
      <c r="H174" s="1"/>
      <c r="I174" s="1"/>
      <c r="J174" s="1"/>
      <c r="K174" s="1"/>
      <c r="L174" s="1"/>
      <c r="M174" s="1"/>
      <c r="N174" s="1"/>
      <c r="O174" s="1"/>
      <c r="P174" s="1"/>
      <c r="Q174" s="1"/>
      <c r="R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row>
    <row r="175" spans="3:87" x14ac:dyDescent="0.25">
      <c r="C175" s="1"/>
      <c r="D175" s="1"/>
      <c r="E175" s="1"/>
      <c r="F175" s="1"/>
      <c r="G175" s="1"/>
      <c r="H175" s="1"/>
      <c r="I175" s="1"/>
      <c r="J175" s="1"/>
      <c r="K175" s="1"/>
      <c r="L175" s="1"/>
      <c r="M175" s="1"/>
      <c r="N175" s="1"/>
      <c r="O175" s="1"/>
      <c r="P175" s="1"/>
      <c r="Q175" s="1"/>
      <c r="R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row>
    <row r="176" spans="3:87" x14ac:dyDescent="0.25">
      <c r="C176" s="1"/>
      <c r="D176" s="1"/>
      <c r="E176" s="1"/>
      <c r="F176" s="1"/>
      <c r="G176" s="1"/>
      <c r="H176" s="1"/>
      <c r="I176" s="1"/>
      <c r="J176" s="1"/>
      <c r="K176" s="1"/>
      <c r="L176" s="1"/>
      <c r="M176" s="1"/>
      <c r="N176" s="1"/>
      <c r="O176" s="1"/>
      <c r="P176" s="1"/>
      <c r="Q176" s="1"/>
      <c r="R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row>
    <row r="177" spans="3:102" x14ac:dyDescent="0.25">
      <c r="C177" s="1"/>
      <c r="D177" s="1"/>
      <c r="E177" s="1"/>
      <c r="F177" s="1"/>
      <c r="G177" s="1"/>
      <c r="H177" s="1"/>
      <c r="I177" s="1"/>
      <c r="J177" s="1"/>
      <c r="K177" s="1"/>
      <c r="L177" s="1"/>
      <c r="M177" s="1"/>
      <c r="N177" s="1"/>
      <c r="O177" s="1"/>
      <c r="P177" s="1"/>
      <c r="Q177" s="1"/>
      <c r="R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row>
    <row r="178" spans="3:102" x14ac:dyDescent="0.25">
      <c r="C178" s="1"/>
      <c r="D178" s="1"/>
      <c r="E178" s="1"/>
      <c r="F178" s="1"/>
      <c r="G178" s="1"/>
      <c r="H178" s="1"/>
      <c r="I178" s="1"/>
      <c r="J178" s="1"/>
      <c r="K178" s="1"/>
      <c r="L178" s="1"/>
      <c r="M178" s="1"/>
      <c r="N178" s="1"/>
      <c r="O178" s="1"/>
      <c r="P178" s="1"/>
      <c r="Q178" s="1"/>
      <c r="R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row>
    <row r="179" spans="3:102" x14ac:dyDescent="0.25">
      <c r="C179" s="1"/>
      <c r="D179" s="1"/>
      <c r="E179" s="1"/>
      <c r="F179" s="1"/>
      <c r="G179" s="1"/>
      <c r="H179" s="1"/>
      <c r="I179" s="1"/>
      <c r="J179" s="1"/>
      <c r="K179" s="1"/>
      <c r="L179" s="1"/>
      <c r="M179" s="1"/>
      <c r="N179" s="1"/>
      <c r="O179" s="1"/>
      <c r="P179" s="1"/>
      <c r="Q179" s="1"/>
      <c r="R179" s="1"/>
      <c r="S179" s="1"/>
      <c r="T179" s="1"/>
      <c r="U179" s="1"/>
      <c r="V179" s="1"/>
      <c r="W179" s="1" t="s">
        <v>54</v>
      </c>
      <c r="X179" s="1" t="s">
        <v>54</v>
      </c>
      <c r="Y179" s="1" t="s">
        <v>54</v>
      </c>
      <c r="Z179" s="1" t="s">
        <v>54</v>
      </c>
      <c r="AA179" s="1" t="s">
        <v>54</v>
      </c>
      <c r="AB179" s="1" t="s">
        <v>54</v>
      </c>
      <c r="AC179" s="1" t="s">
        <v>54</v>
      </c>
      <c r="AD179" s="1" t="s">
        <v>54</v>
      </c>
      <c r="AE179" s="1" t="s">
        <v>54</v>
      </c>
      <c r="AF179" s="1" t="s">
        <v>54</v>
      </c>
      <c r="AG179" s="1" t="s">
        <v>54</v>
      </c>
      <c r="AH179" s="1" t="s">
        <v>54</v>
      </c>
      <c r="AI179" s="1" t="s">
        <v>54</v>
      </c>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row>
    <row r="180" spans="3:102" x14ac:dyDescent="0.25">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row>
    <row r="181" spans="3:102" x14ac:dyDescent="0.25">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row>
    <row r="182" spans="3:102" x14ac:dyDescent="0.25">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row>
    <row r="183" spans="3:102" x14ac:dyDescent="0.25">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row>
    <row r="184" spans="3:102" x14ac:dyDescent="0.25">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row>
    <row r="185" spans="3:102" x14ac:dyDescent="0.25">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row>
    <row r="186" spans="3:102" x14ac:dyDescent="0.25">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row>
    <row r="187" spans="3:102" x14ac:dyDescent="0.25">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row>
    <row r="188" spans="3:102" x14ac:dyDescent="0.25">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row>
    <row r="189" spans="3:102" x14ac:dyDescent="0.25">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row>
    <row r="190" spans="3:102" x14ac:dyDescent="0.25">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row>
    <row r="191" spans="3:102" x14ac:dyDescent="0.25">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row>
    <row r="192" spans="3:102" x14ac:dyDescent="0.25">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row>
    <row r="193" spans="3:103" x14ac:dyDescent="0.25">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row>
    <row r="194" spans="3:103" x14ac:dyDescent="0.25">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row>
    <row r="195" spans="3:103" x14ac:dyDescent="0.25">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row>
    <row r="196" spans="3:103" x14ac:dyDescent="0.25">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row>
    <row r="197" spans="3:103" x14ac:dyDescent="0.25">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row>
    <row r="198" spans="3:103" x14ac:dyDescent="0.25">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row>
    <row r="199" spans="3:103" x14ac:dyDescent="0.25">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row>
    <row r="200" spans="3:103" x14ac:dyDescent="0.25">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row>
    <row r="201" spans="3:103" x14ac:dyDescent="0.25">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row>
    <row r="202" spans="3:103" x14ac:dyDescent="0.25">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row>
    <row r="203" spans="3:103" x14ac:dyDescent="0.25">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row>
    <row r="204" spans="3:103" x14ac:dyDescent="0.25">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row>
    <row r="205" spans="3:103" x14ac:dyDescent="0.25">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row>
    <row r="206" spans="3:103" x14ac:dyDescent="0.25">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row>
    <row r="207" spans="3:103" x14ac:dyDescent="0.25">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row>
    <row r="208" spans="3:103" x14ac:dyDescent="0.25">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row>
    <row r="209" spans="3:103" x14ac:dyDescent="0.25">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row>
    <row r="210" spans="3:103" x14ac:dyDescent="0.25">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row>
    <row r="211" spans="3:103" x14ac:dyDescent="0.25">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row>
    <row r="212" spans="3:103" x14ac:dyDescent="0.25">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row>
    <row r="213" spans="3:103" x14ac:dyDescent="0.25">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row>
    <row r="214" spans="3:103" x14ac:dyDescent="0.25">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row>
    <row r="215" spans="3:103" x14ac:dyDescent="0.25">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row>
    <row r="216" spans="3:103" x14ac:dyDescent="0.25">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row>
    <row r="217" spans="3:103" x14ac:dyDescent="0.25">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row>
    <row r="218" spans="3:103" x14ac:dyDescent="0.25">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row>
    <row r="219" spans="3:103" x14ac:dyDescent="0.25">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row>
    <row r="220" spans="3:103" x14ac:dyDescent="0.25">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row>
    <row r="221" spans="3:103" x14ac:dyDescent="0.25">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row>
    <row r="222" spans="3:103" x14ac:dyDescent="0.25">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row>
    <row r="223" spans="3:103" x14ac:dyDescent="0.25">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row>
    <row r="224" spans="3:103" x14ac:dyDescent="0.25">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row>
    <row r="225" spans="3:103" x14ac:dyDescent="0.25">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row>
    <row r="226" spans="3:103" x14ac:dyDescent="0.25">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row>
    <row r="227" spans="3:103" x14ac:dyDescent="0.25">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row>
    <row r="228" spans="3:103" x14ac:dyDescent="0.25">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row>
    <row r="229" spans="3:103" x14ac:dyDescent="0.25">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row>
    <row r="230" spans="3:103" x14ac:dyDescent="0.25">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row>
    <row r="231" spans="3:103" x14ac:dyDescent="0.25">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row>
    <row r="232" spans="3:103" x14ac:dyDescent="0.25">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row>
    <row r="233" spans="3:103" x14ac:dyDescent="0.25">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row>
    <row r="234" spans="3:103" x14ac:dyDescent="0.25">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row>
    <row r="235" spans="3:103" x14ac:dyDescent="0.25">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row>
    <row r="236" spans="3:103" x14ac:dyDescent="0.25">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row>
    <row r="237" spans="3:103" x14ac:dyDescent="0.25">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row>
    <row r="238" spans="3:103" x14ac:dyDescent="0.25">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row>
    <row r="239" spans="3:103" x14ac:dyDescent="0.25">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row>
    <row r="240" spans="3:103" x14ac:dyDescent="0.25">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row>
    <row r="241" spans="3:103" x14ac:dyDescent="0.25">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row>
    <row r="242" spans="3:103" x14ac:dyDescent="0.25">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row>
    <row r="243" spans="3:103" x14ac:dyDescent="0.25">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row>
    <row r="244" spans="3:103" x14ac:dyDescent="0.25">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row>
    <row r="245" spans="3:103" x14ac:dyDescent="0.25">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row>
    <row r="246" spans="3:103" x14ac:dyDescent="0.25">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row>
    <row r="247" spans="3:103" x14ac:dyDescent="0.25">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row>
    <row r="248" spans="3:103" x14ac:dyDescent="0.25">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row>
    <row r="249" spans="3:103" x14ac:dyDescent="0.25">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row>
    <row r="250" spans="3:103" x14ac:dyDescent="0.25">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row>
    <row r="251" spans="3:103" x14ac:dyDescent="0.25">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row>
    <row r="252" spans="3:103" x14ac:dyDescent="0.25">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row>
    <row r="253" spans="3:103" x14ac:dyDescent="0.25">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row>
    <row r="254" spans="3:103" x14ac:dyDescent="0.25">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row>
    <row r="255" spans="3:103" x14ac:dyDescent="0.25">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row>
    <row r="256" spans="3:103" x14ac:dyDescent="0.25">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row>
    <row r="257" spans="3:103" x14ac:dyDescent="0.25">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row>
    <row r="258" spans="3:103" x14ac:dyDescent="0.25">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row>
    <row r="259" spans="3:103" x14ac:dyDescent="0.25">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row>
    <row r="260" spans="3:103" x14ac:dyDescent="0.25">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row>
    <row r="261" spans="3:103" x14ac:dyDescent="0.25">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row>
    <row r="262" spans="3:103" x14ac:dyDescent="0.25">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row>
    <row r="263" spans="3:103" x14ac:dyDescent="0.25">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row>
    <row r="264" spans="3:103" x14ac:dyDescent="0.25">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row>
    <row r="265" spans="3:103" x14ac:dyDescent="0.25">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row>
    <row r="266" spans="3:103" x14ac:dyDescent="0.25">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row>
    <row r="267" spans="3:103" x14ac:dyDescent="0.25">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row>
    <row r="268" spans="3:103" x14ac:dyDescent="0.25">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row>
    <row r="269" spans="3:103" x14ac:dyDescent="0.25">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row>
    <row r="270" spans="3:103" x14ac:dyDescent="0.25">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row>
    <row r="271" spans="3:103" x14ac:dyDescent="0.25">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row>
    <row r="272" spans="3:103" x14ac:dyDescent="0.25">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row>
    <row r="273" spans="3:103" x14ac:dyDescent="0.25">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row>
    <row r="274" spans="3:103" x14ac:dyDescent="0.25">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row>
    <row r="275" spans="3:103" x14ac:dyDescent="0.25">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row>
    <row r="276" spans="3:103" x14ac:dyDescent="0.25">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row>
    <row r="277" spans="3:103" x14ac:dyDescent="0.25">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row>
    <row r="278" spans="3:103" x14ac:dyDescent="0.25">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row>
    <row r="279" spans="3:103" x14ac:dyDescent="0.25">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row>
    <row r="280" spans="3:103" x14ac:dyDescent="0.25">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row>
    <row r="281" spans="3:103" x14ac:dyDescent="0.25">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row>
    <row r="282" spans="3:103" x14ac:dyDescent="0.25">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row>
    <row r="283" spans="3:103" x14ac:dyDescent="0.25">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row>
    <row r="284" spans="3:103" x14ac:dyDescent="0.25">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row>
    <row r="285" spans="3:103" x14ac:dyDescent="0.25">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row>
    <row r="286" spans="3:103" x14ac:dyDescent="0.25">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row>
    <row r="287" spans="3:103" x14ac:dyDescent="0.25">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row>
  </sheetData>
  <sortState ref="AG21:AH30">
    <sortCondition ref="AG154:AG163"/>
  </sortState>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topLeftCell="A918" zoomScale="40" zoomScaleNormal="40" zoomScaleSheetLayoutView="30" workbookViewId="0">
      <selection activeCell="AL961" sqref="AL961"/>
    </sheetView>
  </sheetViews>
  <sheetFormatPr defaultRowHeight="13.2" x14ac:dyDescent="0.25"/>
  <sheetData/>
  <pageMargins left="0.7" right="0.7" top="0.75" bottom="0.75" header="0.3" footer="0.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showZeros="0" zoomScale="50" zoomScaleNormal="50" workbookViewId="0">
      <selection activeCell="X72" sqref="X72"/>
    </sheetView>
  </sheetViews>
  <sheetFormatPr defaultRowHeight="13.2" x14ac:dyDescent="0.25"/>
  <sheetData/>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Y287"/>
  <sheetViews>
    <sheetView zoomScale="60" zoomScaleNormal="60" workbookViewId="0">
      <pane xSplit="2" ySplit="5" topLeftCell="C15" activePane="bottomRight" state="frozen"/>
      <selection activeCell="CE20" sqref="CE20"/>
      <selection pane="topRight" activeCell="CE20" sqref="CE20"/>
      <selection pane="bottomLeft" activeCell="CE20" sqref="CE20"/>
      <selection pane="bottomRight" activeCell="A108" sqref="A108:XFD145"/>
    </sheetView>
  </sheetViews>
  <sheetFormatPr defaultRowHeight="13.2" x14ac:dyDescent="0.25"/>
  <cols>
    <col min="2" max="2" width="12.33203125" bestFit="1" customWidth="1"/>
    <col min="3" max="3" width="12" customWidth="1"/>
    <col min="4" max="5" width="14.77734375" customWidth="1"/>
    <col min="6" max="16" width="12" customWidth="1"/>
    <col min="17" max="17" width="11.33203125" customWidth="1"/>
    <col min="18" max="23" width="12" customWidth="1"/>
    <col min="24" max="24" width="14" customWidth="1"/>
    <col min="25" max="25" width="14.44140625" customWidth="1"/>
    <col min="26" max="45" width="12" customWidth="1"/>
    <col min="46" max="46" width="12.88671875" customWidth="1"/>
    <col min="47" max="47" width="13.33203125" customWidth="1"/>
    <col min="48" max="49" width="12" customWidth="1"/>
    <col min="50" max="50" width="9.88671875" customWidth="1"/>
    <col min="51" max="51" width="11" customWidth="1"/>
  </cols>
  <sheetData>
    <row r="1" spans="1:51" s="14" customFormat="1" x14ac:dyDescent="0.25"/>
    <row r="2" spans="1:51" s="2" customFormat="1" ht="39" customHeight="1" x14ac:dyDescent="0.25">
      <c r="B2" s="5" t="s">
        <v>29</v>
      </c>
      <c r="C2" s="7" t="s">
        <v>1</v>
      </c>
      <c r="D2" s="7" t="s">
        <v>47</v>
      </c>
      <c r="E2" s="7" t="s">
        <v>50</v>
      </c>
      <c r="F2" s="7" t="s">
        <v>0</v>
      </c>
      <c r="G2" s="7" t="s">
        <v>0</v>
      </c>
      <c r="H2" s="7" t="s">
        <v>0</v>
      </c>
      <c r="I2" s="7" t="s">
        <v>24</v>
      </c>
      <c r="J2" s="7" t="s">
        <v>24</v>
      </c>
      <c r="K2" s="7" t="s">
        <v>24</v>
      </c>
      <c r="L2" s="7" t="s">
        <v>25</v>
      </c>
      <c r="M2" s="7" t="s">
        <v>25</v>
      </c>
      <c r="N2" s="7" t="s">
        <v>49</v>
      </c>
      <c r="O2" s="7" t="s">
        <v>26</v>
      </c>
      <c r="P2" s="7" t="s">
        <v>26</v>
      </c>
      <c r="Q2" s="7" t="s">
        <v>26</v>
      </c>
      <c r="R2" s="7" t="s">
        <v>2</v>
      </c>
      <c r="S2" s="7" t="s">
        <v>2</v>
      </c>
      <c r="T2" s="7" t="s">
        <v>4</v>
      </c>
      <c r="U2" s="7" t="s">
        <v>51</v>
      </c>
      <c r="V2" s="7" t="s">
        <v>52</v>
      </c>
      <c r="W2" s="7" t="s">
        <v>53</v>
      </c>
      <c r="X2" s="7" t="s">
        <v>42</v>
      </c>
      <c r="Y2" s="7" t="s">
        <v>42</v>
      </c>
      <c r="Z2" s="7" t="s">
        <v>28</v>
      </c>
      <c r="AA2" s="7" t="s">
        <v>3</v>
      </c>
      <c r="AB2" s="7" t="s">
        <v>9</v>
      </c>
      <c r="AC2" s="7" t="s">
        <v>9</v>
      </c>
      <c r="AD2" s="7" t="s">
        <v>15</v>
      </c>
      <c r="AE2" s="7" t="s">
        <v>15</v>
      </c>
      <c r="AF2" s="7" t="s">
        <v>15</v>
      </c>
      <c r="AG2" s="7" t="s">
        <v>16</v>
      </c>
      <c r="AH2" s="7" t="s">
        <v>16</v>
      </c>
      <c r="AI2" s="7" t="s">
        <v>56</v>
      </c>
      <c r="AJ2" s="7" t="s">
        <v>6</v>
      </c>
      <c r="AK2" s="7" t="s">
        <v>44</v>
      </c>
      <c r="AL2" s="7" t="s">
        <v>44</v>
      </c>
      <c r="AM2" s="7" t="s">
        <v>55</v>
      </c>
      <c r="AN2" s="7" t="s">
        <v>23</v>
      </c>
      <c r="AO2" s="7" t="s">
        <v>18</v>
      </c>
      <c r="AP2" s="7" t="s">
        <v>5</v>
      </c>
      <c r="AQ2" s="7" t="s">
        <v>5</v>
      </c>
      <c r="AR2" s="7" t="s">
        <v>27</v>
      </c>
      <c r="AS2" s="7" t="s">
        <v>27</v>
      </c>
      <c r="AT2" s="7" t="s">
        <v>13</v>
      </c>
      <c r="AU2" s="7" t="s">
        <v>13</v>
      </c>
      <c r="AV2" s="7" t="s">
        <v>14</v>
      </c>
      <c r="AW2" s="7" t="s">
        <v>14</v>
      </c>
      <c r="AX2" s="7" t="s">
        <v>60</v>
      </c>
      <c r="AY2" s="7" t="s">
        <v>60</v>
      </c>
    </row>
    <row r="3" spans="1:51" x14ac:dyDescent="0.25">
      <c r="B3" s="5" t="s">
        <v>31</v>
      </c>
      <c r="C3" s="7" t="s">
        <v>46</v>
      </c>
      <c r="D3" s="7" t="s">
        <v>46</v>
      </c>
      <c r="E3" s="7" t="s">
        <v>46</v>
      </c>
      <c r="F3" s="7" t="s">
        <v>46</v>
      </c>
      <c r="G3" s="7" t="s">
        <v>46</v>
      </c>
      <c r="H3" s="7" t="s">
        <v>46</v>
      </c>
      <c r="I3" s="7" t="s">
        <v>46</v>
      </c>
      <c r="J3" s="7" t="s">
        <v>46</v>
      </c>
      <c r="K3" s="7" t="s">
        <v>46</v>
      </c>
      <c r="L3" s="7" t="s">
        <v>46</v>
      </c>
      <c r="M3" s="7" t="s">
        <v>46</v>
      </c>
      <c r="N3" s="7" t="s">
        <v>46</v>
      </c>
      <c r="O3" s="7" t="s">
        <v>46</v>
      </c>
      <c r="P3" s="7" t="s">
        <v>46</v>
      </c>
      <c r="Q3" s="7" t="s">
        <v>46</v>
      </c>
      <c r="R3" s="7" t="s">
        <v>46</v>
      </c>
      <c r="S3" s="7" t="s">
        <v>46</v>
      </c>
      <c r="T3" s="7" t="s">
        <v>46</v>
      </c>
      <c r="U3" s="7" t="s">
        <v>46</v>
      </c>
      <c r="V3" s="7" t="s">
        <v>46</v>
      </c>
      <c r="W3" s="7" t="s">
        <v>46</v>
      </c>
      <c r="X3" s="7" t="s">
        <v>46</v>
      </c>
      <c r="Y3" s="7" t="s">
        <v>46</v>
      </c>
      <c r="Z3" s="7" t="s">
        <v>46</v>
      </c>
      <c r="AA3" s="7" t="s">
        <v>46</v>
      </c>
      <c r="AB3" s="7" t="s">
        <v>46</v>
      </c>
      <c r="AC3" s="7" t="s">
        <v>46</v>
      </c>
      <c r="AD3" s="7" t="s">
        <v>46</v>
      </c>
      <c r="AE3" s="7" t="s">
        <v>46</v>
      </c>
      <c r="AF3" s="7" t="s">
        <v>46</v>
      </c>
      <c r="AG3" s="7" t="s">
        <v>46</v>
      </c>
      <c r="AH3" s="7" t="s">
        <v>46</v>
      </c>
      <c r="AI3" s="7" t="s">
        <v>46</v>
      </c>
      <c r="AJ3" s="7" t="s">
        <v>46</v>
      </c>
      <c r="AK3" s="7" t="s">
        <v>46</v>
      </c>
      <c r="AL3" s="7" t="s">
        <v>46</v>
      </c>
      <c r="AM3" s="7" t="s">
        <v>46</v>
      </c>
      <c r="AN3" s="7" t="s">
        <v>46</v>
      </c>
      <c r="AO3" s="7" t="s">
        <v>46</v>
      </c>
      <c r="AP3" s="7" t="s">
        <v>46</v>
      </c>
      <c r="AQ3" s="7" t="s">
        <v>46</v>
      </c>
      <c r="AR3" s="7" t="s">
        <v>46</v>
      </c>
      <c r="AS3" s="7" t="s">
        <v>46</v>
      </c>
      <c r="AT3" s="7" t="s">
        <v>46</v>
      </c>
      <c r="AU3" s="7" t="s">
        <v>46</v>
      </c>
      <c r="AV3" s="7" t="s">
        <v>46</v>
      </c>
      <c r="AW3" s="7" t="s">
        <v>46</v>
      </c>
      <c r="AX3" s="7" t="s">
        <v>46</v>
      </c>
      <c r="AY3" s="7" t="s">
        <v>46</v>
      </c>
    </row>
    <row r="4" spans="1:51" s="2" customFormat="1" ht="27" customHeight="1" x14ac:dyDescent="0.25">
      <c r="B4" s="5" t="s">
        <v>30</v>
      </c>
      <c r="C4" s="5" t="s">
        <v>8</v>
      </c>
      <c r="D4" s="5"/>
      <c r="E4" s="5"/>
      <c r="F4" s="5" t="s">
        <v>8</v>
      </c>
      <c r="G4" s="7" t="s">
        <v>7</v>
      </c>
      <c r="H4" s="5" t="s">
        <v>10</v>
      </c>
      <c r="I4" s="5" t="s">
        <v>8</v>
      </c>
      <c r="J4" s="5" t="s">
        <v>7</v>
      </c>
      <c r="K4" s="5" t="s">
        <v>10</v>
      </c>
      <c r="L4" s="5" t="s">
        <v>8</v>
      </c>
      <c r="M4" s="5" t="s">
        <v>7</v>
      </c>
      <c r="N4" s="5"/>
      <c r="O4" s="5" t="s">
        <v>8</v>
      </c>
      <c r="P4" s="5" t="s">
        <v>7</v>
      </c>
      <c r="Q4" s="5" t="s">
        <v>10</v>
      </c>
      <c r="R4" s="5" t="s">
        <v>8</v>
      </c>
      <c r="S4" s="5" t="s">
        <v>7</v>
      </c>
      <c r="T4" s="5" t="s">
        <v>7</v>
      </c>
      <c r="U4" s="5" t="s">
        <v>7</v>
      </c>
      <c r="V4" s="5"/>
      <c r="W4" s="5"/>
      <c r="X4" s="5" t="s">
        <v>8</v>
      </c>
      <c r="Y4" s="5" t="s">
        <v>7</v>
      </c>
      <c r="Z4" s="5" t="s">
        <v>7</v>
      </c>
      <c r="AA4" s="5" t="s">
        <v>7</v>
      </c>
      <c r="AB4" s="5" t="s">
        <v>8</v>
      </c>
      <c r="AC4" s="5" t="s">
        <v>7</v>
      </c>
      <c r="AD4" s="5" t="s">
        <v>8</v>
      </c>
      <c r="AE4" s="5" t="s">
        <v>7</v>
      </c>
      <c r="AF4" s="5" t="s">
        <v>10</v>
      </c>
      <c r="AG4" s="5" t="s">
        <v>8</v>
      </c>
      <c r="AH4" s="5" t="s">
        <v>7</v>
      </c>
      <c r="AI4" s="5" t="s">
        <v>10</v>
      </c>
      <c r="AJ4" s="5" t="s">
        <v>7</v>
      </c>
      <c r="AK4" s="5" t="s">
        <v>8</v>
      </c>
      <c r="AL4" s="5" t="s">
        <v>10</v>
      </c>
      <c r="AM4" s="5" t="s">
        <v>7</v>
      </c>
      <c r="AN4" s="5" t="s">
        <v>7</v>
      </c>
      <c r="AO4" s="5" t="s">
        <v>8</v>
      </c>
      <c r="AP4" s="5" t="s">
        <v>8</v>
      </c>
      <c r="AQ4" s="5" t="s">
        <v>7</v>
      </c>
      <c r="AR4" s="5" t="s">
        <v>8</v>
      </c>
      <c r="AS4" s="5" t="s">
        <v>7</v>
      </c>
      <c r="AT4" s="5" t="s">
        <v>8</v>
      </c>
      <c r="AU4" s="5" t="s">
        <v>7</v>
      </c>
      <c r="AV4" s="5" t="s">
        <v>8</v>
      </c>
      <c r="AW4" s="5" t="s">
        <v>7</v>
      </c>
      <c r="AX4" s="5" t="s">
        <v>7</v>
      </c>
      <c r="AY4" s="5" t="s">
        <v>59</v>
      </c>
    </row>
    <row r="5" spans="1:51" s="9" customFormat="1" x14ac:dyDescent="0.25">
      <c r="A5" s="4" t="s">
        <v>33</v>
      </c>
      <c r="B5" s="4" t="s">
        <v>32</v>
      </c>
      <c r="C5" s="6" t="s">
        <v>48</v>
      </c>
      <c r="D5" s="6" t="s">
        <v>48</v>
      </c>
      <c r="E5" s="6" t="s">
        <v>48</v>
      </c>
      <c r="F5" s="6" t="s">
        <v>48</v>
      </c>
      <c r="G5" s="6" t="s">
        <v>48</v>
      </c>
      <c r="H5" s="6" t="s">
        <v>48</v>
      </c>
      <c r="I5" s="6" t="s">
        <v>48</v>
      </c>
      <c r="J5" s="6" t="s">
        <v>48</v>
      </c>
      <c r="K5" s="6" t="s">
        <v>48</v>
      </c>
      <c r="L5" s="6" t="s">
        <v>48</v>
      </c>
      <c r="M5" s="6" t="s">
        <v>48</v>
      </c>
      <c r="N5" s="6" t="s">
        <v>48</v>
      </c>
      <c r="O5" s="6" t="s">
        <v>48</v>
      </c>
      <c r="P5" s="6" t="s">
        <v>48</v>
      </c>
      <c r="Q5" s="6" t="s">
        <v>48</v>
      </c>
      <c r="R5" s="6" t="s">
        <v>48</v>
      </c>
      <c r="S5" s="6" t="s">
        <v>48</v>
      </c>
      <c r="T5" s="6" t="s">
        <v>48</v>
      </c>
      <c r="U5" s="6" t="s">
        <v>48</v>
      </c>
      <c r="V5" s="6" t="s">
        <v>48</v>
      </c>
      <c r="W5" s="6" t="s">
        <v>48</v>
      </c>
      <c r="X5" s="6" t="s">
        <v>48</v>
      </c>
      <c r="Y5" s="6" t="s">
        <v>48</v>
      </c>
      <c r="Z5" s="6" t="s">
        <v>48</v>
      </c>
      <c r="AA5" s="6" t="s">
        <v>48</v>
      </c>
      <c r="AB5" s="6" t="s">
        <v>48</v>
      </c>
      <c r="AC5" s="6" t="s">
        <v>48</v>
      </c>
      <c r="AD5" s="6" t="s">
        <v>48</v>
      </c>
      <c r="AE5" s="6" t="s">
        <v>48</v>
      </c>
      <c r="AF5" s="6" t="s">
        <v>48</v>
      </c>
      <c r="AG5" s="6" t="s">
        <v>48</v>
      </c>
      <c r="AH5" s="6" t="s">
        <v>48</v>
      </c>
      <c r="AI5" s="6" t="s">
        <v>48</v>
      </c>
      <c r="AJ5" s="6" t="s">
        <v>48</v>
      </c>
      <c r="AK5" s="6" t="s">
        <v>48</v>
      </c>
      <c r="AL5" s="6" t="s">
        <v>48</v>
      </c>
      <c r="AM5" s="6" t="s">
        <v>48</v>
      </c>
      <c r="AN5" s="6" t="s">
        <v>48</v>
      </c>
      <c r="AO5" s="6" t="s">
        <v>48</v>
      </c>
      <c r="AP5" s="6" t="s">
        <v>48</v>
      </c>
      <c r="AQ5" s="6" t="s">
        <v>48</v>
      </c>
      <c r="AR5" s="6" t="s">
        <v>48</v>
      </c>
      <c r="AS5" s="6" t="s">
        <v>48</v>
      </c>
      <c r="AT5" s="6" t="s">
        <v>48</v>
      </c>
      <c r="AU5" s="6" t="s">
        <v>48</v>
      </c>
      <c r="AV5" s="6" t="s">
        <v>48</v>
      </c>
      <c r="AW5" s="6" t="s">
        <v>48</v>
      </c>
      <c r="AX5" s="6" t="s">
        <v>48</v>
      </c>
      <c r="AY5" s="6" t="s">
        <v>48</v>
      </c>
    </row>
    <row r="6" spans="1:51" s="2" customFormat="1" ht="54.6" hidden="1" customHeight="1" x14ac:dyDescent="0.25">
      <c r="A6" s="4" t="s">
        <v>33</v>
      </c>
      <c r="B6" s="5" t="s">
        <v>29</v>
      </c>
      <c r="C6" s="7" t="str">
        <f>CONCATENATE(C2,", ",C4,", ","in ",C5)</f>
        <v>UK, Imports, in d/bushel</v>
      </c>
      <c r="D6" s="7" t="str">
        <f>CONCATENATE(D2,", ",D4,", ","in ",D5)</f>
        <v>UK (London), , in d/bushel</v>
      </c>
      <c r="E6" s="7" t="str">
        <f t="shared" ref="E6:AH6" si="0">CONCATENATE(E2,", ",E4,", ","in ",E5)</f>
        <v>Odessa, , in d/bushel</v>
      </c>
      <c r="F6" s="7" t="str">
        <f t="shared" si="0"/>
        <v>Baghdad, Imports, in d/bushel</v>
      </c>
      <c r="G6" s="7" t="str">
        <f t="shared" si="0"/>
        <v>Baghdad, Exports, in d/bushel</v>
      </c>
      <c r="H6" s="7" t="str">
        <f t="shared" si="0"/>
        <v>Baghdad, Bazaar (Local), in d/bushel</v>
      </c>
      <c r="I6" s="7" t="str">
        <f t="shared" si="0"/>
        <v>Basrah, Imports, in d/bushel</v>
      </c>
      <c r="J6" s="7" t="str">
        <f t="shared" si="0"/>
        <v>Basrah, Exports, in d/bushel</v>
      </c>
      <c r="K6" s="7" t="str">
        <f t="shared" si="0"/>
        <v>Basrah, Bazaar (Local), in d/bushel</v>
      </c>
      <c r="L6" s="7" t="str">
        <f t="shared" si="0"/>
        <v>Mosul, Imports, in d/bushel</v>
      </c>
      <c r="M6" s="7" t="str">
        <f t="shared" si="0"/>
        <v>Mosul, Exports, in d/bushel</v>
      </c>
      <c r="N6" s="7" t="str">
        <f t="shared" si="0"/>
        <v>Aleppo, , in d/bushel</v>
      </c>
      <c r="O6" s="7" t="str">
        <f t="shared" si="0"/>
        <v>Palestine, Imports, in d/bushel</v>
      </c>
      <c r="P6" s="7" t="str">
        <f t="shared" si="0"/>
        <v>Palestine, Exports, in d/bushel</v>
      </c>
      <c r="Q6" s="7" t="str">
        <f t="shared" si="0"/>
        <v>Palestine, Bazaar (Local), in d/bushel</v>
      </c>
      <c r="R6" s="7" t="str">
        <f t="shared" si="0"/>
        <v>Damascus, Imports, in d/bushel</v>
      </c>
      <c r="S6" s="7" t="str">
        <f t="shared" si="0"/>
        <v>Damascus, Exports, in d/bushel</v>
      </c>
      <c r="T6" s="7" t="str">
        <f t="shared" si="0"/>
        <v>Beirut, Exports, in d/bushel</v>
      </c>
      <c r="U6" s="7" t="str">
        <f t="shared" si="0"/>
        <v>Alexandria, Exports, in d/bushel</v>
      </c>
      <c r="V6" s="7" t="str">
        <f t="shared" si="0"/>
        <v>Istanbul (Rumeli), , in d/bushel</v>
      </c>
      <c r="W6" s="7" t="str">
        <f t="shared" si="0"/>
        <v>Istanbul (Anatolia), , in d/bushel</v>
      </c>
      <c r="X6" s="7" t="str">
        <f t="shared" si="0"/>
        <v>Turkey &amp; Constantinople, Imports, in d/bushel</v>
      </c>
      <c r="Y6" s="7" t="str">
        <f t="shared" si="0"/>
        <v>Turkey &amp; Constantinople, Exports, in d/bushel</v>
      </c>
      <c r="Z6" s="7" t="str">
        <f t="shared" si="0"/>
        <v>Trebizond (Anatolia), Exports, in d/bushel</v>
      </c>
      <c r="AA6" s="7" t="str">
        <f t="shared" si="0"/>
        <v>Izmir, Exports, in d/bushel</v>
      </c>
      <c r="AB6" s="7" t="str">
        <f t="shared" si="0"/>
        <v>Alexandretta, Imports, in d/bushel</v>
      </c>
      <c r="AC6" s="7" t="str">
        <f t="shared" si="0"/>
        <v>Alexandretta, Exports, in d/bushel</v>
      </c>
      <c r="AD6" s="7" t="str">
        <f t="shared" si="0"/>
        <v>Khorasan, Imports, in d/bushel</v>
      </c>
      <c r="AE6" s="7" t="str">
        <f t="shared" si="0"/>
        <v>Khorasan, Exports, in d/bushel</v>
      </c>
      <c r="AF6" s="7" t="str">
        <f t="shared" si="0"/>
        <v>Khorasan, Bazaar (Local), in d/bushel</v>
      </c>
      <c r="AG6" s="7" t="str">
        <f t="shared" si="0"/>
        <v>Kermanshah, Imports, in d/bushel</v>
      </c>
      <c r="AH6" s="7" t="str">
        <f t="shared" si="0"/>
        <v>Kermanshah, Exports, in d/bushel</v>
      </c>
      <c r="AI6" s="7" t="str">
        <f t="shared" ref="AI6:AY6" si="1">CONCATENATE(AI2,", ",AI4,", ","in ",AI5)</f>
        <v>Kerman &amp; Kermanshah, Bazaar (Local), in d/bushel</v>
      </c>
      <c r="AJ6" s="7" t="str">
        <f t="shared" si="1"/>
        <v>Bam, Exports, in d/bushel</v>
      </c>
      <c r="AK6" s="7" t="str">
        <f t="shared" si="1"/>
        <v>Resht &amp; Ghilan &amp; Tunekabun, Imports, in d/bushel</v>
      </c>
      <c r="AL6" s="7" t="str">
        <f t="shared" si="1"/>
        <v>Resht &amp; Ghilan &amp; Tunekabun, Bazaar (Local), in d/bushel</v>
      </c>
      <c r="AM6" s="7" t="str">
        <f t="shared" si="1"/>
        <v>Resht &amp; Bender Gez &amp; Astarabad, Exports, in d/bushel</v>
      </c>
      <c r="AN6" s="7" t="str">
        <f t="shared" si="1"/>
        <v>Astara, Exports, in d/bushel</v>
      </c>
      <c r="AO6" s="7" t="str">
        <f t="shared" si="1"/>
        <v>Sultanabad, Imports, in d/bushel</v>
      </c>
      <c r="AP6" s="7" t="str">
        <f t="shared" si="1"/>
        <v>Bahrain, Imports, in d/bushel</v>
      </c>
      <c r="AQ6" s="7" t="str">
        <f t="shared" si="1"/>
        <v>Bahrain, Exports, in d/bushel</v>
      </c>
      <c r="AR6" s="7" t="str">
        <f t="shared" si="1"/>
        <v>Muscat, Imports, in d/bushel</v>
      </c>
      <c r="AS6" s="7" t="str">
        <f t="shared" si="1"/>
        <v>Muscat, Exports, in d/bushel</v>
      </c>
      <c r="AT6" s="7" t="str">
        <f t="shared" si="1"/>
        <v>Mohammerah, Imports, in d/bushel</v>
      </c>
      <c r="AU6" s="7" t="str">
        <f t="shared" si="1"/>
        <v>Mohammerah, Exports, in d/bushel</v>
      </c>
      <c r="AV6" s="7" t="str">
        <f t="shared" si="1"/>
        <v>Lingah, Imports, in d/bushel</v>
      </c>
      <c r="AW6" s="7" t="str">
        <f t="shared" si="1"/>
        <v>Lingah, Exports, in d/bushel</v>
      </c>
      <c r="AX6" s="7" t="str">
        <f t="shared" si="1"/>
        <v>India, Exports, in d/bushel</v>
      </c>
      <c r="AY6" s="7" t="str">
        <f t="shared" si="1"/>
        <v>India, Wholesale, in d/bushel</v>
      </c>
    </row>
    <row r="7" spans="1:51" x14ac:dyDescent="0.25">
      <c r="A7" s="8">
        <v>1840</v>
      </c>
      <c r="C7" s="17"/>
      <c r="D7" s="17">
        <v>99.5</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51" x14ac:dyDescent="0.25">
      <c r="A8" s="8">
        <f t="shared" ref="A8:A71" si="2">A7+1</f>
        <v>1841</v>
      </c>
      <c r="C8" s="17"/>
      <c r="D8" s="17">
        <v>96.5</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51" x14ac:dyDescent="0.25">
      <c r="A9" s="8">
        <f t="shared" si="2"/>
        <v>1842</v>
      </c>
      <c r="C9" s="17"/>
      <c r="D9" s="17">
        <v>85.875</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51" x14ac:dyDescent="0.25">
      <c r="A10" s="8">
        <f t="shared" si="2"/>
        <v>1843</v>
      </c>
      <c r="C10" s="17"/>
      <c r="D10" s="17">
        <v>75.125</v>
      </c>
      <c r="E10" s="17">
        <v>31.125</v>
      </c>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51" x14ac:dyDescent="0.25">
      <c r="A11" s="8">
        <f t="shared" si="2"/>
        <v>1844</v>
      </c>
      <c r="C11" s="17"/>
      <c r="D11" s="17">
        <v>76.875</v>
      </c>
      <c r="E11" s="17">
        <v>29</v>
      </c>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row>
    <row r="12" spans="1:51" x14ac:dyDescent="0.25">
      <c r="A12" s="8">
        <f t="shared" si="2"/>
        <v>1845</v>
      </c>
      <c r="C12" s="17"/>
      <c r="D12" s="17">
        <v>76.25</v>
      </c>
      <c r="E12" s="17">
        <v>32.125</v>
      </c>
      <c r="F12" s="1"/>
      <c r="G12" s="1"/>
      <c r="H12" s="1"/>
      <c r="I12" s="1"/>
      <c r="J12" s="1"/>
      <c r="K12" s="1"/>
      <c r="L12" s="1"/>
      <c r="M12" s="1"/>
      <c r="N12" s="17">
        <v>24.545454545454543</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row>
    <row r="13" spans="1:51" x14ac:dyDescent="0.25">
      <c r="A13" s="8">
        <f t="shared" si="2"/>
        <v>1846</v>
      </c>
      <c r="C13" s="17"/>
      <c r="D13" s="17">
        <v>82</v>
      </c>
      <c r="E13" s="17">
        <v>38.75</v>
      </c>
      <c r="F13" s="1"/>
      <c r="G13" s="1"/>
      <c r="H13" s="1"/>
      <c r="I13" s="1"/>
      <c r="J13" s="1"/>
      <c r="K13" s="1"/>
      <c r="L13" s="1"/>
      <c r="M13" s="1"/>
      <c r="N13" s="17">
        <v>53.999999999999993</v>
      </c>
      <c r="O13" s="1"/>
      <c r="P13" s="1"/>
      <c r="Q13" s="1"/>
      <c r="R13" s="1"/>
      <c r="S13" s="1"/>
      <c r="T13" s="1"/>
      <c r="U13" s="1"/>
      <c r="V13" s="1"/>
      <c r="W13" s="1"/>
      <c r="X13" s="1"/>
      <c r="Y13" s="1">
        <f>(240/2240*60)*6.13403668792843</f>
        <v>39.433092993825618</v>
      </c>
      <c r="Z13" s="1"/>
      <c r="AA13" s="1"/>
      <c r="AB13" s="1"/>
      <c r="AC13" s="1"/>
      <c r="AD13" s="1"/>
      <c r="AE13" s="1"/>
      <c r="AF13" s="1"/>
      <c r="AG13" s="1"/>
      <c r="AH13" s="1"/>
      <c r="AI13" s="1"/>
      <c r="AJ13" s="1"/>
      <c r="AK13" s="1"/>
      <c r="AL13" s="1"/>
      <c r="AM13" s="1"/>
      <c r="AN13" s="1"/>
      <c r="AO13" s="1"/>
      <c r="AP13" s="1"/>
      <c r="AQ13" s="1"/>
      <c r="AR13" s="1"/>
      <c r="AS13" s="1"/>
      <c r="AT13" s="1"/>
      <c r="AU13" s="1"/>
      <c r="AV13" s="1"/>
      <c r="AW13" s="1"/>
    </row>
    <row r="14" spans="1:51" x14ac:dyDescent="0.25">
      <c r="A14" s="8">
        <f t="shared" si="2"/>
        <v>1847</v>
      </c>
      <c r="C14" s="17"/>
      <c r="D14" s="17">
        <v>104.625</v>
      </c>
      <c r="E14" s="17">
        <v>46</v>
      </c>
      <c r="F14" s="1"/>
      <c r="G14" s="1"/>
      <c r="H14" s="1"/>
      <c r="I14" s="1"/>
      <c r="J14" s="1"/>
      <c r="K14" s="1"/>
      <c r="L14" s="1"/>
      <c r="M14" s="1"/>
      <c r="N14" s="17">
        <v>53.999999999999993</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row>
    <row r="15" spans="1:51" x14ac:dyDescent="0.25">
      <c r="A15" s="8">
        <f t="shared" si="2"/>
        <v>1848</v>
      </c>
      <c r="C15" s="17"/>
      <c r="D15" s="17">
        <v>75.75</v>
      </c>
      <c r="E15" s="17">
        <v>35.375</v>
      </c>
      <c r="F15" s="1"/>
      <c r="G15" s="1"/>
      <c r="H15" s="1"/>
      <c r="I15" s="1"/>
      <c r="J15" s="1"/>
      <c r="K15" s="1"/>
      <c r="L15" s="1"/>
      <c r="M15" s="1"/>
      <c r="N15" s="17">
        <v>24.545454545454543</v>
      </c>
      <c r="O15" s="1"/>
      <c r="P15" s="1"/>
      <c r="Q15" s="1"/>
      <c r="R15" s="1"/>
      <c r="S15" s="1"/>
      <c r="T15" s="1"/>
      <c r="U15" s="17">
        <v>23.321149090909095</v>
      </c>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row>
    <row r="16" spans="1:51" x14ac:dyDescent="0.25">
      <c r="A16" s="8">
        <f t="shared" si="2"/>
        <v>1849</v>
      </c>
      <c r="C16" s="17"/>
      <c r="D16" s="17">
        <v>66.375</v>
      </c>
      <c r="E16" s="17">
        <v>37.25</v>
      </c>
      <c r="F16" s="1"/>
      <c r="G16" s="1"/>
      <c r="H16" s="1"/>
      <c r="I16" s="1"/>
      <c r="J16" s="1"/>
      <c r="K16" s="1"/>
      <c r="L16" s="1"/>
      <c r="M16" s="1"/>
      <c r="N16" s="17"/>
      <c r="O16" s="1"/>
      <c r="P16" s="1"/>
      <c r="Q16" s="1"/>
      <c r="R16" s="17">
        <v>23.563636363636359</v>
      </c>
      <c r="S16" s="1"/>
      <c r="T16" s="1"/>
      <c r="U16" s="17">
        <v>17.490861818181816</v>
      </c>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row>
    <row r="17" spans="1:50" x14ac:dyDescent="0.25">
      <c r="A17" s="8">
        <f t="shared" si="2"/>
        <v>1850</v>
      </c>
      <c r="C17" s="17"/>
      <c r="D17" s="17">
        <v>60.375</v>
      </c>
      <c r="E17" s="17">
        <v>36.625</v>
      </c>
      <c r="F17" s="1"/>
      <c r="G17" s="1"/>
      <c r="H17" s="1"/>
      <c r="I17" s="1"/>
      <c r="J17" s="1"/>
      <c r="K17" s="1"/>
      <c r="L17" s="1"/>
      <c r="M17" s="1"/>
      <c r="N17" s="17">
        <v>15.709090909090909</v>
      </c>
      <c r="O17" s="1"/>
      <c r="P17" s="1"/>
      <c r="Q17" s="1"/>
      <c r="R17" s="17"/>
      <c r="S17" s="1"/>
      <c r="T17" s="1"/>
      <c r="U17" s="17">
        <v>20.822454545454544</v>
      </c>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row>
    <row r="18" spans="1:50" x14ac:dyDescent="0.25">
      <c r="A18" s="8">
        <f t="shared" si="2"/>
        <v>1851</v>
      </c>
      <c r="C18" s="17"/>
      <c r="D18" s="17">
        <v>57.75</v>
      </c>
      <c r="E18" s="17">
        <v>31.375</v>
      </c>
      <c r="F18" s="1"/>
      <c r="G18" s="1"/>
      <c r="H18" s="1"/>
      <c r="I18" s="1"/>
      <c r="J18" s="1"/>
      <c r="K18" s="1"/>
      <c r="L18" s="1"/>
      <c r="M18" s="1"/>
      <c r="N18" s="17"/>
      <c r="O18" s="1"/>
      <c r="P18" s="1"/>
      <c r="Q18" s="1"/>
      <c r="R18" s="17"/>
      <c r="S18" s="1"/>
      <c r="T18" s="1"/>
      <c r="U18" s="17"/>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row>
    <row r="19" spans="1:50" x14ac:dyDescent="0.25">
      <c r="A19" s="8">
        <f t="shared" si="2"/>
        <v>1852</v>
      </c>
      <c r="C19" s="17"/>
      <c r="D19" s="17">
        <v>61.125</v>
      </c>
      <c r="E19" s="17">
        <v>34.125</v>
      </c>
      <c r="F19" s="1"/>
      <c r="G19" s="1"/>
      <c r="H19" s="1"/>
      <c r="I19" s="1"/>
      <c r="J19" s="1"/>
      <c r="K19" s="1"/>
      <c r="L19" s="1"/>
      <c r="M19" s="1"/>
      <c r="N19" s="17"/>
      <c r="O19" s="1"/>
      <c r="P19" s="1"/>
      <c r="Q19" s="1"/>
      <c r="R19" s="17"/>
      <c r="S19" s="1"/>
      <c r="T19" s="1"/>
      <c r="U19" s="17">
        <v>27.48564</v>
      </c>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row>
    <row r="20" spans="1:50" x14ac:dyDescent="0.25">
      <c r="A20" s="8">
        <f t="shared" si="2"/>
        <v>1853</v>
      </c>
      <c r="C20" s="17"/>
      <c r="D20" s="17">
        <v>79.875</v>
      </c>
      <c r="E20" s="17">
        <v>38</v>
      </c>
      <c r="F20" s="1"/>
      <c r="G20" s="1"/>
      <c r="H20" s="1"/>
      <c r="I20" s="1"/>
      <c r="J20" s="1"/>
      <c r="K20" s="1"/>
      <c r="L20" s="1"/>
      <c r="M20" s="1"/>
      <c r="N20" s="17"/>
      <c r="O20" s="1"/>
      <c r="P20" s="1"/>
      <c r="Q20" s="1"/>
      <c r="R20" s="17"/>
      <c r="S20" s="1"/>
      <c r="T20" s="1"/>
      <c r="U20" s="17"/>
      <c r="V20" s="1"/>
      <c r="W20" s="1"/>
      <c r="X20" s="1"/>
      <c r="Y20" s="1"/>
      <c r="Z20" s="1"/>
      <c r="AA20" s="1"/>
      <c r="AB20" s="3"/>
      <c r="AC20" s="1"/>
      <c r="AD20" s="1"/>
      <c r="AE20" s="1"/>
      <c r="AF20" s="1"/>
      <c r="AG20" s="1"/>
      <c r="AH20" s="1"/>
      <c r="AI20" s="1"/>
      <c r="AJ20" s="1"/>
      <c r="AK20" s="1"/>
      <c r="AL20" s="1"/>
      <c r="AM20" s="1"/>
      <c r="AN20" s="1"/>
      <c r="AO20" s="1"/>
      <c r="AP20" s="1"/>
      <c r="AQ20" s="1"/>
      <c r="AR20" s="1"/>
      <c r="AS20" s="1"/>
      <c r="AT20" s="1"/>
      <c r="AU20" s="1"/>
      <c r="AV20" s="1"/>
      <c r="AW20" s="1"/>
    </row>
    <row r="21" spans="1:50" x14ac:dyDescent="0.25">
      <c r="A21" s="8">
        <f t="shared" si="2"/>
        <v>1854</v>
      </c>
      <c r="C21" s="17">
        <v>101.11748352598057</v>
      </c>
      <c r="D21" s="17">
        <v>108.625</v>
      </c>
      <c r="E21" s="17">
        <v>46.125</v>
      </c>
      <c r="F21" s="1"/>
      <c r="G21" s="1"/>
      <c r="H21" s="1"/>
      <c r="I21" s="1"/>
      <c r="J21" s="1"/>
      <c r="K21" s="1"/>
      <c r="L21" s="1"/>
      <c r="M21" s="1"/>
      <c r="N21" s="17"/>
      <c r="O21" s="1"/>
      <c r="P21" s="1"/>
      <c r="Q21" s="1"/>
      <c r="R21" s="17"/>
      <c r="S21" s="10"/>
      <c r="T21" s="1"/>
      <c r="U21" s="17"/>
      <c r="V21" s="1"/>
      <c r="W21" s="1"/>
      <c r="X21" s="1"/>
      <c r="Y21" s="1"/>
      <c r="Z21" s="1"/>
      <c r="AA21" s="1"/>
      <c r="AB21" s="16"/>
      <c r="AD21" s="1"/>
      <c r="AE21" s="1"/>
      <c r="AF21" s="1"/>
      <c r="AG21" s="1"/>
      <c r="AH21" s="1"/>
      <c r="AI21" s="1"/>
      <c r="AJ21" s="1"/>
      <c r="AK21" s="1"/>
      <c r="AL21" s="1"/>
      <c r="AM21" s="1"/>
      <c r="AN21" s="1"/>
      <c r="AO21" s="1"/>
      <c r="AP21" s="1"/>
      <c r="AQ21" s="1"/>
      <c r="AR21" s="1"/>
      <c r="AS21" s="1"/>
      <c r="AT21" s="1"/>
      <c r="AU21" s="1"/>
      <c r="AV21" s="1"/>
      <c r="AW21" s="1"/>
    </row>
    <row r="22" spans="1:50" x14ac:dyDescent="0.25">
      <c r="A22" s="8">
        <f t="shared" si="2"/>
        <v>1855</v>
      </c>
      <c r="C22" s="17">
        <v>107.65680361962106</v>
      </c>
      <c r="D22" s="17">
        <v>112</v>
      </c>
      <c r="E22" s="17"/>
      <c r="F22" s="1"/>
      <c r="G22" s="1"/>
      <c r="H22" s="1"/>
      <c r="I22" s="1"/>
      <c r="J22" s="1"/>
      <c r="K22" s="1"/>
      <c r="L22" s="1"/>
      <c r="M22" s="1"/>
      <c r="N22" s="17">
        <v>29.45454545454545</v>
      </c>
      <c r="O22" s="1"/>
      <c r="P22" s="1"/>
      <c r="Q22" s="1"/>
      <c r="R22" s="17"/>
      <c r="S22" s="1"/>
      <c r="T22" s="1"/>
      <c r="U22" s="17"/>
      <c r="V22" s="1"/>
      <c r="W22" s="1"/>
      <c r="X22" s="1"/>
      <c r="Y22" s="1"/>
      <c r="Z22" s="1"/>
      <c r="AA22" s="1"/>
      <c r="AB22" s="16"/>
      <c r="AD22" s="1"/>
      <c r="AE22" s="1"/>
      <c r="AF22" s="1"/>
      <c r="AG22" s="1"/>
      <c r="AH22" s="1"/>
      <c r="AI22" s="1"/>
      <c r="AJ22" s="1"/>
      <c r="AK22" s="1"/>
      <c r="AL22" s="1"/>
      <c r="AM22" s="1"/>
      <c r="AN22" s="1"/>
      <c r="AO22" s="1"/>
      <c r="AP22" s="1"/>
      <c r="AQ22" s="1"/>
      <c r="AR22" s="1"/>
      <c r="AS22" s="1"/>
      <c r="AT22" s="1"/>
      <c r="AU22" s="1"/>
      <c r="AV22" s="1"/>
      <c r="AW22" s="1"/>
    </row>
    <row r="23" spans="1:50" x14ac:dyDescent="0.25">
      <c r="A23" s="8">
        <f t="shared" si="2"/>
        <v>1856</v>
      </c>
      <c r="C23" s="17">
        <v>92.637794634095499</v>
      </c>
      <c r="D23" s="17">
        <v>103.75</v>
      </c>
      <c r="E23" s="17">
        <v>67.5</v>
      </c>
      <c r="F23" s="1"/>
      <c r="G23" s="1"/>
      <c r="H23" s="1"/>
      <c r="I23" s="1"/>
      <c r="J23" s="1"/>
      <c r="K23" s="1"/>
      <c r="L23" s="1"/>
      <c r="M23" s="1"/>
      <c r="N23" s="17">
        <v>23.563636363636359</v>
      </c>
      <c r="O23" s="1"/>
      <c r="P23" s="1">
        <f>(240*60)*0.00416230670852226</f>
        <v>59.937216602720547</v>
      </c>
      <c r="Q23" s="1"/>
      <c r="R23" s="17"/>
      <c r="S23" s="1"/>
      <c r="T23" s="1"/>
      <c r="U23" s="17"/>
      <c r="V23" s="1"/>
      <c r="W23" s="1"/>
      <c r="X23" s="1"/>
      <c r="Y23" s="1"/>
      <c r="Z23" s="1"/>
      <c r="AA23" s="1"/>
      <c r="AB23" s="16"/>
      <c r="AD23" s="1"/>
      <c r="AE23" s="1"/>
      <c r="AF23" s="1"/>
      <c r="AG23" s="1"/>
      <c r="AH23" s="1"/>
      <c r="AI23" s="1"/>
      <c r="AJ23" s="1"/>
      <c r="AK23" s="1"/>
      <c r="AL23" s="1"/>
      <c r="AM23" s="1"/>
      <c r="AN23" s="1"/>
      <c r="AO23" s="1"/>
      <c r="AP23" s="1"/>
      <c r="AQ23" s="1"/>
      <c r="AR23" s="1"/>
      <c r="AS23" s="1"/>
      <c r="AT23" s="1"/>
      <c r="AU23" s="1"/>
      <c r="AV23" s="1"/>
      <c r="AW23" s="1"/>
    </row>
    <row r="24" spans="1:50" x14ac:dyDescent="0.25">
      <c r="A24" s="8">
        <f t="shared" si="2"/>
        <v>1857</v>
      </c>
      <c r="C24" s="17">
        <v>82.531658671533947</v>
      </c>
      <c r="D24" s="17">
        <v>84.5</v>
      </c>
      <c r="E24" s="17">
        <v>56.25</v>
      </c>
      <c r="F24" s="1"/>
      <c r="G24" s="1"/>
      <c r="H24" s="1"/>
      <c r="I24" s="1"/>
      <c r="J24" s="1"/>
      <c r="K24" s="1"/>
      <c r="L24" s="1"/>
      <c r="M24" s="1"/>
      <c r="N24" s="17">
        <v>39.272727272727273</v>
      </c>
      <c r="O24" s="1"/>
      <c r="P24" s="1">
        <f>(240*60)*0.00317404952912452</f>
        <v>45.706313219393088</v>
      </c>
      <c r="Q24" s="1"/>
      <c r="R24" s="17"/>
      <c r="S24" s="1"/>
      <c r="T24" s="1"/>
      <c r="U24" s="17"/>
      <c r="V24" s="1"/>
      <c r="W24" s="1"/>
      <c r="X24" s="1"/>
      <c r="Y24" s="1"/>
      <c r="Z24" s="1"/>
      <c r="AA24" s="1"/>
      <c r="AB24" s="16"/>
      <c r="AD24" s="1"/>
      <c r="AE24" s="1"/>
      <c r="AF24" s="1"/>
      <c r="AG24" s="1"/>
      <c r="AH24" s="1"/>
      <c r="AI24" s="1"/>
      <c r="AJ24" s="1"/>
      <c r="AK24" s="1"/>
      <c r="AL24" s="1"/>
      <c r="AM24" s="1"/>
      <c r="AN24" s="1"/>
      <c r="AO24" s="1"/>
      <c r="AP24" s="1"/>
      <c r="AQ24" s="1"/>
      <c r="AR24" s="1"/>
      <c r="AS24" s="1"/>
      <c r="AT24" s="1"/>
      <c r="AU24" s="1"/>
      <c r="AV24" s="1"/>
      <c r="AW24" s="1"/>
    </row>
    <row r="25" spans="1:50" x14ac:dyDescent="0.25">
      <c r="A25" s="8">
        <f t="shared" si="2"/>
        <v>1858</v>
      </c>
      <c r="C25" s="17">
        <v>63.306962208059012</v>
      </c>
      <c r="D25" s="17">
        <v>66.25</v>
      </c>
      <c r="E25" s="17">
        <v>46.875</v>
      </c>
      <c r="F25" s="1"/>
      <c r="G25" s="1"/>
      <c r="H25" s="1"/>
      <c r="I25" s="1"/>
      <c r="J25" s="1"/>
      <c r="K25" s="1"/>
      <c r="L25" s="1"/>
      <c r="M25" s="1"/>
      <c r="N25" s="17"/>
      <c r="O25" s="1"/>
      <c r="P25" s="1">
        <f>(240*60)*0.00226263559069117</f>
        <v>32.581952505952849</v>
      </c>
      <c r="Q25" s="3"/>
      <c r="R25" s="17"/>
      <c r="S25" s="1"/>
      <c r="T25" s="1"/>
      <c r="U25" s="17"/>
      <c r="V25" s="1"/>
      <c r="W25" s="1"/>
      <c r="X25" s="1"/>
      <c r="Y25" s="1"/>
      <c r="Z25" s="1"/>
      <c r="AA25" s="1"/>
      <c r="AB25" s="16"/>
      <c r="AD25" s="1"/>
      <c r="AE25" s="1"/>
      <c r="AF25" s="1"/>
      <c r="AG25" s="1"/>
      <c r="AH25" s="1"/>
      <c r="AI25" s="1"/>
      <c r="AJ25" s="1"/>
      <c r="AK25" s="1"/>
      <c r="AL25" s="1"/>
      <c r="AM25" s="1"/>
      <c r="AN25" s="1"/>
      <c r="AO25" s="1"/>
      <c r="AP25" s="1"/>
      <c r="AQ25" s="1"/>
      <c r="AR25" s="1"/>
      <c r="AS25" s="1"/>
      <c r="AT25" s="1"/>
      <c r="AU25" s="1"/>
      <c r="AV25" s="1"/>
      <c r="AW25" s="1"/>
    </row>
    <row r="26" spans="1:50" x14ac:dyDescent="0.25">
      <c r="A26" s="8">
        <f t="shared" si="2"/>
        <v>1859</v>
      </c>
      <c r="C26" s="17">
        <v>64.61844596378468</v>
      </c>
      <c r="D26" s="17">
        <v>65.625</v>
      </c>
      <c r="E26" s="17">
        <v>44.625</v>
      </c>
      <c r="F26" s="1"/>
      <c r="G26" s="1"/>
      <c r="H26" s="1"/>
      <c r="I26" s="1"/>
      <c r="J26" s="1"/>
      <c r="K26" s="1"/>
      <c r="L26" s="1"/>
      <c r="M26" s="1"/>
      <c r="N26" s="17">
        <v>110.45454545454544</v>
      </c>
      <c r="O26" s="1"/>
      <c r="P26" s="1">
        <f>(240*60)*0.00342923751601314</f>
        <v>49.381020230589215</v>
      </c>
      <c r="R26" s="17"/>
      <c r="S26" s="1"/>
      <c r="T26" s="1"/>
      <c r="U26" s="17">
        <v>30.817232727272724</v>
      </c>
      <c r="V26" s="1"/>
      <c r="W26" s="1"/>
      <c r="X26" s="1"/>
      <c r="Y26" s="1"/>
      <c r="Z26" s="1"/>
      <c r="AA26" s="1"/>
      <c r="AB26" s="16"/>
      <c r="AD26" s="1"/>
      <c r="AE26" s="1"/>
      <c r="AF26" s="1"/>
      <c r="AG26" s="1"/>
      <c r="AH26" s="1"/>
      <c r="AI26" s="1"/>
      <c r="AJ26" s="1"/>
      <c r="AK26" s="1"/>
      <c r="AL26" s="1"/>
      <c r="AM26" s="1"/>
      <c r="AN26" s="1"/>
      <c r="AO26" s="1"/>
      <c r="AP26" s="1"/>
      <c r="AQ26" s="1"/>
      <c r="AR26" s="1"/>
      <c r="AS26" s="1"/>
      <c r="AT26" s="1"/>
      <c r="AU26" s="1"/>
      <c r="AV26" s="1"/>
      <c r="AW26" s="1"/>
    </row>
    <row r="27" spans="1:50" x14ac:dyDescent="0.25">
      <c r="A27" s="8">
        <f t="shared" si="2"/>
        <v>1860</v>
      </c>
      <c r="C27" s="17">
        <v>83.517873520683509</v>
      </c>
      <c r="D27" s="17">
        <v>79.875</v>
      </c>
      <c r="E27" s="17">
        <v>54.5</v>
      </c>
      <c r="F27" s="1"/>
      <c r="G27" s="1"/>
      <c r="H27" s="1"/>
      <c r="I27" s="1"/>
      <c r="J27" s="1"/>
      <c r="K27" s="1"/>
      <c r="L27" s="1"/>
      <c r="M27" s="1"/>
      <c r="N27" s="17">
        <v>166.90909090909088</v>
      </c>
      <c r="O27" s="1"/>
      <c r="P27" s="1">
        <f>(240*60)*0.00524589481966679</f>
        <v>75.540885403201784</v>
      </c>
      <c r="R27" s="17"/>
      <c r="S27" s="1"/>
      <c r="T27" s="1"/>
      <c r="U27" s="17"/>
      <c r="V27" s="1"/>
      <c r="W27" s="1"/>
      <c r="X27" s="1"/>
      <c r="Y27" s="1"/>
      <c r="Z27" s="1"/>
      <c r="AA27" s="1"/>
      <c r="AB27" s="16"/>
      <c r="AD27" s="1"/>
      <c r="AE27" s="1"/>
      <c r="AF27" s="1"/>
      <c r="AG27" s="1"/>
      <c r="AH27" s="1"/>
      <c r="AI27" s="1"/>
      <c r="AJ27" s="1"/>
      <c r="AK27" s="1"/>
      <c r="AL27" s="1"/>
      <c r="AM27" s="1"/>
      <c r="AN27" s="1"/>
      <c r="AO27" s="1"/>
      <c r="AP27" s="1"/>
      <c r="AQ27" s="1"/>
      <c r="AR27" s="1"/>
      <c r="AS27" s="1"/>
      <c r="AT27" s="1"/>
      <c r="AU27" s="1"/>
      <c r="AV27" s="1"/>
      <c r="AW27" s="1"/>
    </row>
    <row r="28" spans="1:50" x14ac:dyDescent="0.25">
      <c r="A28" s="8">
        <f t="shared" si="2"/>
        <v>1861</v>
      </c>
      <c r="C28" s="17">
        <v>81.770336873240723</v>
      </c>
      <c r="D28" s="17">
        <v>83</v>
      </c>
      <c r="E28" s="17">
        <v>51.75</v>
      </c>
      <c r="F28" s="1"/>
      <c r="G28" s="1"/>
      <c r="H28" s="17">
        <f>(240*60)*0.00219668471609752</f>
        <v>31.632259911804287</v>
      </c>
      <c r="I28" s="1"/>
      <c r="J28" s="1"/>
      <c r="K28" s="1"/>
      <c r="L28" s="1"/>
      <c r="M28" s="1"/>
      <c r="N28" s="17">
        <v>49.090909090909086</v>
      </c>
      <c r="O28" s="1"/>
      <c r="P28" s="1">
        <f>(240*60)*0.00409835369120058</f>
        <v>59.016293153288352</v>
      </c>
      <c r="R28" s="17"/>
      <c r="S28" s="1"/>
      <c r="T28" s="1"/>
      <c r="U28" s="17"/>
      <c r="V28" s="1"/>
      <c r="W28" s="1"/>
      <c r="X28" s="1"/>
      <c r="Y28" s="1"/>
      <c r="Z28" s="1"/>
      <c r="AA28" s="1"/>
      <c r="AB28" s="16"/>
      <c r="AD28" s="1"/>
      <c r="AE28" s="1"/>
      <c r="AF28" s="1"/>
      <c r="AG28" s="1"/>
      <c r="AH28" s="1"/>
      <c r="AI28" s="1"/>
      <c r="AJ28" s="1"/>
      <c r="AK28" s="1"/>
      <c r="AL28" s="1"/>
      <c r="AM28" s="1"/>
      <c r="AN28" s="1"/>
      <c r="AO28" s="1"/>
      <c r="AP28" s="1"/>
      <c r="AQ28" s="1"/>
      <c r="AR28" s="1"/>
      <c r="AS28" s="1"/>
      <c r="AT28" s="1"/>
      <c r="AU28" s="1"/>
      <c r="AV28" s="1"/>
      <c r="AW28" s="1"/>
      <c r="AX28" s="1">
        <v>45.798465616883675</v>
      </c>
    </row>
    <row r="29" spans="1:50" x14ac:dyDescent="0.25">
      <c r="A29" s="8">
        <f t="shared" si="2"/>
        <v>1862</v>
      </c>
      <c r="C29" s="17">
        <v>72.705118894814177</v>
      </c>
      <c r="D29" s="17">
        <v>83.125</v>
      </c>
      <c r="E29" s="17">
        <v>45.125</v>
      </c>
      <c r="F29" s="1"/>
      <c r="G29" s="1"/>
      <c r="H29" s="17">
        <f>(240*60)*0.00219668471609752</f>
        <v>31.632259911804287</v>
      </c>
      <c r="I29" s="1"/>
      <c r="J29" s="1"/>
      <c r="K29" s="1"/>
      <c r="L29" s="1"/>
      <c r="M29" s="1"/>
      <c r="N29" s="17"/>
      <c r="O29" s="1"/>
      <c r="P29" s="1">
        <f>(240*60)*0.00290747348647622</f>
        <v>41.867618205257564</v>
      </c>
      <c r="Q29" s="1">
        <f>(240*60)*0.00314207650273224</f>
        <v>45.245901639344261</v>
      </c>
      <c r="R29" s="17"/>
      <c r="S29" s="1"/>
      <c r="T29" s="1"/>
      <c r="U29" s="17"/>
      <c r="V29" s="1"/>
      <c r="W29" s="1"/>
      <c r="X29" s="1"/>
      <c r="Y29" s="1">
        <f>(240/2240*60)*6.73333333333333</f>
        <v>43.285714285714256</v>
      </c>
      <c r="Z29" s="1"/>
      <c r="AA29" s="1"/>
      <c r="AB29" s="16"/>
      <c r="AD29" s="1"/>
      <c r="AE29" s="1"/>
      <c r="AF29" s="1"/>
      <c r="AG29" s="1"/>
      <c r="AH29" s="1"/>
      <c r="AI29" s="1"/>
      <c r="AJ29" s="1"/>
      <c r="AK29" s="1"/>
      <c r="AL29" s="1"/>
      <c r="AM29" s="1"/>
      <c r="AN29" s="1"/>
      <c r="AO29" s="1"/>
      <c r="AP29" s="1"/>
      <c r="AQ29" s="1"/>
      <c r="AR29" s="1"/>
      <c r="AS29" s="1"/>
      <c r="AT29" s="1"/>
      <c r="AU29" s="1"/>
      <c r="AV29" s="1"/>
      <c r="AW29" s="1"/>
      <c r="AX29" s="1">
        <v>42.853151712720816</v>
      </c>
    </row>
    <row r="30" spans="1:50" x14ac:dyDescent="0.25">
      <c r="A30" s="8">
        <f t="shared" si="2"/>
        <v>1863</v>
      </c>
      <c r="C30" s="17">
        <v>63.404024118624264</v>
      </c>
      <c r="D30" s="17">
        <v>67.125</v>
      </c>
      <c r="E30" s="17">
        <v>45.875</v>
      </c>
      <c r="F30" s="1"/>
      <c r="G30" s="1"/>
      <c r="H30" s="17">
        <f>(240*60)*0.00219668471609752</f>
        <v>31.632259911804287</v>
      </c>
      <c r="I30" s="1"/>
      <c r="J30" s="1"/>
      <c r="K30" s="1"/>
      <c r="L30" s="1"/>
      <c r="M30" s="1"/>
      <c r="N30" s="17"/>
      <c r="O30" s="1"/>
      <c r="P30" s="1">
        <f>(240*60)*0.00279261632274314</f>
        <v>40.213675047501212</v>
      </c>
      <c r="Q30" s="1">
        <f>(240*60)*0.00278754805355486</f>
        <v>40.140691971189987</v>
      </c>
      <c r="R30" s="17">
        <v>43.199999999999996</v>
      </c>
      <c r="S30" s="1"/>
      <c r="T30" s="1"/>
      <c r="U30" s="17"/>
      <c r="V30" s="1"/>
      <c r="W30" s="1"/>
      <c r="X30" s="1"/>
      <c r="Y30" s="1"/>
      <c r="Z30" s="1"/>
      <c r="AA30" s="1"/>
      <c r="AB30" s="16"/>
      <c r="AD30" s="1"/>
      <c r="AE30" s="1"/>
      <c r="AF30" s="1"/>
      <c r="AG30" s="1"/>
      <c r="AH30" s="1"/>
      <c r="AI30" s="1"/>
      <c r="AJ30" s="1"/>
      <c r="AK30" s="1"/>
      <c r="AL30" s="1"/>
      <c r="AM30" s="1"/>
      <c r="AN30" s="1"/>
      <c r="AO30" s="1"/>
      <c r="AP30" s="1"/>
      <c r="AQ30" s="1"/>
      <c r="AR30" s="1"/>
      <c r="AS30" s="1"/>
      <c r="AT30" s="1"/>
      <c r="AU30" s="1"/>
      <c r="AV30" s="1"/>
      <c r="AW30" s="1"/>
      <c r="AX30" s="1">
        <v>35.192458031018845</v>
      </c>
    </row>
    <row r="31" spans="1:50" x14ac:dyDescent="0.25">
      <c r="A31" s="8">
        <f t="shared" si="2"/>
        <v>1864</v>
      </c>
      <c r="C31" s="17">
        <v>59.165945413031949</v>
      </c>
      <c r="D31" s="17">
        <v>60.25</v>
      </c>
      <c r="E31" s="17">
        <v>39</v>
      </c>
      <c r="G31" s="1"/>
      <c r="H31" s="17">
        <f>(240*60)*0.00219668471609752</f>
        <v>31.632259911804287</v>
      </c>
      <c r="I31" s="1"/>
      <c r="J31" s="1"/>
      <c r="K31" s="1">
        <f>(240*60)*0.00268003273322422</f>
        <v>38.592471358428774</v>
      </c>
      <c r="L31" s="1"/>
      <c r="M31" s="1"/>
      <c r="N31" s="17"/>
      <c r="O31" s="1"/>
      <c r="Q31" s="1"/>
      <c r="R31" s="19"/>
      <c r="S31" s="1"/>
      <c r="T31" s="1"/>
      <c r="U31" s="17"/>
      <c r="V31" s="1"/>
      <c r="W31" s="1"/>
      <c r="X31" s="1"/>
      <c r="Y31" s="1"/>
      <c r="Z31" s="1"/>
      <c r="AA31" s="3"/>
      <c r="AC31" s="1"/>
      <c r="AD31" s="1"/>
      <c r="AE31" s="1"/>
      <c r="AF31" s="1"/>
      <c r="AG31" s="1"/>
      <c r="AH31" s="1"/>
      <c r="AI31" s="1"/>
      <c r="AJ31" s="1"/>
      <c r="AK31" s="1"/>
      <c r="AL31" s="1"/>
      <c r="AM31" s="1"/>
      <c r="AN31" s="1"/>
      <c r="AO31" s="1"/>
      <c r="AP31" s="1"/>
      <c r="AQ31" s="1"/>
      <c r="AR31" s="1"/>
      <c r="AS31" s="1"/>
      <c r="AT31" s="1"/>
      <c r="AU31" s="1"/>
      <c r="AV31" s="1"/>
      <c r="AW31" s="1"/>
      <c r="AX31" s="1">
        <v>52.000490633384445</v>
      </c>
    </row>
    <row r="32" spans="1:50" x14ac:dyDescent="0.25">
      <c r="A32" s="8">
        <f t="shared" si="2"/>
        <v>1865</v>
      </c>
      <c r="C32" s="17">
        <v>59.978571428571428</v>
      </c>
      <c r="D32" s="17">
        <v>62.75</v>
      </c>
      <c r="E32" s="17">
        <v>42.375</v>
      </c>
      <c r="F32" s="18">
        <f>(240*60)*0.00491036902176395</f>
        <v>70.709313913400891</v>
      </c>
      <c r="G32" s="17">
        <v>38.571428571428569</v>
      </c>
      <c r="H32" s="17">
        <f>(240*60)*0.00219668471609752</f>
        <v>31.632259911804287</v>
      </c>
      <c r="I32" s="1"/>
      <c r="J32" s="1"/>
      <c r="K32" s="1">
        <f>(240*60)*0.00291462084015275</f>
        <v>41.970540098199599</v>
      </c>
      <c r="L32" s="1"/>
      <c r="M32" s="1"/>
      <c r="N32" s="17"/>
      <c r="O32" s="1"/>
      <c r="Q32" s="1"/>
      <c r="R32" s="17"/>
      <c r="S32" s="1"/>
      <c r="T32" s="1"/>
      <c r="U32" s="17"/>
      <c r="V32" s="1"/>
      <c r="W32" s="1"/>
      <c r="X32" s="1"/>
      <c r="Z32" s="1"/>
      <c r="AA32" s="3"/>
      <c r="AC32" s="1"/>
      <c r="AD32" s="1"/>
      <c r="AE32" s="1"/>
      <c r="AF32" s="1"/>
      <c r="AG32" s="1"/>
      <c r="AH32" s="1"/>
      <c r="AI32" s="1"/>
      <c r="AJ32" s="1"/>
      <c r="AK32" s="1"/>
      <c r="AL32" s="1"/>
      <c r="AM32" s="1"/>
      <c r="AN32" s="1"/>
      <c r="AO32" s="1"/>
      <c r="AP32" s="1"/>
      <c r="AQ32" s="1"/>
      <c r="AR32" s="1"/>
      <c r="AS32" s="1"/>
      <c r="AT32" s="1"/>
      <c r="AU32" s="1"/>
      <c r="AV32" s="1"/>
      <c r="AW32" s="1"/>
      <c r="AX32" s="1">
        <v>54.347968961976974</v>
      </c>
    </row>
    <row r="33" spans="1:51" x14ac:dyDescent="0.25">
      <c r="A33" s="8">
        <f t="shared" si="2"/>
        <v>1866</v>
      </c>
      <c r="C33" s="17">
        <v>72.064285714285731</v>
      </c>
      <c r="D33" s="17">
        <v>74.875</v>
      </c>
      <c r="E33" s="17">
        <v>53.875</v>
      </c>
      <c r="F33" s="17">
        <f>(240*60)*0.00676488775198301</f>
        <v>97.414383628555356</v>
      </c>
      <c r="G33" s="17"/>
      <c r="H33" s="17">
        <f>(240*60)*0.0034640028215384</f>
        <v>49.881640630152958</v>
      </c>
      <c r="I33" s="1"/>
      <c r="J33" s="1"/>
      <c r="K33" s="3">
        <f>(240*60)*0.0027823240589198</f>
        <v>40.065466448445122</v>
      </c>
      <c r="L33" s="1"/>
      <c r="M33" s="1"/>
      <c r="N33" s="17"/>
      <c r="O33" s="1"/>
      <c r="R33" s="17">
        <v>47.127272727272718</v>
      </c>
      <c r="S33" s="1"/>
      <c r="T33" s="1"/>
      <c r="U33" s="17">
        <v>52.889034545454543</v>
      </c>
      <c r="V33" s="1"/>
      <c r="W33" s="1"/>
      <c r="X33" s="1"/>
      <c r="Y33" s="1"/>
      <c r="Z33" s="1"/>
      <c r="AA33" s="3"/>
      <c r="AC33" s="1"/>
      <c r="AD33" s="1"/>
      <c r="AE33" s="1"/>
      <c r="AF33" s="1"/>
      <c r="AG33" s="1"/>
      <c r="AH33" s="1"/>
      <c r="AI33" s="1"/>
      <c r="AJ33" s="1"/>
      <c r="AK33" s="1"/>
      <c r="AL33" s="1"/>
      <c r="AM33" s="1"/>
      <c r="AN33" s="1"/>
      <c r="AO33" s="1"/>
      <c r="AP33" s="1"/>
      <c r="AQ33" s="1"/>
      <c r="AR33" s="1"/>
      <c r="AS33" s="1"/>
      <c r="AT33" s="1"/>
      <c r="AU33" s="1"/>
      <c r="AV33" s="1"/>
      <c r="AW33" s="1"/>
      <c r="AX33" s="1">
        <v>71.668187467191629</v>
      </c>
    </row>
    <row r="34" spans="1:51" x14ac:dyDescent="0.25">
      <c r="A34" s="8">
        <f t="shared" si="2"/>
        <v>1867</v>
      </c>
      <c r="C34" s="17">
        <v>92.7</v>
      </c>
      <c r="D34" s="17">
        <v>96.625</v>
      </c>
      <c r="E34" s="17">
        <v>64.25</v>
      </c>
      <c r="F34" s="17">
        <f>(240*60)*0.00442502914216936</f>
        <v>63.720419647238785</v>
      </c>
      <c r="G34" s="17"/>
      <c r="H34" s="17">
        <f>(240*60)*0.00494254061121942</f>
        <v>71.172584801559651</v>
      </c>
      <c r="I34" s="1"/>
      <c r="J34" s="1"/>
      <c r="K34" s="3">
        <f>(240*60)*0.00319558101472995</f>
        <v>46.016366612111284</v>
      </c>
      <c r="L34" s="1"/>
      <c r="M34" s="1"/>
      <c r="N34" s="17"/>
      <c r="O34" s="1"/>
      <c r="R34" s="17"/>
      <c r="S34" s="1"/>
      <c r="T34" s="1"/>
      <c r="U34" s="17">
        <v>50.806789090909092</v>
      </c>
      <c r="V34" s="1"/>
      <c r="W34" s="1"/>
      <c r="X34" s="1"/>
      <c r="Y34" s="1"/>
      <c r="Z34" s="1"/>
      <c r="AA34" s="3"/>
      <c r="AC34" s="1"/>
      <c r="AD34" s="1"/>
      <c r="AE34" s="1"/>
      <c r="AF34" s="1"/>
      <c r="AG34" s="1"/>
      <c r="AH34" s="1"/>
      <c r="AI34" s="1"/>
      <c r="AJ34" s="1"/>
      <c r="AK34" s="1"/>
      <c r="AL34" s="1"/>
      <c r="AM34" s="1"/>
      <c r="AN34" s="1"/>
      <c r="AO34" s="1"/>
      <c r="AP34" s="1"/>
      <c r="AQ34" s="1"/>
      <c r="AR34" s="1"/>
      <c r="AS34" s="1"/>
      <c r="AT34" s="1"/>
      <c r="AU34" s="1"/>
      <c r="AV34" s="1"/>
      <c r="AW34" s="1"/>
      <c r="AX34" s="1">
        <v>53.63068228321675</v>
      </c>
    </row>
    <row r="35" spans="1:51" x14ac:dyDescent="0.25">
      <c r="A35" s="8">
        <f t="shared" si="2"/>
        <v>1868</v>
      </c>
      <c r="C35" s="17">
        <v>86.914285714285711</v>
      </c>
      <c r="D35" s="17">
        <v>95.625</v>
      </c>
      <c r="E35" s="17">
        <v>66.875</v>
      </c>
      <c r="F35" s="17">
        <f>(240*60)*0.00370855075413853</f>
        <v>53.403130859594832</v>
      </c>
      <c r="G35" s="17">
        <v>41.925465838509311</v>
      </c>
      <c r="H35" s="17">
        <f>(240*60)*0.00298143624961108</f>
        <v>42.932681994399552</v>
      </c>
      <c r="I35" s="1"/>
      <c r="J35" s="1"/>
      <c r="K35" s="3">
        <f>(240*60)*0.0025177304964539</f>
        <v>36.255319148936159</v>
      </c>
      <c r="L35" s="1"/>
      <c r="M35" s="1"/>
      <c r="N35" s="17"/>
      <c r="O35" s="1"/>
      <c r="R35" s="17"/>
      <c r="S35" s="1"/>
      <c r="T35" s="1"/>
      <c r="U35" s="17">
        <v>47.891645454545447</v>
      </c>
      <c r="V35" s="1"/>
      <c r="W35" s="1"/>
      <c r="X35" s="1"/>
      <c r="Y35" s="1"/>
      <c r="Z35" s="1"/>
      <c r="AA35" s="3"/>
      <c r="AD35" s="1"/>
      <c r="AE35" s="1"/>
      <c r="AF35" s="1"/>
      <c r="AG35" s="1"/>
      <c r="AH35" s="1"/>
      <c r="AI35" s="1"/>
      <c r="AJ35" s="1"/>
      <c r="AK35" s="1"/>
      <c r="AL35" s="1"/>
      <c r="AM35" s="1"/>
      <c r="AN35" s="1"/>
      <c r="AO35" s="1"/>
      <c r="AP35" s="1"/>
      <c r="AQ35" s="1"/>
      <c r="AR35" s="1"/>
      <c r="AS35" s="1"/>
      <c r="AT35" s="1"/>
      <c r="AU35" s="1"/>
      <c r="AV35" s="1"/>
      <c r="AW35" s="1"/>
      <c r="AX35" s="1">
        <v>46.868016536253833</v>
      </c>
    </row>
    <row r="36" spans="1:51" x14ac:dyDescent="0.25">
      <c r="A36" s="8">
        <f t="shared" si="2"/>
        <v>1869</v>
      </c>
      <c r="C36" s="17">
        <v>66.535714285714278</v>
      </c>
      <c r="D36" s="17">
        <v>72.25</v>
      </c>
      <c r="E36" s="17">
        <v>50.125</v>
      </c>
      <c r="F36" s="17">
        <f>(240*60)*0.00302806090194274</f>
        <v>43.604076987975454</v>
      </c>
      <c r="G36" s="17"/>
      <c r="H36" s="17">
        <f>(240*60)*0.00244733207472916</f>
        <v>35.2415818760999</v>
      </c>
      <c r="I36" s="1"/>
      <c r="J36" s="1"/>
      <c r="K36" s="1"/>
      <c r="L36" s="1"/>
      <c r="M36" s="1"/>
      <c r="N36" s="17"/>
      <c r="O36" s="1"/>
      <c r="R36" s="17"/>
      <c r="S36" s="1"/>
      <c r="T36" s="1"/>
      <c r="U36" s="17">
        <v>36.647519999999993</v>
      </c>
      <c r="V36" s="1"/>
      <c r="W36" s="1"/>
      <c r="X36" s="1"/>
      <c r="Y36" s="1"/>
      <c r="Z36" s="1">
        <v>60</v>
      </c>
      <c r="AA36" s="3"/>
      <c r="AD36" s="1"/>
      <c r="AE36" s="1"/>
      <c r="AF36" s="1"/>
      <c r="AG36" s="1"/>
      <c r="AH36" s="1"/>
      <c r="AI36" s="1"/>
      <c r="AJ36" s="1"/>
      <c r="AK36" s="1"/>
      <c r="AL36" s="1"/>
      <c r="AM36" s="1"/>
      <c r="AN36" s="1"/>
      <c r="AO36" s="1"/>
      <c r="AP36" s="1"/>
      <c r="AQ36" s="1"/>
      <c r="AR36" s="1"/>
      <c r="AS36" s="1"/>
      <c r="AT36" s="1"/>
      <c r="AU36" s="1"/>
      <c r="AV36" s="1"/>
      <c r="AW36" s="1"/>
      <c r="AX36" s="1">
        <v>55.483197561542937</v>
      </c>
    </row>
    <row r="37" spans="1:51" x14ac:dyDescent="0.25">
      <c r="A37" s="8">
        <f t="shared" si="2"/>
        <v>1870</v>
      </c>
      <c r="C37" s="17">
        <v>67.692857142857136</v>
      </c>
      <c r="D37" s="17">
        <v>70.375</v>
      </c>
      <c r="E37" s="17">
        <v>48.375</v>
      </c>
      <c r="F37" s="17">
        <f>(240*60)*0.00430017243421785</f>
        <v>61.922483052737036</v>
      </c>
      <c r="G37" s="17"/>
      <c r="H37" s="17">
        <f>(240*60)*0.0052523294814383</f>
        <v>75.633544532711511</v>
      </c>
      <c r="I37" s="1"/>
      <c r="J37" s="1"/>
      <c r="K37" s="1"/>
      <c r="L37" s="1"/>
      <c r="M37" s="1"/>
      <c r="N37" s="17"/>
      <c r="O37" s="1"/>
      <c r="P37" s="1"/>
      <c r="R37" s="17"/>
      <c r="S37" s="1"/>
      <c r="T37" s="1"/>
      <c r="U37" s="17">
        <v>42.477807272727276</v>
      </c>
      <c r="V37" s="1"/>
      <c r="W37" s="1"/>
      <c r="X37" s="1"/>
      <c r="Y37" s="1"/>
      <c r="Z37" s="1">
        <v>60</v>
      </c>
      <c r="AA37" s="14"/>
      <c r="AD37" s="1"/>
      <c r="AE37" s="1"/>
      <c r="AF37" s="1"/>
      <c r="AG37" s="1"/>
      <c r="AH37" s="1"/>
      <c r="AI37" s="1"/>
      <c r="AJ37" s="1"/>
      <c r="AK37" s="1"/>
      <c r="AL37" s="1"/>
      <c r="AM37" s="1"/>
      <c r="AN37" s="1"/>
      <c r="AO37" s="1"/>
      <c r="AP37" s="1"/>
      <c r="AQ37" s="1"/>
      <c r="AR37" s="1"/>
      <c r="AS37" s="1"/>
      <c r="AT37" s="1"/>
      <c r="AU37" s="1"/>
      <c r="AV37" s="1"/>
      <c r="AW37" s="1"/>
      <c r="AX37" s="1">
        <v>62.209305395659285</v>
      </c>
    </row>
    <row r="38" spans="1:51" x14ac:dyDescent="0.25">
      <c r="A38" s="8">
        <f t="shared" si="2"/>
        <v>1871</v>
      </c>
      <c r="C38" s="17">
        <v>76.114285714285728</v>
      </c>
      <c r="D38" s="17">
        <v>85</v>
      </c>
      <c r="E38" s="17">
        <v>58.375</v>
      </c>
      <c r="F38" s="17"/>
      <c r="G38" s="17"/>
      <c r="H38" s="17">
        <f>(240*60)*0.00844878736960585</f>
        <v>121.66253812232425</v>
      </c>
      <c r="I38" s="1"/>
      <c r="J38" s="1"/>
      <c r="L38" s="1"/>
      <c r="M38" s="1"/>
      <c r="N38" s="17">
        <v>147.27272727272725</v>
      </c>
      <c r="O38" s="1"/>
      <c r="P38" s="1"/>
      <c r="R38" s="17">
        <v>157.09090909090909</v>
      </c>
      <c r="S38" s="1"/>
      <c r="T38" s="1"/>
      <c r="U38" s="17">
        <v>51.223238181818182</v>
      </c>
      <c r="V38" s="1"/>
      <c r="W38" s="1"/>
      <c r="X38" s="1"/>
      <c r="Y38" s="1"/>
      <c r="Z38" s="1">
        <v>60</v>
      </c>
      <c r="AA38" s="3"/>
      <c r="AD38" s="1"/>
      <c r="AE38" s="1"/>
      <c r="AF38" s="1"/>
      <c r="AG38" s="1"/>
      <c r="AH38" s="1"/>
      <c r="AI38" s="1"/>
      <c r="AJ38" s="1"/>
      <c r="AK38" s="1"/>
      <c r="AL38" s="1"/>
      <c r="AM38" s="1"/>
      <c r="AN38" s="1"/>
      <c r="AO38" s="1"/>
      <c r="AP38" s="1"/>
      <c r="AQ38" s="1"/>
      <c r="AR38" s="1"/>
      <c r="AS38" s="1"/>
      <c r="AT38" s="1"/>
      <c r="AU38" s="1"/>
      <c r="AV38" s="1"/>
      <c r="AW38" s="1"/>
      <c r="AX38" s="1">
        <v>41.811190082786993</v>
      </c>
    </row>
    <row r="39" spans="1:51" x14ac:dyDescent="0.25">
      <c r="A39" s="8">
        <f t="shared" si="2"/>
        <v>1872</v>
      </c>
      <c r="C39" s="17">
        <v>79.842857142857142</v>
      </c>
      <c r="D39" s="17">
        <v>85.5</v>
      </c>
      <c r="E39" s="17">
        <v>59.25</v>
      </c>
      <c r="F39" s="17"/>
      <c r="G39" s="17"/>
      <c r="H39" s="17"/>
      <c r="I39" s="1"/>
      <c r="J39" s="1"/>
      <c r="K39" s="1"/>
      <c r="L39" s="1"/>
      <c r="M39" s="1"/>
      <c r="N39" s="17"/>
      <c r="P39" s="1"/>
      <c r="R39" s="17"/>
      <c r="S39" s="1"/>
      <c r="T39" s="1">
        <v>66.036585365853654</v>
      </c>
      <c r="U39" s="17">
        <v>43.310705454545456</v>
      </c>
      <c r="V39" s="1"/>
      <c r="W39" s="1"/>
      <c r="X39" s="1"/>
      <c r="Y39" s="1">
        <f>(240/2240*60)*9.2</f>
        <v>59.142857142857132</v>
      </c>
      <c r="Z39" s="1">
        <v>60</v>
      </c>
      <c r="AA39" s="3"/>
      <c r="AD39" s="1"/>
      <c r="AE39" s="1"/>
      <c r="AF39" s="1"/>
      <c r="AG39" s="1"/>
      <c r="AH39" s="1"/>
      <c r="AI39" s="1"/>
      <c r="AJ39" s="1"/>
      <c r="AK39" s="1"/>
      <c r="AL39" s="1"/>
      <c r="AM39" s="1"/>
      <c r="AN39" s="1"/>
      <c r="AO39" s="1"/>
      <c r="AP39" s="1"/>
      <c r="AQ39" s="1"/>
      <c r="AR39" s="1"/>
      <c r="AS39" s="1"/>
      <c r="AT39" s="1"/>
      <c r="AU39" s="1"/>
      <c r="AV39" s="1"/>
      <c r="AW39" s="1"/>
      <c r="AX39" s="1">
        <v>47.60630927936451</v>
      </c>
    </row>
    <row r="40" spans="1:51" x14ac:dyDescent="0.25">
      <c r="A40" s="8">
        <f t="shared" si="2"/>
        <v>1873</v>
      </c>
      <c r="C40" s="17">
        <v>83.635714285714272</v>
      </c>
      <c r="D40" s="17">
        <v>88</v>
      </c>
      <c r="E40" s="17">
        <v>69.25</v>
      </c>
      <c r="F40" s="17"/>
      <c r="G40" s="17"/>
      <c r="H40" s="17"/>
      <c r="I40" s="3">
        <f>(240*60)*0.00297433035714286</f>
        <v>42.830357142857181</v>
      </c>
      <c r="J40" s="1"/>
      <c r="K40" s="1"/>
      <c r="L40" s="1"/>
      <c r="M40" s="1"/>
      <c r="N40" s="17"/>
      <c r="P40" s="1">
        <f>(240*60)*0.0039032006245121</f>
        <v>56.206088992974237</v>
      </c>
      <c r="Q40" s="1"/>
      <c r="R40" s="17"/>
      <c r="S40" s="1"/>
      <c r="T40" s="1"/>
      <c r="U40" s="17">
        <v>49.557441818181815</v>
      </c>
      <c r="V40" s="1"/>
      <c r="W40" s="1"/>
      <c r="X40" s="1"/>
      <c r="Y40" s="1"/>
      <c r="Z40" s="1">
        <v>60</v>
      </c>
      <c r="AA40" s="14"/>
      <c r="AD40" s="1"/>
      <c r="AE40" s="1"/>
      <c r="AF40" s="1"/>
      <c r="AG40" s="1"/>
      <c r="AH40" s="1"/>
      <c r="AI40" s="1"/>
      <c r="AJ40" s="1"/>
      <c r="AK40" s="1"/>
      <c r="AL40" s="1"/>
      <c r="AM40" s="1">
        <f>(240*60)*0.00261538461538462</f>
        <v>37.661538461538527</v>
      </c>
      <c r="AN40" s="1"/>
      <c r="AO40" s="1"/>
      <c r="AP40" s="1"/>
      <c r="AQ40" s="1"/>
      <c r="AR40" s="1"/>
      <c r="AS40" s="1"/>
      <c r="AT40" s="1"/>
      <c r="AU40" s="1"/>
      <c r="AV40" s="1"/>
      <c r="AW40" s="1"/>
      <c r="AX40" s="1">
        <v>59.250141681994762</v>
      </c>
      <c r="AY40">
        <v>68.853399566814176</v>
      </c>
    </row>
    <row r="41" spans="1:51" x14ac:dyDescent="0.25">
      <c r="A41" s="8">
        <f t="shared" si="2"/>
        <v>1874</v>
      </c>
      <c r="C41" s="17">
        <v>78.107142857142861</v>
      </c>
      <c r="D41" s="17">
        <v>83.625</v>
      </c>
      <c r="E41" s="17">
        <v>61</v>
      </c>
      <c r="F41" s="17"/>
      <c r="G41" s="17"/>
      <c r="H41" s="17">
        <f>(240*60)*0.00192475124378109</f>
        <v>27.716417910447696</v>
      </c>
      <c r="J41" s="1"/>
      <c r="K41" s="1"/>
      <c r="L41" s="1"/>
      <c r="M41" s="1"/>
      <c r="N41" s="17">
        <v>53.999999999999993</v>
      </c>
      <c r="P41" s="1">
        <f>(240*60)*0.00295911397345824</f>
        <v>42.611241217798657</v>
      </c>
      <c r="Q41" s="1"/>
      <c r="R41" s="17">
        <v>62.836363636363636</v>
      </c>
      <c r="S41" s="1"/>
      <c r="T41" s="1">
        <v>34.49939024390244</v>
      </c>
      <c r="U41" s="17"/>
      <c r="V41" s="1"/>
      <c r="W41" s="1"/>
      <c r="X41" s="1"/>
      <c r="Y41" s="1"/>
      <c r="Z41" s="1"/>
      <c r="AA41" s="3"/>
      <c r="AD41" s="1"/>
      <c r="AE41" s="1"/>
      <c r="AF41" s="1"/>
      <c r="AG41" s="1"/>
      <c r="AH41" s="1"/>
      <c r="AI41" s="1"/>
      <c r="AJ41" s="1"/>
      <c r="AK41" s="1"/>
      <c r="AL41" s="1">
        <f>(240*60)*0.00250980392156863</f>
        <v>36.14117647058827</v>
      </c>
      <c r="AM41" s="1">
        <f>(240*60)*0.00261651676206051</f>
        <v>37.677841373671342</v>
      </c>
      <c r="AN41" s="1"/>
      <c r="AO41" s="1"/>
      <c r="AP41" s="1"/>
      <c r="AQ41" s="1"/>
      <c r="AR41" s="1">
        <f>11.7434402332362*3.60551625951646</f>
        <v>42.341164703592888</v>
      </c>
      <c r="AS41" s="1">
        <f>11.7434402332362*4.28008164414414</f>
        <v>50.262882981378034</v>
      </c>
      <c r="AT41" s="1"/>
      <c r="AU41" s="1"/>
      <c r="AV41" s="1"/>
      <c r="AW41" s="1"/>
      <c r="AX41" s="1">
        <v>55.228225849330407</v>
      </c>
    </row>
    <row r="42" spans="1:51" x14ac:dyDescent="0.25">
      <c r="A42" s="8">
        <f t="shared" si="2"/>
        <v>1875</v>
      </c>
      <c r="C42" s="17">
        <v>68.207142857142856</v>
      </c>
      <c r="D42" s="17">
        <v>67.75</v>
      </c>
      <c r="E42" s="17">
        <v>57.875</v>
      </c>
      <c r="F42" s="17"/>
      <c r="G42" s="17"/>
      <c r="H42" s="17">
        <f>(240*60)*0.00168428689883914</f>
        <v>24.253731343283615</v>
      </c>
      <c r="J42" s="1"/>
      <c r="L42" s="1"/>
      <c r="M42" s="1"/>
      <c r="N42" s="17"/>
      <c r="O42" s="1"/>
      <c r="P42" s="1">
        <f>(240*60)*0.00266393442622951</f>
        <v>38.360655737704946</v>
      </c>
      <c r="Q42" s="1"/>
      <c r="R42" s="17"/>
      <c r="S42" s="1"/>
      <c r="T42" s="1">
        <v>51.707317073170721</v>
      </c>
      <c r="U42" s="17"/>
      <c r="V42" s="1"/>
      <c r="W42" s="1"/>
      <c r="X42" s="1"/>
      <c r="Y42" s="1"/>
      <c r="Z42" s="1">
        <v>48</v>
      </c>
      <c r="AA42" s="3"/>
      <c r="AD42" s="1"/>
      <c r="AE42" s="1"/>
      <c r="AF42" s="1"/>
      <c r="AG42" s="1"/>
      <c r="AH42" s="1"/>
      <c r="AI42" s="1"/>
      <c r="AJ42" s="1"/>
      <c r="AK42" s="1"/>
      <c r="AL42" s="3">
        <f>(240*60)*0.00189732142857143</f>
        <v>27.321428571428594</v>
      </c>
      <c r="AM42" s="1">
        <f>(240*60)*0.00301960784313725</f>
        <v>43.482352941176394</v>
      </c>
      <c r="AN42" s="1"/>
      <c r="AO42" s="1"/>
      <c r="AP42" s="1"/>
      <c r="AQ42" s="1"/>
      <c r="AR42" s="1">
        <f>11.7434402332362*2.89008728382724</f>
        <v>33.939567286461134</v>
      </c>
      <c r="AS42" s="1">
        <f>11.7434402332362*3.21120809314137</f>
        <v>37.710630318290058</v>
      </c>
      <c r="AT42" s="1"/>
      <c r="AU42" s="1"/>
      <c r="AV42" s="1"/>
      <c r="AW42" s="1"/>
      <c r="AX42" s="1">
        <v>49.05245949324609</v>
      </c>
    </row>
    <row r="43" spans="1:51" x14ac:dyDescent="0.25">
      <c r="A43" s="8">
        <f t="shared" si="2"/>
        <v>1876</v>
      </c>
      <c r="C43" s="17">
        <v>67.050000000000011</v>
      </c>
      <c r="D43" s="17">
        <v>69.25</v>
      </c>
      <c r="E43" s="17">
        <v>58.75</v>
      </c>
      <c r="F43" s="17"/>
      <c r="G43" s="17"/>
      <c r="H43" s="17">
        <f>(240*60)*0.00169465174129353</f>
        <v>24.40298507462683</v>
      </c>
      <c r="J43" s="1"/>
      <c r="L43" s="1"/>
      <c r="M43" s="1"/>
      <c r="N43" s="17"/>
      <c r="O43" s="1"/>
      <c r="P43" s="1">
        <f>(240*60)*0.00263112030935134</f>
        <v>37.888132454659292</v>
      </c>
      <c r="Q43" s="1"/>
      <c r="R43" s="17">
        <v>41.236363636363635</v>
      </c>
      <c r="S43" s="1"/>
      <c r="T43" s="1">
        <v>46.829268292682926</v>
      </c>
      <c r="U43" s="17"/>
      <c r="V43" s="17">
        <v>52.458233215547715</v>
      </c>
      <c r="W43" s="1"/>
      <c r="X43" s="1"/>
      <c r="Y43" s="1"/>
      <c r="Z43" s="1"/>
      <c r="AA43" s="3"/>
      <c r="AD43" s="1"/>
      <c r="AE43" s="1"/>
      <c r="AF43" s="1"/>
      <c r="AG43" s="1"/>
      <c r="AH43" s="1"/>
      <c r="AI43" s="1"/>
      <c r="AJ43" s="1"/>
      <c r="AK43" s="1"/>
      <c r="AL43" s="3">
        <f>(240*60)*0.00208333333333333</f>
        <v>29.99999999999995</v>
      </c>
      <c r="AM43" s="1"/>
      <c r="AN43" s="1"/>
      <c r="AO43" s="1"/>
      <c r="AP43" s="1"/>
      <c r="AQ43" s="1"/>
      <c r="AR43" s="1">
        <f>11.7434402332362*2.38264582910885</f>
        <v>27.980458891109294</v>
      </c>
      <c r="AS43" s="1">
        <f>11.7434402332362*2.62091041201974</f>
        <v>30.778504780220281</v>
      </c>
      <c r="AT43" s="1"/>
      <c r="AU43" s="1"/>
      <c r="AV43" s="1"/>
      <c r="AW43" s="1"/>
      <c r="AX43" s="1">
        <v>42.603157167845751</v>
      </c>
    </row>
    <row r="44" spans="1:51" x14ac:dyDescent="0.25">
      <c r="A44" s="8">
        <f t="shared" si="2"/>
        <v>1877</v>
      </c>
      <c r="C44" s="17">
        <v>80.292857142857144</v>
      </c>
      <c r="D44" s="17">
        <v>85.125</v>
      </c>
      <c r="E44" s="17">
        <v>45.625</v>
      </c>
      <c r="F44" s="17">
        <f>(240*60)*0.00147542373849025</f>
        <v>21.246101834259601</v>
      </c>
      <c r="G44" s="17"/>
      <c r="H44" s="17">
        <f>(240*60)*0.00209090909090909</f>
        <v>30.109090909090895</v>
      </c>
      <c r="J44" s="1"/>
      <c r="L44" s="1"/>
      <c r="M44" s="1"/>
      <c r="N44" s="17"/>
      <c r="O44" s="1">
        <f>(240*60)*0.00531268973891925</f>
        <v>76.502732240437197</v>
      </c>
      <c r="P44" s="1">
        <f>(240*60)*0.0040983606557377</f>
        <v>59.016393442622878</v>
      </c>
      <c r="Q44" s="1"/>
      <c r="R44" s="17"/>
      <c r="S44" s="1"/>
      <c r="T44" s="1">
        <v>97.457857142857137</v>
      </c>
      <c r="U44" s="17"/>
      <c r="V44" s="17">
        <v>64.399293286219077</v>
      </c>
      <c r="W44" s="1"/>
      <c r="X44" s="1"/>
      <c r="Y44" s="1"/>
      <c r="Z44" s="1"/>
      <c r="AA44" s="3"/>
      <c r="AC44" s="1"/>
      <c r="AD44" s="1"/>
      <c r="AE44" s="1"/>
      <c r="AF44" s="1"/>
      <c r="AG44" s="1"/>
      <c r="AH44" s="1"/>
      <c r="AI44" s="1"/>
      <c r="AJ44" s="1"/>
      <c r="AK44" s="1"/>
      <c r="AL44" s="1"/>
      <c r="AM44" s="1"/>
      <c r="AN44" s="1"/>
      <c r="AO44" s="1"/>
      <c r="AP44" s="3"/>
      <c r="AQ44" s="3"/>
      <c r="AR44" s="1">
        <f>(240/112*60)*0.403202716152073</f>
        <v>51.840349219552238</v>
      </c>
      <c r="AS44" s="1">
        <f>11.7434402332362*4.33266076566921</f>
        <v>50.880342752523767</v>
      </c>
      <c r="AT44" s="1"/>
      <c r="AU44" s="1"/>
      <c r="AV44" s="1"/>
      <c r="AW44" s="1"/>
      <c r="AX44" s="1">
        <v>51.182410101896046</v>
      </c>
    </row>
    <row r="45" spans="1:51" x14ac:dyDescent="0.25">
      <c r="A45" s="8">
        <f t="shared" si="2"/>
        <v>1878</v>
      </c>
      <c r="C45" s="17">
        <v>70.650000000000006</v>
      </c>
      <c r="D45" s="17">
        <v>69.625</v>
      </c>
      <c r="E45" s="17">
        <v>48.5</v>
      </c>
      <c r="F45" s="1"/>
      <c r="G45" s="17">
        <v>45.378151260504197</v>
      </c>
      <c r="H45" s="17">
        <f>(240*60)*0.00256313131313131</f>
        <v>36.909090909090864</v>
      </c>
      <c r="J45" s="1"/>
      <c r="L45" s="1"/>
      <c r="M45" s="1"/>
      <c r="N45" s="17"/>
      <c r="O45" s="1"/>
      <c r="P45" s="1">
        <f>(240*60)*0.00398126463700234</f>
        <v>57.330210772833695</v>
      </c>
      <c r="Q45" s="1"/>
      <c r="R45" s="17">
        <v>64.8</v>
      </c>
      <c r="S45" s="1"/>
      <c r="T45" s="1">
        <v>52.545921787709496</v>
      </c>
      <c r="U45" s="17"/>
      <c r="V45" s="17">
        <v>59.338939929328617</v>
      </c>
      <c r="W45" s="1"/>
      <c r="X45" s="1"/>
      <c r="Y45" s="1"/>
      <c r="Z45" s="1"/>
      <c r="AA45" s="3"/>
      <c r="AC45" s="1">
        <f>(240/2240*60)*10.082623421944</f>
        <v>64.816864855354282</v>
      </c>
      <c r="AD45" s="1"/>
      <c r="AE45" s="1"/>
      <c r="AF45" s="1"/>
      <c r="AG45" s="1"/>
      <c r="AH45" s="1"/>
      <c r="AI45" s="1"/>
      <c r="AJ45" s="1"/>
      <c r="AK45" s="1"/>
      <c r="AL45" s="1"/>
      <c r="AM45" s="1"/>
      <c r="AN45" s="1"/>
      <c r="AO45" s="1"/>
      <c r="AP45" s="3"/>
      <c r="AQ45" s="3"/>
      <c r="AR45" s="1">
        <f>(240/112*60)*0.386651635443436</f>
        <v>49.712353128441762</v>
      </c>
      <c r="AS45" s="1">
        <f>11.7434402332362*4.45158132911851</f>
        <v>52.276879281893393</v>
      </c>
      <c r="AT45" s="1"/>
      <c r="AU45" s="1"/>
      <c r="AV45" s="1"/>
      <c r="AW45" s="1"/>
      <c r="AX45" s="1">
        <v>57.76172109010561</v>
      </c>
    </row>
    <row r="46" spans="1:51" x14ac:dyDescent="0.25">
      <c r="A46" s="8">
        <f t="shared" si="2"/>
        <v>1879</v>
      </c>
      <c r="C46" s="17">
        <v>67.885714285714286</v>
      </c>
      <c r="D46" s="17">
        <v>65.75</v>
      </c>
      <c r="E46" s="17">
        <v>61.375</v>
      </c>
      <c r="G46" s="17"/>
      <c r="H46" s="17">
        <f>(240*60)*0.00363636363636364</f>
        <v>52.363636363636417</v>
      </c>
      <c r="J46" s="1"/>
      <c r="L46" s="1"/>
      <c r="M46" s="1"/>
      <c r="N46" s="17">
        <v>56.945454545454538</v>
      </c>
      <c r="O46" s="1">
        <f>(240*60)*0.00487599831862127</f>
        <v>70.214375788146299</v>
      </c>
      <c r="P46" s="1">
        <f>(240*60)*0.0046927793767989</f>
        <v>67.576023025904149</v>
      </c>
      <c r="Q46" s="1"/>
      <c r="R46" s="17">
        <v>127.63636363636363</v>
      </c>
      <c r="S46" s="1"/>
      <c r="T46" s="1">
        <v>72.980446927374274</v>
      </c>
      <c r="U46" s="17">
        <v>48.724543636363627</v>
      </c>
      <c r="V46" s="17">
        <v>50.592084805653712</v>
      </c>
      <c r="W46" s="1"/>
      <c r="X46" s="1"/>
      <c r="Y46" s="1"/>
      <c r="Z46" s="1"/>
      <c r="AA46" s="3"/>
      <c r="AC46" s="1">
        <f>(240/2240*60)*9.99999999999999</f>
        <v>64.285714285714207</v>
      </c>
      <c r="AD46" s="1"/>
      <c r="AE46" s="1"/>
      <c r="AF46" s="1"/>
      <c r="AG46" s="1"/>
      <c r="AH46" s="1"/>
      <c r="AI46" s="1"/>
      <c r="AJ46" s="1"/>
      <c r="AK46" s="1"/>
      <c r="AL46" s="1"/>
      <c r="AM46" s="1"/>
      <c r="AN46" s="1"/>
      <c r="AO46" s="1"/>
      <c r="AP46" s="3"/>
      <c r="AQ46" s="3"/>
      <c r="AR46" s="1">
        <f>(240/112*60)*0.376996838363398</f>
        <v>48.471022075294023</v>
      </c>
      <c r="AS46" s="1">
        <f>11.7434402332362*4.77446653848382</f>
        <v>56.068662440270856</v>
      </c>
      <c r="AT46" s="1"/>
      <c r="AU46" s="1"/>
      <c r="AV46" s="1"/>
      <c r="AW46" s="1"/>
      <c r="AX46" s="1">
        <v>59.398399472022142</v>
      </c>
    </row>
    <row r="47" spans="1:51" x14ac:dyDescent="0.25">
      <c r="A47" s="8">
        <f t="shared" si="2"/>
        <v>1880</v>
      </c>
      <c r="C47" s="17">
        <v>71.228571428571428</v>
      </c>
      <c r="D47" s="17">
        <v>66.5</v>
      </c>
      <c r="E47" s="17">
        <v>62.5</v>
      </c>
      <c r="G47" s="17"/>
      <c r="H47" s="17"/>
      <c r="J47" s="1"/>
      <c r="L47" s="1"/>
      <c r="M47" s="1"/>
      <c r="N47" s="17"/>
      <c r="O47" s="1"/>
      <c r="P47" s="1">
        <f>(240*60)*0.00368748175030242</f>
        <v>53.099737204354845</v>
      </c>
      <c r="Q47" s="3"/>
      <c r="R47" s="17">
        <v>62.836363636363636</v>
      </c>
      <c r="S47" s="1"/>
      <c r="T47" s="1"/>
      <c r="U47" s="17">
        <v>45.892689818181815</v>
      </c>
      <c r="V47" s="17">
        <v>63.094134275618373</v>
      </c>
      <c r="W47" s="1"/>
      <c r="X47" s="1"/>
      <c r="Y47" s="1"/>
      <c r="Z47" s="1"/>
      <c r="AA47" s="3"/>
      <c r="AB47" s="18">
        <f>(240/2240*60)*9.81252857796068</f>
        <v>63.080540858318656</v>
      </c>
      <c r="AC47" s="1">
        <f>(240/2240*60)*9.13595933926302</f>
        <v>58.731167180976549</v>
      </c>
      <c r="AD47" s="1"/>
      <c r="AE47" s="1"/>
      <c r="AF47" s="1"/>
      <c r="AG47" s="1"/>
      <c r="AH47" s="1"/>
      <c r="AI47" s="1"/>
      <c r="AJ47" s="1"/>
      <c r="AK47" s="1"/>
      <c r="AL47" s="1"/>
      <c r="AM47" s="1"/>
      <c r="AN47" s="1"/>
      <c r="AO47" s="1"/>
      <c r="AP47" s="1"/>
      <c r="AQ47" s="1"/>
      <c r="AR47" s="1">
        <f>(240/112*60)*0.265648045225077</f>
        <v>34.154748671795609</v>
      </c>
      <c r="AS47" s="1">
        <f>(240/112*60)*0.354009226268069</f>
        <v>45.515471948751724</v>
      </c>
      <c r="AT47" s="1"/>
      <c r="AU47" s="1"/>
      <c r="AV47" s="1"/>
      <c r="AW47" s="1"/>
      <c r="AX47" s="1">
        <v>56.893448003854708</v>
      </c>
    </row>
    <row r="48" spans="1:51" x14ac:dyDescent="0.25">
      <c r="A48" s="8">
        <f t="shared" si="2"/>
        <v>1881</v>
      </c>
      <c r="C48" s="17">
        <v>70.971428571428561</v>
      </c>
      <c r="D48" s="17">
        <v>68</v>
      </c>
      <c r="E48" s="17">
        <v>62.75</v>
      </c>
      <c r="G48" s="17"/>
      <c r="H48" s="17"/>
      <c r="J48" s="1"/>
      <c r="K48" s="1"/>
      <c r="L48" s="1"/>
      <c r="M48" s="1"/>
      <c r="N48" s="17"/>
      <c r="O48" s="1"/>
      <c r="P48" s="1">
        <f>(240*60)*0.00303582270795386</f>
        <v>43.715846994535589</v>
      </c>
      <c r="Q48" s="1"/>
      <c r="R48" s="17"/>
      <c r="S48" s="1"/>
      <c r="T48" s="1"/>
      <c r="U48" s="17">
        <v>45.892689818181815</v>
      </c>
      <c r="V48" s="17">
        <v>61.525653710247347</v>
      </c>
      <c r="W48" s="1"/>
      <c r="X48" s="1"/>
      <c r="Y48" s="1"/>
      <c r="Z48" s="1"/>
      <c r="AA48" s="3"/>
      <c r="AC48" s="1">
        <f>(240/2240*60)*7.99999999999999</f>
        <v>51.42857142857136</v>
      </c>
      <c r="AD48" s="1"/>
      <c r="AE48" s="1"/>
      <c r="AF48" s="1"/>
      <c r="AG48" s="1"/>
      <c r="AH48" s="1"/>
      <c r="AI48" s="1"/>
      <c r="AJ48" s="1"/>
      <c r="AK48" s="1"/>
      <c r="AL48" s="1"/>
      <c r="AM48" s="1"/>
      <c r="AN48" s="1"/>
      <c r="AO48" s="1"/>
      <c r="AP48" s="1"/>
      <c r="AQ48" s="1"/>
      <c r="AR48" s="1">
        <f>(240/112*60)*0.304482603747801</f>
        <v>39.147763339002985</v>
      </c>
      <c r="AS48" s="1">
        <f>(240/112*60)*0.300169818992166</f>
        <v>38.593262441849909</v>
      </c>
      <c r="AT48" s="1"/>
      <c r="AU48" s="1"/>
      <c r="AV48" s="1"/>
      <c r="AW48" s="1"/>
      <c r="AX48" s="1">
        <v>46.846797214011232</v>
      </c>
    </row>
    <row r="49" spans="1:51" x14ac:dyDescent="0.25">
      <c r="A49" s="8">
        <f t="shared" si="2"/>
        <v>1882</v>
      </c>
      <c r="C49" s="17">
        <v>68.592857142857142</v>
      </c>
      <c r="D49" s="17">
        <v>67.625</v>
      </c>
      <c r="E49" s="17">
        <v>55.625</v>
      </c>
      <c r="G49" s="17"/>
      <c r="H49" s="17"/>
      <c r="J49" s="1"/>
      <c r="K49" s="1"/>
      <c r="L49" s="1"/>
      <c r="M49" s="1"/>
      <c r="N49" s="17"/>
      <c r="O49" s="1"/>
      <c r="P49" s="1">
        <f>(240*60)*0.0024741952910172</f>
        <v>35.62841219064768</v>
      </c>
      <c r="Q49" s="1"/>
      <c r="R49" s="17">
        <v>64.8</v>
      </c>
      <c r="S49" s="1"/>
      <c r="T49" s="1"/>
      <c r="U49" s="17">
        <v>45.892689818181815</v>
      </c>
      <c r="V49" s="17">
        <v>64.239010600706706</v>
      </c>
      <c r="W49" s="1"/>
      <c r="X49" s="1"/>
      <c r="Y49" s="1"/>
      <c r="Z49" s="1"/>
      <c r="AA49" s="3"/>
      <c r="AC49" s="1">
        <f>(240/2240*60)*7.99999999999999</f>
        <v>51.42857142857136</v>
      </c>
      <c r="AD49" s="1"/>
      <c r="AE49" s="1"/>
      <c r="AF49" s="1"/>
      <c r="AG49" s="1"/>
      <c r="AH49" s="1"/>
      <c r="AI49" s="1"/>
      <c r="AJ49" s="1"/>
      <c r="AK49" s="1"/>
      <c r="AL49" s="1"/>
      <c r="AM49" s="1"/>
      <c r="AN49" s="1"/>
      <c r="AO49" s="1"/>
      <c r="AP49" s="1"/>
      <c r="AQ49" s="1"/>
      <c r="AR49" s="1">
        <f>(240/112*60)*0.25303992332168</f>
        <v>32.53370442707314</v>
      </c>
      <c r="AS49" s="1">
        <f>(240/112*60)*0.299806856695924</f>
        <v>38.54659586090451</v>
      </c>
      <c r="AT49" s="1"/>
      <c r="AU49" s="1"/>
      <c r="AV49" s="1"/>
      <c r="AW49" s="1"/>
      <c r="AX49" s="1">
        <v>49.237241852211852</v>
      </c>
    </row>
    <row r="50" spans="1:51" x14ac:dyDescent="0.25">
      <c r="A50" s="8">
        <f t="shared" si="2"/>
        <v>1883</v>
      </c>
      <c r="C50" s="17">
        <v>63.064285714285717</v>
      </c>
      <c r="D50" s="17">
        <v>62.375</v>
      </c>
      <c r="E50" s="17">
        <v>52.625</v>
      </c>
      <c r="G50" s="17"/>
      <c r="H50" s="17"/>
      <c r="J50" s="1"/>
      <c r="K50" s="1"/>
      <c r="L50" s="1"/>
      <c r="M50" s="1"/>
      <c r="N50" s="17"/>
      <c r="O50" s="1"/>
      <c r="P50" s="1">
        <f>(240*60)*0.00241969632811082</f>
        <v>34.843627124795809</v>
      </c>
      <c r="Q50" s="1"/>
      <c r="R50" s="17"/>
      <c r="S50" s="1"/>
      <c r="T50" s="1">
        <v>39.272727272727266</v>
      </c>
      <c r="U50" s="17">
        <v>45.892689818181815</v>
      </c>
      <c r="V50" s="17"/>
      <c r="W50" s="1"/>
      <c r="X50" s="1"/>
      <c r="Y50" s="1"/>
      <c r="Z50" s="1"/>
      <c r="AA50" s="3"/>
      <c r="AC50" s="1">
        <f>(240/2240*60)*8.00037152622975</f>
        <v>51.430959811476967</v>
      </c>
      <c r="AD50" s="1"/>
      <c r="AE50" s="1"/>
      <c r="AF50" s="1"/>
      <c r="AG50" s="1"/>
      <c r="AH50" s="1"/>
      <c r="AI50" s="1"/>
      <c r="AJ50" s="1"/>
      <c r="AK50" s="1"/>
      <c r="AL50" s="1"/>
      <c r="AM50" s="1"/>
      <c r="AN50" s="1"/>
      <c r="AO50" s="1"/>
      <c r="AP50" s="1"/>
      <c r="AQ50" s="1"/>
      <c r="AR50" s="1">
        <f>(240/112*60)*0.274289353239791</f>
        <v>35.26577398797312</v>
      </c>
      <c r="AS50" s="1">
        <f>(240/112*60)*0.29363649765981</f>
        <v>37.753263984832707</v>
      </c>
      <c r="AT50" s="1"/>
      <c r="AU50" s="1"/>
      <c r="AV50" s="1"/>
      <c r="AW50" s="1"/>
      <c r="AX50" s="1">
        <v>45.063773314078858</v>
      </c>
    </row>
    <row r="51" spans="1:51" x14ac:dyDescent="0.25">
      <c r="A51" s="8">
        <f t="shared" si="2"/>
        <v>1884</v>
      </c>
      <c r="C51" s="17">
        <v>54.064285714285717</v>
      </c>
      <c r="D51" s="17">
        <v>53.5</v>
      </c>
      <c r="E51" s="17">
        <v>43</v>
      </c>
      <c r="G51" s="17"/>
      <c r="H51" s="17"/>
      <c r="J51" s="1"/>
      <c r="K51" s="1"/>
      <c r="L51" s="3">
        <f>(240/2240*60)*2.54545454545455</f>
        <v>16.363636363636392</v>
      </c>
      <c r="M51" s="3">
        <f>(240/2240*60)*2.54545454545455</f>
        <v>16.363636363636392</v>
      </c>
      <c r="N51" s="17"/>
      <c r="O51" s="1"/>
      <c r="P51" s="1">
        <f>(240*60)*0.00216972034715526</f>
        <v>31.243972999035741</v>
      </c>
      <c r="R51" s="17">
        <v>37.309090909090905</v>
      </c>
      <c r="S51" s="17">
        <v>53.436246750000002</v>
      </c>
      <c r="T51" s="3"/>
      <c r="U51" s="17">
        <v>45.892689818181815</v>
      </c>
      <c r="V51" s="17"/>
      <c r="W51" s="1"/>
      <c r="X51" s="3"/>
      <c r="Y51" s="1">
        <f>(240/2240*60)*13.9645905090942</f>
        <v>89.772367558462705</v>
      </c>
      <c r="Z51" s="1">
        <v>45</v>
      </c>
      <c r="AA51" s="3"/>
      <c r="AC51" s="1"/>
      <c r="AD51" s="1"/>
      <c r="AE51" s="1"/>
      <c r="AF51" s="1"/>
      <c r="AG51" s="1"/>
      <c r="AH51" s="1"/>
      <c r="AI51" s="1"/>
      <c r="AJ51" s="1"/>
      <c r="AK51" s="1"/>
      <c r="AL51" s="1"/>
      <c r="AM51" s="1"/>
      <c r="AN51" s="1"/>
      <c r="AO51" s="3"/>
      <c r="AP51" s="1"/>
      <c r="AQ51" s="1"/>
      <c r="AR51" s="1">
        <f>(240/112*60)*0.26337451621063</f>
        <v>33.862437798509568</v>
      </c>
      <c r="AS51" s="1">
        <f>(240/112*60)*0.293999459956052</f>
        <v>37.799930565778105</v>
      </c>
      <c r="AT51" s="3"/>
      <c r="AU51" s="1"/>
      <c r="AV51" s="1"/>
      <c r="AW51" s="3"/>
      <c r="AX51" s="1">
        <v>40.264772848301753</v>
      </c>
      <c r="AY51">
        <v>35.647135494696471</v>
      </c>
    </row>
    <row r="52" spans="1:51" x14ac:dyDescent="0.25">
      <c r="A52" s="8">
        <f t="shared" si="2"/>
        <v>1885</v>
      </c>
      <c r="C52" s="17">
        <v>50.335714285714289</v>
      </c>
      <c r="D52" s="17">
        <v>49.25</v>
      </c>
      <c r="E52" s="17">
        <v>36.75</v>
      </c>
      <c r="G52" s="17"/>
      <c r="H52" s="17"/>
      <c r="J52" s="1"/>
      <c r="K52" s="1"/>
      <c r="L52" s="1"/>
      <c r="M52" s="1"/>
      <c r="N52" s="17"/>
      <c r="O52" s="1"/>
      <c r="P52" s="1">
        <f>(240*60)*0.00403530895334174</f>
        <v>58.108448928121057</v>
      </c>
      <c r="R52" s="17">
        <v>64.8</v>
      </c>
      <c r="S52" s="17"/>
      <c r="T52" s="1"/>
      <c r="U52" s="17">
        <v>41.603264181818176</v>
      </c>
      <c r="V52" s="17">
        <v>42.268833922261479</v>
      </c>
      <c r="W52" s="1"/>
      <c r="X52" s="1"/>
      <c r="Y52" s="1">
        <f>(240/2240*60)*13.3404560168832</f>
        <v>85.760074394249131</v>
      </c>
      <c r="Z52" s="1"/>
      <c r="AA52" s="3"/>
      <c r="AC52" s="1">
        <f>(240/2240*60)*7.59438452732421</f>
        <v>48.821043389941345</v>
      </c>
      <c r="AD52" s="1"/>
      <c r="AE52" s="1"/>
      <c r="AF52" s="1"/>
      <c r="AG52" s="1"/>
      <c r="AH52" s="1"/>
      <c r="AI52" s="1"/>
      <c r="AJ52" s="1"/>
      <c r="AK52" s="1"/>
      <c r="AL52" s="1"/>
      <c r="AM52" s="1"/>
      <c r="AN52" s="1"/>
      <c r="AO52" s="1"/>
      <c r="AP52" s="1"/>
      <c r="AQ52" s="1"/>
      <c r="AR52" s="1">
        <f>(240/112*60)*0.232914551270313</f>
        <v>29.946156591897381</v>
      </c>
      <c r="AS52" s="1">
        <f>(240/112*60)*0.261131207574134</f>
        <v>33.574012402388654</v>
      </c>
      <c r="AT52" s="1"/>
      <c r="AU52" s="1"/>
      <c r="AV52" s="1"/>
      <c r="AW52" s="1"/>
      <c r="AX52" s="1">
        <v>37.019422784391566</v>
      </c>
      <c r="AY52">
        <v>33.903824833702885</v>
      </c>
    </row>
    <row r="53" spans="1:51" x14ac:dyDescent="0.25">
      <c r="A53" s="8">
        <f t="shared" si="2"/>
        <v>1886</v>
      </c>
      <c r="C53" s="17">
        <v>48.535714285714278</v>
      </c>
      <c r="D53" s="17">
        <v>46.5</v>
      </c>
      <c r="E53" s="17">
        <v>44.625</v>
      </c>
      <c r="G53" s="17"/>
      <c r="H53" s="17"/>
      <c r="J53" s="1"/>
      <c r="K53" s="1"/>
      <c r="L53" s="1"/>
      <c r="M53" s="1"/>
      <c r="N53" s="17"/>
      <c r="O53" s="1"/>
      <c r="P53" s="1">
        <f>(240*60)*0.00441361916771753</f>
        <v>63.556116015132424</v>
      </c>
      <c r="R53" s="17">
        <v>68.727272727272734</v>
      </c>
      <c r="S53" s="17"/>
      <c r="T53" s="1"/>
      <c r="U53" s="17">
        <v>41.603264181818176</v>
      </c>
      <c r="V53" s="17">
        <v>41.570459363957603</v>
      </c>
      <c r="W53" s="17">
        <v>41.570459363957603</v>
      </c>
      <c r="X53" s="1"/>
      <c r="Y53" s="1"/>
      <c r="Z53" s="1"/>
      <c r="AA53" s="3"/>
      <c r="AC53" s="1">
        <f>(240/2240*60)*7.60974108752032</f>
        <v>48.9197641340592</v>
      </c>
      <c r="AD53" s="1"/>
      <c r="AE53" s="1"/>
      <c r="AF53" s="1"/>
      <c r="AG53" s="1"/>
      <c r="AH53" s="1"/>
      <c r="AI53" s="1"/>
      <c r="AJ53" s="1"/>
      <c r="AK53" s="1"/>
      <c r="AL53" s="1"/>
      <c r="AM53" s="1"/>
      <c r="AN53" s="1"/>
      <c r="AO53" s="1"/>
      <c r="AP53" s="1"/>
      <c r="AQ53" s="1"/>
      <c r="AR53" s="1">
        <f>(240/112*60)*0.2823328147197</f>
        <v>36.299933321104284</v>
      </c>
      <c r="AS53" s="1">
        <f>(240/112*60)*0.261641757376176</f>
        <v>33.639654519794057</v>
      </c>
      <c r="AT53" s="1"/>
      <c r="AU53" s="1"/>
      <c r="AV53" s="1"/>
      <c r="AW53" s="1"/>
      <c r="AX53" s="1">
        <v>36.714928807616126</v>
      </c>
      <c r="AY53">
        <v>33.513925510876732</v>
      </c>
    </row>
    <row r="54" spans="1:51" x14ac:dyDescent="0.25">
      <c r="A54" s="8">
        <f t="shared" si="2"/>
        <v>1887</v>
      </c>
      <c r="C54" s="17">
        <v>49.178571428571438</v>
      </c>
      <c r="D54" s="17">
        <v>48.75</v>
      </c>
      <c r="E54" s="17">
        <v>40.125</v>
      </c>
      <c r="F54" s="1">
        <f>(240*60)*0.00374149659863946</f>
        <v>53.877551020408227</v>
      </c>
      <c r="G54" s="17"/>
      <c r="H54" s="17"/>
      <c r="I54" s="1">
        <f>(240*60)*0.00273133964651565</f>
        <v>39.331290909825363</v>
      </c>
      <c r="J54" s="1"/>
      <c r="K54" s="1"/>
      <c r="L54" s="1"/>
      <c r="M54" s="1"/>
      <c r="N54" s="17"/>
      <c r="O54" s="1"/>
      <c r="P54" s="1">
        <f>(240*60)*0.00302648171500631</f>
        <v>43.581336696090865</v>
      </c>
      <c r="Q54" s="1"/>
      <c r="R54" s="17">
        <v>39.272727272727273</v>
      </c>
      <c r="S54" s="17"/>
      <c r="T54" s="1"/>
      <c r="U54" s="17">
        <v>41.603264181818176</v>
      </c>
      <c r="V54" s="17">
        <v>45.085229681978802</v>
      </c>
      <c r="W54" s="17">
        <v>45.096678445229678</v>
      </c>
      <c r="X54" s="1"/>
      <c r="Y54" s="1"/>
      <c r="Z54" s="1"/>
      <c r="AA54" s="14"/>
      <c r="AC54" s="1">
        <f>(240/2240*60)*7.90361663652802</f>
        <v>50.808964091965841</v>
      </c>
      <c r="AD54" s="1"/>
      <c r="AE54" s="1"/>
      <c r="AF54" s="1"/>
      <c r="AG54" s="1"/>
      <c r="AH54" s="1"/>
      <c r="AI54" s="1"/>
      <c r="AJ54" s="1"/>
      <c r="AK54" s="1"/>
      <c r="AL54" s="1"/>
      <c r="AM54" s="1"/>
      <c r="AN54" s="1"/>
      <c r="AO54" s="1"/>
      <c r="AP54" s="1"/>
      <c r="AQ54" s="1"/>
      <c r="AR54" s="1">
        <f>(240/112*60)*0.267382224898302</f>
        <v>34.377714629781678</v>
      </c>
      <c r="AS54" s="1">
        <f>(240/112*60)*0.259518041813058</f>
        <v>33.366605375964596</v>
      </c>
      <c r="AT54" s="1"/>
      <c r="AU54" s="1"/>
      <c r="AX54" s="1">
        <v>39.194847631999743</v>
      </c>
      <c r="AY54">
        <v>35.684121621621621</v>
      </c>
    </row>
    <row r="55" spans="1:51" x14ac:dyDescent="0.25">
      <c r="A55" s="8">
        <f t="shared" si="2"/>
        <v>1888</v>
      </c>
      <c r="C55" s="17">
        <v>49.371428571428581</v>
      </c>
      <c r="D55" s="17">
        <v>47.75</v>
      </c>
      <c r="E55" s="17">
        <v>40</v>
      </c>
      <c r="F55" s="1">
        <f>(240*60)*0.0035699584444096</f>
        <v>51.407401599498243</v>
      </c>
      <c r="G55" s="17">
        <v>44.248608534322813</v>
      </c>
      <c r="H55" s="17"/>
      <c r="I55" s="1">
        <f>(240*60)*0.00255102040816327</f>
        <v>36.734693877551088</v>
      </c>
      <c r="J55" s="1">
        <f>(240*60)*0.00263295514760138</f>
        <v>37.914554125459873</v>
      </c>
      <c r="L55" s="1"/>
      <c r="M55" s="1"/>
      <c r="N55" s="17"/>
      <c r="O55" s="1"/>
      <c r="P55" s="1">
        <f>(240*60)*0.00314754098360656</f>
        <v>45.324590163934459</v>
      </c>
      <c r="Q55" s="1"/>
      <c r="R55" s="17">
        <v>39.272727272727273</v>
      </c>
      <c r="S55" s="17"/>
      <c r="T55" s="1">
        <v>60</v>
      </c>
      <c r="U55" s="17">
        <v>41.603264181818176</v>
      </c>
      <c r="V55" s="17">
        <v>41.982614840989399</v>
      </c>
      <c r="W55" s="17"/>
      <c r="X55" s="1"/>
      <c r="Y55" s="1"/>
      <c r="Z55" s="1"/>
      <c r="AA55" s="3"/>
      <c r="AC55" s="1">
        <f>(240/2240*60)*7.18911586338972</f>
        <v>46.215744836076766</v>
      </c>
      <c r="AD55" s="1"/>
      <c r="AE55" s="1"/>
      <c r="AF55" s="3"/>
      <c r="AG55" s="1"/>
      <c r="AH55" s="1"/>
      <c r="AI55" s="1"/>
      <c r="AJ55" s="1"/>
      <c r="AK55" s="1"/>
      <c r="AL55" s="1"/>
      <c r="AM55" s="1"/>
      <c r="AN55" s="1"/>
      <c r="AO55" s="1"/>
      <c r="AP55" s="1"/>
      <c r="AQ55" s="1"/>
      <c r="AR55" s="1">
        <f>(240/112*60)*0.237135366878132</f>
        <v>30.488832884331252</v>
      </c>
      <c r="AS55" s="1">
        <f>(240/112*60)*0.237135366878132</f>
        <v>30.488832884331252</v>
      </c>
      <c r="AT55" s="1"/>
      <c r="AU55" s="1"/>
      <c r="AX55" s="1">
        <v>38.940689482979629</v>
      </c>
      <c r="AY55">
        <v>35.328773895847071</v>
      </c>
    </row>
    <row r="56" spans="1:51" x14ac:dyDescent="0.25">
      <c r="A56" s="8">
        <f t="shared" si="2"/>
        <v>1889</v>
      </c>
      <c r="C56" s="17">
        <v>49.435714285714283</v>
      </c>
      <c r="D56" s="17">
        <v>44.625</v>
      </c>
      <c r="E56" s="17">
        <v>38.375</v>
      </c>
      <c r="F56" s="1">
        <f>(240*60)*0.0031328320802005</f>
        <v>45.112781954887204</v>
      </c>
      <c r="G56" s="17">
        <v>38.235294117647058</v>
      </c>
      <c r="H56" s="17"/>
      <c r="I56" s="1">
        <f>(240*60)*0.00281327484264734</f>
        <v>40.511157734121696</v>
      </c>
      <c r="J56" s="1">
        <f>(240*60)*0.0022760486354423</f>
        <v>32.775100350369122</v>
      </c>
      <c r="L56" s="1"/>
      <c r="M56" s="1"/>
      <c r="N56" s="17"/>
      <c r="O56" s="1"/>
      <c r="P56" s="1">
        <f>(240*60)*0.00302541077313971</f>
        <v>43.565915133211824</v>
      </c>
      <c r="Q56" s="1"/>
      <c r="R56" s="17">
        <v>31.418181818181818</v>
      </c>
      <c r="S56" s="17"/>
      <c r="T56" s="1"/>
      <c r="U56" s="17">
        <v>33.202946102699642</v>
      </c>
      <c r="V56" s="17">
        <v>42.463462897526512</v>
      </c>
      <c r="W56" s="17"/>
      <c r="X56" s="1">
        <f>(240/2240*60)*15.2689711616175</f>
        <v>98.157671753255343</v>
      </c>
      <c r="Y56" s="1">
        <f>(240/2240*60)*13.2527284959608</f>
        <v>85.196111759747993</v>
      </c>
      <c r="Z56" s="1"/>
      <c r="AA56" s="18">
        <v>58.831988913438529</v>
      </c>
      <c r="AC56" s="1">
        <f>(240/2240*60)*6.89503431570447</f>
        <v>44.325220600957302</v>
      </c>
      <c r="AD56" s="1"/>
      <c r="AE56" s="1"/>
      <c r="AF56" s="1">
        <f>(240*60)*0.00171131155898782</f>
        <v>24.642886449424608</v>
      </c>
      <c r="AH56" s="1"/>
      <c r="AI56" s="1"/>
      <c r="AJ56" s="1"/>
      <c r="AK56" s="1"/>
      <c r="AL56" s="1"/>
      <c r="AM56" s="1"/>
      <c r="AN56" s="1"/>
      <c r="AO56" s="1"/>
      <c r="AP56" s="1"/>
      <c r="AQ56" s="1"/>
      <c r="AR56" s="1">
        <f>(240/112*60)*0.248266203037948</f>
        <v>31.919940390593311</v>
      </c>
      <c r="AS56" s="1">
        <f>(240/112*60)*0.234130845648129</f>
        <v>30.102537297616582</v>
      </c>
      <c r="AT56" s="1"/>
      <c r="AU56" s="1"/>
      <c r="AX56" s="1">
        <v>39.083852147924617</v>
      </c>
      <c r="AY56">
        <v>40.623982491360543</v>
      </c>
    </row>
    <row r="57" spans="1:51" x14ac:dyDescent="0.25">
      <c r="A57" s="8">
        <f t="shared" si="2"/>
        <v>1890</v>
      </c>
      <c r="C57" s="17">
        <v>50.142857142857146</v>
      </c>
      <c r="D57" s="17">
        <v>47.875</v>
      </c>
      <c r="E57" s="17">
        <v>42.875</v>
      </c>
      <c r="F57" s="1">
        <f>(240*60)*0.00334821428571429</f>
        <v>48.214285714285772</v>
      </c>
      <c r="G57" s="17">
        <v>39.084005695301371</v>
      </c>
      <c r="H57" s="17"/>
      <c r="I57" s="1">
        <f>(240*60)*0.00251509054325956</f>
        <v>36.217303822937666</v>
      </c>
      <c r="J57" s="1">
        <f>(240*60)*0.0023359099915193</f>
        <v>33.637103877877919</v>
      </c>
      <c r="L57" s="1"/>
      <c r="M57" s="1"/>
      <c r="N57" s="17"/>
      <c r="O57" s="1"/>
      <c r="P57" s="1">
        <f>(240*60)*0.00241478473776038</f>
        <v>34.772900223749467</v>
      </c>
      <c r="Q57" s="1"/>
      <c r="R57" s="17"/>
      <c r="S57" s="17"/>
      <c r="T57" s="1"/>
      <c r="U57" s="17">
        <v>34.81952245791976</v>
      </c>
      <c r="V57" s="17"/>
      <c r="W57" s="17"/>
      <c r="X57" s="1">
        <f>(240/2240*60)*19.6266255715134</f>
        <v>126.17116438830043</v>
      </c>
      <c r="Y57" s="1">
        <f>(240/2240*60)*13.6919809421201</f>
        <v>88.019877485057776</v>
      </c>
      <c r="Z57" s="1"/>
      <c r="AA57" s="18">
        <v>72.949870247768914</v>
      </c>
      <c r="AC57" s="1">
        <f>(240/2240*60)*5.73783874205419</f>
        <v>36.886106198919784</v>
      </c>
      <c r="AD57" s="1"/>
      <c r="AE57" s="1"/>
      <c r="AF57" s="1"/>
      <c r="AG57" s="1"/>
      <c r="AH57" s="1"/>
      <c r="AI57" s="1"/>
      <c r="AJ57" s="1"/>
      <c r="AK57" s="1"/>
      <c r="AL57" s="1"/>
      <c r="AM57" s="1"/>
      <c r="AN57" s="1"/>
      <c r="AO57" s="1"/>
      <c r="AP57" s="1"/>
      <c r="AR57" s="1">
        <f>(240/112*60)*0.318947666975487</f>
        <v>41.007557182562607</v>
      </c>
      <c r="AS57" s="1">
        <f>(240/112*60)*0.23768845228193</f>
        <v>30.559943864819569</v>
      </c>
      <c r="AT57" s="1"/>
      <c r="AU57" s="1">
        <f>(240/112*60)*0.204823151125402</f>
        <v>26.334405144694539</v>
      </c>
      <c r="AX57" s="1">
        <v>41.608947679970008</v>
      </c>
      <c r="AY57">
        <v>41.835305570061671</v>
      </c>
    </row>
    <row r="58" spans="1:51" x14ac:dyDescent="0.25">
      <c r="A58" s="8">
        <f t="shared" si="2"/>
        <v>1891</v>
      </c>
      <c r="C58" s="17">
        <v>57.085714285714296</v>
      </c>
      <c r="D58" s="17">
        <v>55.5</v>
      </c>
      <c r="E58" s="17">
        <v>48.75</v>
      </c>
      <c r="F58" s="1">
        <f>(240*60)*0.00356193009118541</f>
        <v>51.291793313069903</v>
      </c>
      <c r="G58" s="17">
        <v>40.009990009990005</v>
      </c>
      <c r="H58" s="17"/>
      <c r="I58" s="1"/>
      <c r="J58" s="3">
        <f>(240*60)*0.0023786769951429</f>
        <v>34.25294873005776</v>
      </c>
      <c r="L58" s="1"/>
      <c r="M58" s="1"/>
      <c r="N58" s="17"/>
      <c r="O58" s="1"/>
      <c r="P58" s="1">
        <f>(240*60)*0.00308824664796562</f>
        <v>44.470751730704933</v>
      </c>
      <c r="Q58" s="1"/>
      <c r="R58" s="17"/>
      <c r="S58" s="17"/>
      <c r="T58" s="1"/>
      <c r="U58" s="17">
        <v>35.057253867846221</v>
      </c>
      <c r="V58" s="17"/>
      <c r="W58" s="17"/>
      <c r="X58" s="1"/>
      <c r="Y58" s="1"/>
      <c r="Z58" s="1"/>
      <c r="AA58" s="18">
        <v>58.831988913438529</v>
      </c>
      <c r="AC58" s="1">
        <f>(240/2240*60)*5.79626590069757</f>
        <v>37.261709361627233</v>
      </c>
      <c r="AD58" s="1"/>
      <c r="AE58" s="1"/>
      <c r="AF58" s="1"/>
      <c r="AG58" s="1"/>
      <c r="AH58" s="1"/>
      <c r="AI58" s="1"/>
      <c r="AJ58" s="1"/>
      <c r="AK58" s="1"/>
      <c r="AL58" s="1"/>
      <c r="AM58" s="1"/>
      <c r="AN58" s="1"/>
      <c r="AO58" s="1"/>
      <c r="AP58" s="1"/>
      <c r="AQ58" s="1"/>
      <c r="AR58" s="1">
        <f>(240/112*60)*0.275806864470391</f>
        <v>35.460882574764554</v>
      </c>
      <c r="AS58" s="1">
        <f>(240/112*60)*0.26169581559051</f>
        <v>33.646604861636995</v>
      </c>
      <c r="AT58" s="1"/>
      <c r="AU58" s="1">
        <f>(240/112*60)*0.225184285961401</f>
        <v>28.95226533789441</v>
      </c>
      <c r="AV58" s="1"/>
      <c r="AX58" s="1">
        <v>42.743333423064108</v>
      </c>
      <c r="AY58">
        <v>48.30557880100563</v>
      </c>
    </row>
    <row r="59" spans="1:51" x14ac:dyDescent="0.25">
      <c r="A59" s="8">
        <f t="shared" si="2"/>
        <v>1892</v>
      </c>
      <c r="C59" s="17">
        <v>49.242857142857147</v>
      </c>
      <c r="D59" s="17">
        <v>45.375</v>
      </c>
      <c r="E59" s="17">
        <v>37.375</v>
      </c>
      <c r="F59" s="1">
        <f>(240*60)*0.00314465408805031</f>
        <v>45.283018867924461</v>
      </c>
      <c r="G59" s="17">
        <v>42.328042328042322</v>
      </c>
      <c r="H59" s="17"/>
      <c r="I59" s="1"/>
      <c r="J59" s="3">
        <f>(240*60)*0.00251859351663657</f>
        <v>36.267746639566603</v>
      </c>
      <c r="L59" s="1"/>
      <c r="M59" s="1"/>
      <c r="N59" s="17"/>
      <c r="O59" s="1"/>
      <c r="P59" s="1"/>
      <c r="Q59" s="1"/>
      <c r="R59" s="17"/>
      <c r="S59" s="17"/>
      <c r="T59" s="1"/>
      <c r="U59" s="17">
        <v>35.877747990918046</v>
      </c>
      <c r="V59" s="17">
        <v>49.802120141342755</v>
      </c>
      <c r="W59" s="17"/>
      <c r="X59" s="1"/>
      <c r="Y59" s="1">
        <f>(240/2240*60)*5.70225587144623</f>
        <v>36.657359173582904</v>
      </c>
      <c r="Z59" s="1"/>
      <c r="AA59" s="18">
        <v>58.831988913438529</v>
      </c>
      <c r="AC59" s="1">
        <f>(240/2240*60)*5.09081962603683</f>
        <v>32.726697595951045</v>
      </c>
      <c r="AD59" s="1"/>
      <c r="AE59" s="1"/>
      <c r="AF59" s="1"/>
      <c r="AG59" s="1"/>
      <c r="AH59" s="1"/>
      <c r="AI59" s="1"/>
      <c r="AJ59" s="1"/>
      <c r="AK59" s="1"/>
      <c r="AL59" s="1">
        <f>(240*60)*0.00212418300653595</f>
        <v>30.58823529411768</v>
      </c>
      <c r="AN59" s="1"/>
      <c r="AO59" s="1"/>
      <c r="AP59" s="1"/>
      <c r="AQ59" s="1"/>
      <c r="AR59" s="1">
        <f>(240/112*60)*0.289887227846273</f>
        <v>37.271215008806529</v>
      </c>
      <c r="AS59" s="1">
        <f>(240/112*60)*0.282142691612145</f>
        <v>36.275488921561497</v>
      </c>
      <c r="AT59" s="1"/>
      <c r="AU59" s="1">
        <f>(240/112*60)*0.25350416267411</f>
        <v>32.593392343814145</v>
      </c>
      <c r="AV59" s="1"/>
      <c r="AX59" s="1">
        <v>41.761671246829117</v>
      </c>
      <c r="AY59">
        <v>42.699549684281607</v>
      </c>
    </row>
    <row r="60" spans="1:51" x14ac:dyDescent="0.25">
      <c r="A60" s="8">
        <f t="shared" si="2"/>
        <v>1893</v>
      </c>
      <c r="C60" s="17">
        <v>41.400000000000006</v>
      </c>
      <c r="D60" s="17">
        <v>39.5</v>
      </c>
      <c r="E60" s="17">
        <v>30.875</v>
      </c>
      <c r="G60" s="17">
        <v>21.584984358706983</v>
      </c>
      <c r="H60" s="17"/>
      <c r="I60" s="1"/>
      <c r="J60" s="3">
        <f>(240*60)*0.00127554520960354</f>
        <v>18.367851018290974</v>
      </c>
      <c r="L60" s="1"/>
      <c r="M60" s="1"/>
      <c r="N60" s="17">
        <v>60.872727272727275</v>
      </c>
      <c r="O60" s="1"/>
      <c r="P60" s="1"/>
      <c r="Q60" s="1"/>
      <c r="R60" s="17"/>
      <c r="S60" s="17"/>
      <c r="T60" s="1"/>
      <c r="U60" s="17">
        <v>33.398418221047145</v>
      </c>
      <c r="V60" s="17">
        <v>42.93286219081272</v>
      </c>
      <c r="W60" s="17"/>
      <c r="X60" s="1"/>
      <c r="Y60" s="1">
        <f>(240/2240*60)*4.99762940364041</f>
        <v>32.1276175948312</v>
      </c>
      <c r="Z60" s="1"/>
      <c r="AA60" s="18"/>
      <c r="AC60" s="1">
        <f>(240/2240*60)*4.32623224728488</f>
        <v>27.811493018259938</v>
      </c>
      <c r="AD60" s="1"/>
      <c r="AE60" s="1"/>
      <c r="AF60" s="1"/>
      <c r="AG60" s="1"/>
      <c r="AH60" s="1"/>
      <c r="AI60" s="1"/>
      <c r="AJ60" s="1"/>
      <c r="AK60" s="3">
        <f>(240*60)*0.00120604237718294</f>
        <v>17.367010231434339</v>
      </c>
      <c r="AL60" s="1"/>
      <c r="AM60" s="1">
        <f>(240*60)*0.00174046226677806</f>
        <v>25.062656641604065</v>
      </c>
      <c r="AN60" s="1"/>
      <c r="AO60" s="1"/>
      <c r="AP60" s="1"/>
      <c r="AQ60" s="1"/>
      <c r="AR60" s="1">
        <f>(240/112*60)*0.235597223445533</f>
        <v>30.291071585854237</v>
      </c>
      <c r="AS60" s="1">
        <f>(240/112*60)*0.208485542961427</f>
        <v>26.805284095040609</v>
      </c>
      <c r="AT60" s="1"/>
      <c r="AU60" s="1">
        <f>(240/112*60)*0.224469820554649</f>
        <v>28.860405499883441</v>
      </c>
      <c r="AV60" s="1"/>
      <c r="AX60" s="1">
        <v>36.720161859974439</v>
      </c>
      <c r="AY60">
        <v>35.367498800305739</v>
      </c>
    </row>
    <row r="61" spans="1:51" x14ac:dyDescent="0.25">
      <c r="A61" s="8">
        <f t="shared" si="2"/>
        <v>1894</v>
      </c>
      <c r="C61" s="17">
        <v>34.392857142857139</v>
      </c>
      <c r="D61" s="17">
        <v>34.25</v>
      </c>
      <c r="E61" s="17">
        <v>26.25</v>
      </c>
      <c r="G61" s="17">
        <v>12.698412698412696</v>
      </c>
      <c r="H61" s="17">
        <f>(240*60)*0.00137723214285714</f>
        <v>19.832142857142813</v>
      </c>
      <c r="I61" s="1"/>
      <c r="J61" s="3">
        <f>(240*60)*0.00131578999594088</f>
        <v>18.947375941548671</v>
      </c>
      <c r="L61" s="1"/>
      <c r="M61" s="1"/>
      <c r="N61" s="17"/>
      <c r="O61" s="1"/>
      <c r="P61" s="1"/>
      <c r="Q61" s="1"/>
      <c r="R61" s="17"/>
      <c r="S61" s="17"/>
      <c r="T61" s="1"/>
      <c r="U61" s="17">
        <v>25.708735164284665</v>
      </c>
      <c r="V61" s="17">
        <v>27.282402826855126</v>
      </c>
      <c r="W61" s="17"/>
      <c r="X61" s="1"/>
      <c r="Y61" s="1">
        <f>(240/2240*60)*5.10178968336371</f>
        <v>32.797219393052416</v>
      </c>
      <c r="Z61" s="1"/>
      <c r="AA61" s="18">
        <v>58.831988913438529</v>
      </c>
      <c r="AC61" s="1">
        <f>(240/2240*60)*4.91356184798807</f>
        <v>31.58718330849473</v>
      </c>
      <c r="AD61" s="1"/>
      <c r="AE61" s="1"/>
      <c r="AF61" s="1"/>
      <c r="AG61" s="1"/>
      <c r="AH61" s="1"/>
      <c r="AI61" s="1"/>
      <c r="AJ61" s="1"/>
      <c r="AK61" s="1"/>
      <c r="AL61" s="1"/>
      <c r="AN61" s="1"/>
      <c r="AO61" s="1"/>
      <c r="AP61" s="1"/>
      <c r="AQ61" s="1"/>
      <c r="AR61" s="1">
        <f>(240/112*60)*0.196060133686741</f>
        <v>25.207731474009552</v>
      </c>
      <c r="AS61" s="1">
        <f>(240/112*60)*0.155603280703763</f>
        <v>20.00613609048381</v>
      </c>
      <c r="AT61" s="1"/>
      <c r="AU61" s="1">
        <f>(240/112*60)*0.0991467417987415</f>
        <v>12.747438231266763</v>
      </c>
      <c r="AV61" s="1"/>
      <c r="AX61" s="1">
        <v>27.081061322308653</v>
      </c>
      <c r="AY61">
        <v>27.141396317766276</v>
      </c>
    </row>
    <row r="62" spans="1:51" x14ac:dyDescent="0.25">
      <c r="A62" s="8">
        <f t="shared" si="2"/>
        <v>1895</v>
      </c>
      <c r="C62" s="17">
        <v>35.421428571428571</v>
      </c>
      <c r="D62" s="17">
        <v>34.625</v>
      </c>
      <c r="E62" s="17">
        <v>29.5</v>
      </c>
      <c r="G62" s="17">
        <v>13.207394194908382</v>
      </c>
      <c r="H62" s="17">
        <f>(240*60)*0.00127418526785714</f>
        <v>18.348267857142815</v>
      </c>
      <c r="I62" s="1"/>
      <c r="J62" s="3">
        <f>(240*60)*0.00137755045556363</f>
        <v>19.836726560116272</v>
      </c>
      <c r="L62" s="1"/>
      <c r="M62" s="1"/>
      <c r="N62" s="17"/>
      <c r="O62" s="1"/>
      <c r="P62" s="1">
        <f>(240*60)*0.00180655179500712</f>
        <v>26.014345848102529</v>
      </c>
      <c r="Q62" s="1"/>
      <c r="R62" s="17"/>
      <c r="S62" s="17"/>
      <c r="T62" s="1"/>
      <c r="U62" s="17">
        <v>24.796916768236322</v>
      </c>
      <c r="V62" s="17">
        <v>28.049469964664311</v>
      </c>
      <c r="W62" s="17"/>
      <c r="X62" s="1"/>
      <c r="Y62" s="1">
        <f>(240/2240*60)*6.26279527559055</f>
        <v>40.260826771653534</v>
      </c>
      <c r="Z62" s="1"/>
      <c r="AA62" s="18"/>
      <c r="AC62" s="1">
        <f>(240/2240*60)*4.96571825121443</f>
        <v>31.922474472092759</v>
      </c>
      <c r="AD62" s="1"/>
      <c r="AE62" s="1"/>
      <c r="AF62" s="1"/>
      <c r="AG62" s="1"/>
      <c r="AH62" s="1"/>
      <c r="AI62" s="1"/>
      <c r="AJ62" s="1"/>
      <c r="AK62" s="1"/>
      <c r="AL62" s="1"/>
      <c r="AN62" s="1"/>
      <c r="AO62" s="1"/>
      <c r="AP62" s="1"/>
      <c r="AQ62" s="1"/>
      <c r="AR62" s="1">
        <f>(240/112*60)*0.201988517858695</f>
        <v>25.969952296117928</v>
      </c>
      <c r="AS62" s="1"/>
      <c r="AT62" s="1"/>
      <c r="AU62" s="1">
        <f>(240/112*60)*0.121276414517241</f>
        <v>15.592681866502412</v>
      </c>
      <c r="AV62" s="1"/>
      <c r="AX62" s="1">
        <v>27.374778822519495</v>
      </c>
      <c r="AY62">
        <v>29.967862366378284</v>
      </c>
    </row>
    <row r="63" spans="1:51" x14ac:dyDescent="0.25">
      <c r="A63" s="8">
        <f t="shared" si="2"/>
        <v>1896</v>
      </c>
      <c r="C63" s="17">
        <v>39.792857142857144</v>
      </c>
      <c r="D63" s="17">
        <v>39.25</v>
      </c>
      <c r="E63" s="17">
        <v>30.103499999999997</v>
      </c>
      <c r="G63" s="17">
        <v>16.142227816236627</v>
      </c>
      <c r="H63" s="17">
        <f>(240*60)*0.00226004464285714</f>
        <v>32.544642857142819</v>
      </c>
      <c r="I63" s="1"/>
      <c r="J63" s="3">
        <f>(240*60)*0.00167410530151366</f>
        <v>24.107116341796704</v>
      </c>
      <c r="L63" s="1"/>
      <c r="M63" s="1"/>
      <c r="N63" s="17"/>
      <c r="O63" s="1"/>
      <c r="P63" s="1">
        <f>(240*60)*0.0044384699761779</f>
        <v>63.913967656961766</v>
      </c>
      <c r="Q63" s="1"/>
      <c r="R63" s="17"/>
      <c r="S63" s="17"/>
      <c r="T63" s="1"/>
      <c r="U63" s="17">
        <v>30.084854890071522</v>
      </c>
      <c r="V63" s="17">
        <v>31.552791519434631</v>
      </c>
      <c r="W63" s="17">
        <v>30.94600706713781</v>
      </c>
      <c r="X63" s="1"/>
      <c r="Y63" s="1">
        <f>(240/2240*60)*6.48826219512195</f>
        <v>41.710256968641104</v>
      </c>
      <c r="Z63" s="1"/>
      <c r="AA63" s="18"/>
      <c r="AC63" s="1">
        <f>(240/2240*60)*5.5477942922266</f>
        <v>35.664391878599567</v>
      </c>
      <c r="AD63" s="1"/>
      <c r="AE63" s="1"/>
      <c r="AF63" s="1"/>
      <c r="AG63" s="1"/>
      <c r="AH63" s="1"/>
      <c r="AI63" s="1"/>
      <c r="AJ63" s="1"/>
      <c r="AK63" s="1"/>
      <c r="AL63" s="1"/>
      <c r="AN63" s="1"/>
      <c r="AO63" s="1"/>
      <c r="AP63" s="1">
        <v>34.745559845559846</v>
      </c>
      <c r="AQ63" s="1">
        <v>37.811688311688307</v>
      </c>
      <c r="AR63" s="1">
        <f>(240/112*60)*0.208763814055213</f>
        <v>26.841061807098811</v>
      </c>
      <c r="AS63" s="1"/>
      <c r="AT63" s="1"/>
      <c r="AU63" s="1">
        <f>(240/112*60)*0.318008534332948</f>
        <v>40.88681155709331</v>
      </c>
      <c r="AV63" s="1">
        <f>(240/112*60)*0.304684684684685</f>
        <v>39.17374517374521</v>
      </c>
      <c r="AW63" s="1">
        <f>(240/112*60)*0.294148148148148</f>
        <v>37.819047619047595</v>
      </c>
      <c r="AX63" s="1">
        <v>37.922893574179298</v>
      </c>
      <c r="AY63">
        <v>39.881374187748214</v>
      </c>
    </row>
    <row r="64" spans="1:51" x14ac:dyDescent="0.25">
      <c r="A64" s="8">
        <f t="shared" si="2"/>
        <v>1897</v>
      </c>
      <c r="C64" s="17">
        <v>47.892857142857139</v>
      </c>
      <c r="D64" s="17">
        <v>45.25</v>
      </c>
      <c r="E64" s="17">
        <v>36.025500000000001</v>
      </c>
      <c r="G64" s="17">
        <v>4.5112781954887211</v>
      </c>
      <c r="H64" s="17"/>
      <c r="I64" s="1"/>
      <c r="J64" s="3">
        <f>(240*60)*0.000490606520487728</f>
        <v>7.0647338950232834</v>
      </c>
      <c r="L64" s="1"/>
      <c r="M64" s="1"/>
      <c r="N64" s="17"/>
      <c r="P64" s="1"/>
      <c r="Q64" s="1"/>
      <c r="R64" s="17"/>
      <c r="S64" s="17"/>
      <c r="T64" s="1"/>
      <c r="U64" s="17">
        <v>36.074435601630746</v>
      </c>
      <c r="V64" s="17">
        <v>33.201413427561839</v>
      </c>
      <c r="W64" s="17">
        <v>38.937243816254416</v>
      </c>
      <c r="X64" s="1"/>
      <c r="Y64" s="1"/>
      <c r="Z64" s="1"/>
      <c r="AA64" s="18"/>
      <c r="AC64" s="1">
        <f>(240/2240*60)*4.82177199161093</f>
        <v>30.997105660355977</v>
      </c>
      <c r="AD64" s="1"/>
      <c r="AE64" s="1"/>
      <c r="AF64" s="1"/>
      <c r="AG64" s="1"/>
      <c r="AI64" s="1"/>
      <c r="AJ64" s="1"/>
      <c r="AK64" s="1"/>
      <c r="AL64" s="1"/>
      <c r="AN64" s="1"/>
      <c r="AO64" s="1"/>
      <c r="AP64" s="1">
        <v>44.597642755537493</v>
      </c>
      <c r="AQ64" s="1">
        <v>52.246153846153845</v>
      </c>
      <c r="AR64" s="1">
        <f>(240/112*60)*0.325029290440161</f>
        <v>41.789480199449265</v>
      </c>
      <c r="AS64" s="1"/>
      <c r="AT64" s="1">
        <f>(240/112*60)*0.337838902900378</f>
        <v>43.43643037290574</v>
      </c>
      <c r="AU64" s="1">
        <f>(240/112*60)*0.336559399951609</f>
        <v>43.27192285092115</v>
      </c>
      <c r="AV64" s="1">
        <f>(240/112*60)*0.437512195121951</f>
        <v>56.251567944250837</v>
      </c>
      <c r="AW64" s="1">
        <f>(240/112*60)*0.43752380952381</f>
        <v>56.253061224489848</v>
      </c>
      <c r="AX64" s="1">
        <v>48.336886130841343</v>
      </c>
      <c r="AY64">
        <v>46.187876219657369</v>
      </c>
    </row>
    <row r="65" spans="1:51" x14ac:dyDescent="0.25">
      <c r="A65" s="8">
        <f t="shared" si="2"/>
        <v>1898</v>
      </c>
      <c r="C65" s="17">
        <v>51.557142857142864</v>
      </c>
      <c r="D65" s="17">
        <v>51</v>
      </c>
      <c r="E65" s="17">
        <v>45.895499999999998</v>
      </c>
      <c r="G65" s="17">
        <v>21.428571428571427</v>
      </c>
      <c r="H65" s="17"/>
      <c r="I65" s="1">
        <f>(240*60)*0.00127575535307338</f>
        <v>18.370877084256673</v>
      </c>
      <c r="J65" s="1">
        <f>(240*60)*0.00223214285714286</f>
        <v>32.142857142857181</v>
      </c>
      <c r="L65" s="1"/>
      <c r="M65" s="1"/>
      <c r="N65" s="17"/>
      <c r="P65" s="1">
        <f>(240*60)*0.00353089533417402</f>
        <v>50.84489281210589</v>
      </c>
      <c r="Q65" s="1"/>
      <c r="R65" s="17">
        <v>51.054545454545455</v>
      </c>
      <c r="S65" s="17"/>
      <c r="T65" s="1"/>
      <c r="U65" s="17">
        <v>37.25513941916801</v>
      </c>
      <c r="V65" s="17">
        <v>46.367491166077741</v>
      </c>
      <c r="W65" s="17">
        <v>49.092296819787997</v>
      </c>
      <c r="X65" s="1"/>
      <c r="Y65" s="1"/>
      <c r="Z65" s="1"/>
      <c r="AA65" s="18"/>
      <c r="AC65" s="1">
        <f>(240/2240*60)*4.88802171700033</f>
        <v>31.422996752144979</v>
      </c>
      <c r="AD65" s="1"/>
      <c r="AE65" s="1"/>
      <c r="AF65" s="1"/>
      <c r="AG65" s="1"/>
      <c r="AI65" s="1"/>
      <c r="AJ65" s="1"/>
      <c r="AK65" s="1"/>
      <c r="AL65" s="1"/>
      <c r="AN65" s="1"/>
      <c r="AO65" s="1"/>
      <c r="AP65" s="1">
        <v>41.653442959917783</v>
      </c>
      <c r="AQ65" s="1">
        <v>44.193277310924373</v>
      </c>
      <c r="AR65" s="1">
        <f>(240/112*60)*0.299112859342461</f>
        <v>38.457367629744979</v>
      </c>
      <c r="AS65" s="1"/>
      <c r="AT65" s="1"/>
      <c r="AU65" s="1">
        <f>(240/112*60)*0.256652360515021</f>
        <v>32.998160637645555</v>
      </c>
      <c r="AV65" s="1">
        <f>(240/112*60)*0.313651162790698</f>
        <v>40.326578073089735</v>
      </c>
      <c r="AW65" s="1">
        <f>(240/112*60)*0.312471482889734</f>
        <v>40.174904942965789</v>
      </c>
      <c r="AX65" s="1">
        <v>41.45923520289665</v>
      </c>
      <c r="AY65">
        <v>40.779561540568011</v>
      </c>
    </row>
    <row r="66" spans="1:51" x14ac:dyDescent="0.25">
      <c r="A66" s="8">
        <f t="shared" si="2"/>
        <v>1899</v>
      </c>
      <c r="C66" s="17">
        <v>43.007142857142853</v>
      </c>
      <c r="D66" s="17">
        <v>38.5</v>
      </c>
      <c r="E66" s="17">
        <v>38.986499999999999</v>
      </c>
      <c r="F66" s="1">
        <f>(240*60)*0.00686813186813187</f>
        <v>98.901098901098919</v>
      </c>
      <c r="G66" s="17">
        <v>21.428571428571427</v>
      </c>
      <c r="H66" s="17"/>
      <c r="I66" s="1">
        <f>(240*60)*0.00253416344511373</f>
        <v>36.491953609637712</v>
      </c>
      <c r="J66" s="1">
        <f>(240*60)*0.00223217578008947</f>
        <v>32.143331233288365</v>
      </c>
      <c r="L66" s="1"/>
      <c r="M66" s="1"/>
      <c r="N66" s="17"/>
      <c r="P66" s="1"/>
      <c r="Q66" s="1"/>
      <c r="R66" s="17"/>
      <c r="S66" s="17"/>
      <c r="T66" s="1">
        <v>44.634146341463413</v>
      </c>
      <c r="U66" s="17">
        <v>34.164308071157301</v>
      </c>
      <c r="V66" s="17">
        <v>45.085229681978802</v>
      </c>
      <c r="W66" s="17">
        <v>45.085229681978802</v>
      </c>
      <c r="X66" s="1"/>
      <c r="Y66" s="1"/>
      <c r="Z66" s="1"/>
      <c r="AA66" s="18"/>
      <c r="AC66" s="1">
        <f>(240/2240*60)*4.49705714828175</f>
        <v>28.909653096096964</v>
      </c>
      <c r="AD66" s="1"/>
      <c r="AE66" s="1"/>
      <c r="AF66" s="1"/>
      <c r="AG66" s="1"/>
      <c r="AI66" s="1"/>
      <c r="AJ66" s="1"/>
      <c r="AK66" s="1"/>
      <c r="AL66" s="1"/>
      <c r="AN66" s="1"/>
      <c r="AO66" s="1"/>
      <c r="AP66" s="1"/>
      <c r="AQ66" s="1"/>
      <c r="AR66" s="1">
        <f>(240/112*60)*0.405165124246525</f>
        <v>52.092658831696063</v>
      </c>
      <c r="AS66" s="1"/>
      <c r="AT66" s="1"/>
      <c r="AU66" s="1">
        <f>(240/112*60)*0.251643192488263</f>
        <v>32.354124748490953</v>
      </c>
      <c r="AV66" s="1">
        <f>(240/112*60)*0.333333333333333</f>
        <v>42.857142857142804</v>
      </c>
      <c r="AW66" s="1">
        <f>(240/112*60)*0.333333333333333</f>
        <v>42.857142857142804</v>
      </c>
      <c r="AX66" s="1">
        <v>38.814505656181865</v>
      </c>
      <c r="AY66">
        <v>36.786798513658482</v>
      </c>
    </row>
    <row r="67" spans="1:51" x14ac:dyDescent="0.25">
      <c r="A67" s="8">
        <f t="shared" si="2"/>
        <v>1900</v>
      </c>
      <c r="C67" s="17">
        <v>43.714285714285715</v>
      </c>
      <c r="D67" s="17">
        <v>40.375</v>
      </c>
      <c r="E67" s="17">
        <v>37.999499999999998</v>
      </c>
      <c r="F67" s="1">
        <f>(240*60)*0.00686813186813187</f>
        <v>98.901098901098919</v>
      </c>
      <c r="G67" s="17">
        <v>13.554216867469879</v>
      </c>
      <c r="H67" s="17"/>
      <c r="I67" s="1">
        <f>(240*60)*0.00255102040816327</f>
        <v>36.734693877551088</v>
      </c>
      <c r="J67" s="1">
        <f>(240*60)*0.00223214285714286</f>
        <v>32.142857142857181</v>
      </c>
      <c r="L67" s="1"/>
      <c r="M67" s="1"/>
      <c r="N67" s="17"/>
      <c r="P67" s="1"/>
      <c r="Q67" s="1"/>
      <c r="R67" s="17">
        <v>132.54545454545453</v>
      </c>
      <c r="S67" s="17"/>
      <c r="T67" s="1">
        <v>32.926829268292686</v>
      </c>
      <c r="U67" s="17">
        <v>38.084223599999994</v>
      </c>
      <c r="V67" s="17">
        <v>39.784452296819794</v>
      </c>
      <c r="W67" s="17">
        <v>39.784452296819794</v>
      </c>
      <c r="X67" s="1"/>
      <c r="Y67" s="1">
        <f>(240/2240*60)*5.87431102362205</f>
        <v>37.763428008998886</v>
      </c>
      <c r="Z67" s="1"/>
      <c r="AA67" s="18"/>
      <c r="AC67" s="1">
        <f>(240/2240*60)*4.8185752930568</f>
        <v>30.976555455365141</v>
      </c>
      <c r="AD67" s="1"/>
      <c r="AE67" s="1"/>
      <c r="AF67" s="1"/>
      <c r="AG67" s="1"/>
      <c r="AH67" s="1"/>
      <c r="AI67" s="1"/>
      <c r="AJ67" s="1"/>
      <c r="AK67" s="1"/>
      <c r="AL67" s="1"/>
      <c r="AN67" s="1"/>
      <c r="AO67" s="1"/>
      <c r="AP67" s="1"/>
      <c r="AQ67" s="1"/>
      <c r="AR67" s="1">
        <f>(240/112*60)*0.213438450328086</f>
        <v>27.44208647075391</v>
      </c>
      <c r="AS67" s="1"/>
      <c r="AT67" s="1"/>
      <c r="AU67" s="1">
        <f>(240/112*60)*0.458501208702659</f>
        <v>58.950155404627573</v>
      </c>
      <c r="AW67" s="1"/>
      <c r="AX67" s="1">
        <v>39.343848718872792</v>
      </c>
      <c r="AY67">
        <v>41.971060128401739</v>
      </c>
    </row>
    <row r="68" spans="1:51" x14ac:dyDescent="0.25">
      <c r="A68" s="8">
        <f t="shared" si="2"/>
        <v>1901</v>
      </c>
      <c r="C68" s="17">
        <v>42.557142857142864</v>
      </c>
      <c r="D68" s="17">
        <v>40.125</v>
      </c>
      <c r="E68" s="17">
        <v>37.012499999999996</v>
      </c>
      <c r="F68" s="1">
        <f>(240*60)*0.00549450549450549</f>
        <v>79.120879120879053</v>
      </c>
      <c r="G68" s="17">
        <v>26.428571428571423</v>
      </c>
      <c r="H68" s="17">
        <f>(240*60)*0.00260416666666667</f>
        <v>37.50000000000005</v>
      </c>
      <c r="I68" s="1">
        <f>(240*60)*0.00255074115031891</f>
        <v>36.730672564592304</v>
      </c>
      <c r="J68" s="1">
        <f>(240*60)*0.00234379161167761</f>
        <v>33.750599208157588</v>
      </c>
      <c r="L68" s="1"/>
      <c r="M68" s="1"/>
      <c r="N68" s="17"/>
      <c r="P68" s="1"/>
      <c r="Q68" s="1"/>
      <c r="R68" s="17">
        <v>59.890909090909098</v>
      </c>
      <c r="S68" s="17"/>
      <c r="T68" s="1">
        <v>34.390243902439032</v>
      </c>
      <c r="U68" s="17">
        <v>38.981104729411761</v>
      </c>
      <c r="V68" s="17">
        <v>37.013851590106007</v>
      </c>
      <c r="W68" s="17">
        <v>37.013851590106007</v>
      </c>
      <c r="X68" s="1"/>
      <c r="Y68" s="1">
        <f>(240/2240*60)*6.05090803849215</f>
        <v>38.898694533163813</v>
      </c>
      <c r="Z68" s="1"/>
      <c r="AA68" s="18">
        <v>22.678826166700631</v>
      </c>
      <c r="AC68" s="1">
        <f>(240/2240*60)*4.95095693779904</f>
        <v>31.827580314422395</v>
      </c>
      <c r="AD68" s="1"/>
      <c r="AE68" s="1"/>
      <c r="AF68" s="1"/>
      <c r="AG68" s="1"/>
      <c r="AH68" s="1"/>
      <c r="AI68" s="1"/>
      <c r="AJ68" s="1"/>
      <c r="AK68" s="1"/>
      <c r="AL68" s="1"/>
      <c r="AN68" s="1"/>
      <c r="AO68" s="1"/>
      <c r="AP68" s="1">
        <v>47.141560406310781</v>
      </c>
      <c r="AQ68" s="1"/>
      <c r="AR68" s="1">
        <f>(240/112*60)*0.236681182944481</f>
        <v>30.430437807147555</v>
      </c>
      <c r="AS68" s="1"/>
      <c r="AT68" s="1">
        <f>(240/112*60)*0.405491567256273</f>
        <v>52.13463007580652</v>
      </c>
      <c r="AU68" s="1"/>
      <c r="AW68" s="1"/>
      <c r="AX68" s="1">
        <v>42.675491515452919</v>
      </c>
      <c r="AY68">
        <v>41.599692358238535</v>
      </c>
    </row>
    <row r="69" spans="1:51" x14ac:dyDescent="0.25">
      <c r="A69" s="8">
        <f t="shared" si="2"/>
        <v>1902</v>
      </c>
      <c r="C69" s="17">
        <v>43.007142857142853</v>
      </c>
      <c r="D69" s="17">
        <v>42.125</v>
      </c>
      <c r="E69" s="17">
        <v>36.518999999999998</v>
      </c>
      <c r="F69" s="1">
        <f>(240*60)*0.00471132431043344</f>
        <v>67.843070070241524</v>
      </c>
      <c r="G69" s="17">
        <v>21.428571428571427</v>
      </c>
      <c r="H69" s="17">
        <f>(240*60)*0.00269001831501832</f>
        <v>38.736263736263808</v>
      </c>
      <c r="I69" s="1">
        <f>(240*60)*0.00255102040816327</f>
        <v>36.734693877551088</v>
      </c>
      <c r="J69" s="1">
        <f>(240*60)*0.00234361939101478</f>
        <v>33.748119230612829</v>
      </c>
      <c r="L69" s="1"/>
      <c r="M69" s="1"/>
      <c r="N69" s="17"/>
      <c r="O69" s="1">
        <f>(240*60)*0.00521454619815276</f>
        <v>75.089465253399752</v>
      </c>
      <c r="P69" s="1"/>
      <c r="R69" s="17"/>
      <c r="S69" s="17">
        <v>35.835428571428572</v>
      </c>
      <c r="T69" s="1"/>
      <c r="U69" s="17">
        <v>38.263024498353225</v>
      </c>
      <c r="V69" s="17">
        <v>36.498657243816254</v>
      </c>
      <c r="W69" s="17">
        <v>36.498657243816254</v>
      </c>
      <c r="X69" s="1"/>
      <c r="Y69" s="1"/>
      <c r="Z69" s="1"/>
      <c r="AA69" s="18"/>
      <c r="AC69" s="1">
        <f>(240/2240*60)*4.57304869913275</f>
        <v>29.398170208710532</v>
      </c>
      <c r="AD69" s="1">
        <f>(240*60)*0.00907237831014688</f>
        <v>130.64224766611505</v>
      </c>
      <c r="AE69" s="1">
        <f>(240*60)*0.0020979020979021</f>
        <v>30.209790209790242</v>
      </c>
      <c r="AF69" s="1"/>
      <c r="AG69" s="1"/>
      <c r="AH69" s="1"/>
      <c r="AI69" s="1">
        <f>(240/112*60)*0.0423211875843455</f>
        <v>5.4412955465587061</v>
      </c>
      <c r="AJ69" s="1"/>
      <c r="AK69" s="1"/>
      <c r="AL69" s="1"/>
      <c r="AN69" s="1"/>
      <c r="AO69" s="1"/>
      <c r="AP69" s="1">
        <v>42.896981459727257</v>
      </c>
      <c r="AQ69" s="1"/>
      <c r="AR69" s="1">
        <f>(240/112*60)*0.139405399831066</f>
        <v>17.923551406851342</v>
      </c>
      <c r="AS69" s="1"/>
      <c r="AT69" s="1">
        <f>(240/112*60)*0.255136644723718</f>
        <v>32.803282893049456</v>
      </c>
      <c r="AU69" s="1"/>
      <c r="AW69" s="1"/>
      <c r="AX69" s="1">
        <v>36.172634581341093</v>
      </c>
      <c r="AY69">
        <v>37.988589634931095</v>
      </c>
    </row>
    <row r="70" spans="1:51" x14ac:dyDescent="0.25">
      <c r="A70" s="8">
        <f t="shared" si="2"/>
        <v>1903</v>
      </c>
      <c r="C70" s="17">
        <v>43.65</v>
      </c>
      <c r="D70" s="17">
        <v>40.125</v>
      </c>
      <c r="E70" s="17">
        <v>36.518999999999998</v>
      </c>
      <c r="G70" s="17">
        <v>21.669341894060992</v>
      </c>
      <c r="H70" s="17">
        <f>(240*60)*0.00173778044871795</f>
        <v>25.024038461538478</v>
      </c>
      <c r="I70" s="1">
        <f>(240*60)*0.00255034891029326</f>
        <v>36.725024308222942</v>
      </c>
      <c r="J70" s="1">
        <f>(240*60)*0.00223216159905385</f>
        <v>32.143127026375439</v>
      </c>
      <c r="L70" s="1"/>
      <c r="M70" s="1"/>
      <c r="N70" s="17">
        <v>78.545454545454547</v>
      </c>
      <c r="O70" s="1"/>
      <c r="P70" s="1"/>
      <c r="R70" s="17">
        <v>49.090909090909086</v>
      </c>
      <c r="S70" s="17">
        <v>36.000000000000007</v>
      </c>
      <c r="T70" s="1"/>
      <c r="U70" s="17">
        <v>35.200877040158495</v>
      </c>
      <c r="V70" s="17">
        <v>40.219505300353362</v>
      </c>
      <c r="W70" s="17">
        <v>40.219505300353362</v>
      </c>
      <c r="X70" s="1"/>
      <c r="Y70" s="1"/>
      <c r="Z70" s="1"/>
      <c r="AA70" s="18"/>
      <c r="AC70" s="1">
        <f>(240/2240*60)*4.48212875197472</f>
        <v>28.813684834123197</v>
      </c>
      <c r="AD70" s="1">
        <f>(240*60)*0.00470994127110267</f>
        <v>67.823154303878454</v>
      </c>
      <c r="AE70" s="1">
        <f>(240*60)*0.00488535890903642</f>
        <v>70.349168290124453</v>
      </c>
      <c r="AF70" s="1"/>
      <c r="AG70" s="1">
        <f>(240/112*60)*0.305588428665352</f>
        <v>39.289940828402401</v>
      </c>
      <c r="AH70" s="1"/>
      <c r="AJ70" s="1"/>
      <c r="AK70" s="1"/>
      <c r="AL70" s="1"/>
      <c r="AN70" s="1"/>
      <c r="AO70" s="1"/>
      <c r="AP70" s="1">
        <v>34.285714285714285</v>
      </c>
      <c r="AQ70" s="1"/>
      <c r="AR70" s="1">
        <f>(240/112*60)*0.175015555415021</f>
        <v>22.50199998193127</v>
      </c>
      <c r="AS70" s="1"/>
      <c r="AT70" s="1"/>
      <c r="AU70" s="1"/>
      <c r="AW70" s="1"/>
      <c r="AX70" s="1">
        <v>33.309057529789854</v>
      </c>
      <c r="AY70">
        <v>36.420642398569129</v>
      </c>
    </row>
    <row r="71" spans="1:51" x14ac:dyDescent="0.25">
      <c r="A71" s="8">
        <f t="shared" si="2"/>
        <v>1904</v>
      </c>
      <c r="C71" s="17">
        <v>45.06428571428571</v>
      </c>
      <c r="D71" s="17">
        <v>42.5</v>
      </c>
      <c r="E71" s="17">
        <v>38.492999999999995</v>
      </c>
      <c r="G71" s="17">
        <v>23.166023166023166</v>
      </c>
      <c r="H71" s="17">
        <f>(240*60)*0.00208094856532357</f>
        <v>29.965659340659411</v>
      </c>
      <c r="I71" s="1">
        <f>(240*60)*0.00255005666792595</f>
        <v>36.720816018133682</v>
      </c>
      <c r="J71" s="1">
        <f>(240*60)*0.00138236098689876</f>
        <v>19.905998211342144</v>
      </c>
      <c r="L71" s="1"/>
      <c r="M71" s="1"/>
      <c r="N71" s="17"/>
      <c r="O71" s="1"/>
      <c r="P71" s="1"/>
      <c r="R71" s="17"/>
      <c r="S71" s="17">
        <v>39</v>
      </c>
      <c r="T71" s="1"/>
      <c r="U71" s="17">
        <v>34.791789569410952</v>
      </c>
      <c r="V71" s="17">
        <v>46.081272084805654</v>
      </c>
      <c r="W71" s="17">
        <v>42.646643109540641</v>
      </c>
      <c r="X71" s="1"/>
      <c r="Y71" s="1"/>
      <c r="Z71" s="1"/>
      <c r="AA71" s="18"/>
      <c r="AC71" s="1">
        <f>(240/2240*60)*4.58191382765531</f>
        <v>29.455160320641273</v>
      </c>
      <c r="AD71" s="1">
        <f>(240*60)*0.00272360710474593</f>
        <v>39.219942308341395</v>
      </c>
      <c r="AE71" s="1"/>
      <c r="AF71" s="1"/>
      <c r="AG71" s="1">
        <f>(240/112*60)*0.521059362830332</f>
        <v>66.993346649614111</v>
      </c>
      <c r="AH71" s="1"/>
      <c r="AI71" s="1">
        <f>(240/112*60)*0.199035288144199</f>
        <v>25.590251332825581</v>
      </c>
      <c r="AJ71" s="1"/>
      <c r="AK71" s="1"/>
      <c r="AL71" s="1"/>
      <c r="AN71" s="1"/>
      <c r="AO71" s="1"/>
      <c r="AP71" s="1">
        <v>46.886884446611404</v>
      </c>
      <c r="AQ71" s="1">
        <v>52.922554767047217</v>
      </c>
      <c r="AR71" s="1">
        <f>(240/112*60)*0.23212490597379</f>
        <v>29.844630768058714</v>
      </c>
      <c r="AS71" s="1"/>
      <c r="AT71" s="1"/>
      <c r="AU71" s="1"/>
      <c r="AV71" s="1"/>
      <c r="AW71" s="1"/>
      <c r="AX71" s="1">
        <v>33.725886748339967</v>
      </c>
      <c r="AY71">
        <v>37.646847005495502</v>
      </c>
    </row>
    <row r="72" spans="1:51" x14ac:dyDescent="0.25">
      <c r="A72" s="8">
        <f t="shared" ref="A72:A135" si="3">A71+1</f>
        <v>1905</v>
      </c>
      <c r="C72" s="17">
        <v>46.478571428571428</v>
      </c>
      <c r="D72" s="17">
        <v>44.5</v>
      </c>
      <c r="E72" s="17">
        <v>41.454000000000001</v>
      </c>
      <c r="F72" s="20">
        <f>(240*60)*0.00821827744904668</f>
        <v>118.34319526627219</v>
      </c>
      <c r="G72" s="17">
        <v>34.165834165834163</v>
      </c>
      <c r="H72" s="17">
        <f>(240*60)*0.00167124542124542</f>
        <v>24.065934065934048</v>
      </c>
      <c r="I72" s="1">
        <f>(240*60)*0.00255279812273341</f>
        <v>36.760292967361103</v>
      </c>
      <c r="J72" s="1">
        <f>(240*60)*0.00204082168562016</f>
        <v>29.387832272930304</v>
      </c>
      <c r="L72" s="1"/>
      <c r="M72" s="1"/>
      <c r="N72" s="17"/>
      <c r="O72" s="1"/>
      <c r="P72" s="1"/>
      <c r="Q72" s="1"/>
      <c r="R72" s="17"/>
      <c r="S72" s="17">
        <v>44</v>
      </c>
      <c r="T72" s="1"/>
      <c r="U72" s="17">
        <v>39.827412709786003</v>
      </c>
      <c r="V72" s="17">
        <v>44.787561837455826</v>
      </c>
      <c r="W72" s="17">
        <v>44.787561837455826</v>
      </c>
      <c r="X72" s="1"/>
      <c r="Y72" s="1"/>
      <c r="Z72" s="1"/>
      <c r="AA72" s="18"/>
      <c r="AC72" s="1">
        <f>(240/2240*60)*5.02153905151476</f>
        <v>32.281322474023455</v>
      </c>
      <c r="AD72" s="1">
        <f>(240*60)*0.00353165154371435</f>
        <v>50.855782229486636</v>
      </c>
      <c r="AE72" s="1"/>
      <c r="AF72" s="1"/>
      <c r="AG72" s="1"/>
      <c r="AH72" s="1"/>
      <c r="AI72" s="1"/>
      <c r="AJ72" s="1"/>
      <c r="AK72" s="1"/>
      <c r="AL72" s="1"/>
      <c r="AM72" s="3"/>
      <c r="AN72" s="1"/>
      <c r="AO72" s="1"/>
      <c r="AP72" s="1">
        <v>38.465873291186739</v>
      </c>
      <c r="AQ72" s="1">
        <v>40.712727272727271</v>
      </c>
      <c r="AR72" s="1">
        <f>(240/112*60)*0.275757575757576</f>
        <v>35.454545454545482</v>
      </c>
      <c r="AS72" s="1"/>
      <c r="AT72" s="1"/>
      <c r="AU72" s="1"/>
      <c r="AV72" s="1"/>
      <c r="AW72" s="1"/>
      <c r="AX72" s="1">
        <v>34.112863746293748</v>
      </c>
      <c r="AY72">
        <v>41.465630591422574</v>
      </c>
    </row>
    <row r="73" spans="1:51" x14ac:dyDescent="0.25">
      <c r="A73" s="8">
        <f t="shared" si="3"/>
        <v>1906</v>
      </c>
      <c r="C73" s="17">
        <v>45.192857142857136</v>
      </c>
      <c r="D73" s="17">
        <v>42.375</v>
      </c>
      <c r="E73" s="17">
        <v>41.454000000000001</v>
      </c>
      <c r="F73" s="20">
        <f>(240*60)*0.00824175824175824</f>
        <v>118.68131868131866</v>
      </c>
      <c r="G73" s="17">
        <v>28.660714285714285</v>
      </c>
      <c r="H73" s="17">
        <f>(240*60)*0.00228589534673185</f>
        <v>32.916892992938635</v>
      </c>
      <c r="I73" s="1">
        <f>(240*60)*0.00229576176695356</f>
        <v>33.058969444131264</v>
      </c>
      <c r="J73" s="1">
        <f>(240*60)*0.00170067495791477</f>
        <v>24.489719393972688</v>
      </c>
      <c r="L73" s="1"/>
      <c r="M73" s="1"/>
      <c r="N73" s="17"/>
      <c r="O73" s="1"/>
      <c r="P73" s="1">
        <f>(240*60)*0.00476190476190476</f>
        <v>68.571428571428541</v>
      </c>
      <c r="Q73" s="1"/>
      <c r="R73" s="17">
        <v>67.25454545454545</v>
      </c>
      <c r="S73" s="17">
        <v>41.6</v>
      </c>
      <c r="T73" s="1"/>
      <c r="U73" s="17">
        <v>41.311385941994509</v>
      </c>
      <c r="V73" s="17">
        <v>42.452014134275608</v>
      </c>
      <c r="W73" s="17">
        <v>42.452014134275608</v>
      </c>
      <c r="X73" s="1"/>
      <c r="Y73" s="1"/>
      <c r="Z73" s="1"/>
      <c r="AA73" s="18"/>
      <c r="AC73" s="1">
        <f>(240/2240*60)*4.91936107175061</f>
        <v>31.624464032682493</v>
      </c>
      <c r="AD73" s="1">
        <f>(240*60)*0.00395622627061864</f>
        <v>56.969658296908413</v>
      </c>
      <c r="AE73" s="1"/>
      <c r="AF73" s="1"/>
      <c r="AG73" s="1"/>
      <c r="AH73" s="1"/>
      <c r="AI73" s="1"/>
      <c r="AJ73" s="1"/>
      <c r="AK73" s="3">
        <f>(240*60)*0.00330014659598563</f>
        <v>47.522110982193077</v>
      </c>
      <c r="AL73" s="1"/>
      <c r="AM73" s="3">
        <f>(240*60)*0.0015421907506728</f>
        <v>22.207546809688321</v>
      </c>
      <c r="AN73" s="1"/>
      <c r="AO73" s="1"/>
      <c r="AP73" s="1">
        <v>40.734513230623321</v>
      </c>
      <c r="AQ73" s="1">
        <v>42.857142857142854</v>
      </c>
      <c r="AR73" s="1">
        <f>(240/112*60)*0.256</f>
        <v>32.914285714285711</v>
      </c>
      <c r="AS73" s="1"/>
      <c r="AT73" s="1"/>
      <c r="AU73" s="1"/>
      <c r="AV73" s="1"/>
      <c r="AW73" s="1"/>
      <c r="AX73" s="1">
        <v>39.640595503052459</v>
      </c>
      <c r="AY73">
        <v>43.385538036422311</v>
      </c>
    </row>
    <row r="74" spans="1:51" x14ac:dyDescent="0.25">
      <c r="A74" s="8">
        <f t="shared" si="3"/>
        <v>1907</v>
      </c>
      <c r="C74" s="17">
        <v>49.435714285714283</v>
      </c>
      <c r="D74" s="17">
        <v>45.875</v>
      </c>
      <c r="E74" s="1"/>
      <c r="G74" s="17">
        <v>42.925604746691008</v>
      </c>
      <c r="H74" s="17">
        <f>(240*60)*0.00250184833122095</f>
        <v>36.026615969581684</v>
      </c>
      <c r="I74" s="1"/>
      <c r="J74" s="3">
        <f>(240*60)*0.00255102040816327</f>
        <v>36.734693877551088</v>
      </c>
      <c r="K74" s="1"/>
      <c r="L74" s="1"/>
      <c r="M74" s="1"/>
      <c r="N74" s="17"/>
      <c r="O74" s="1">
        <f>(240*60)*0.00267857142857143</f>
        <v>38.571428571428591</v>
      </c>
      <c r="P74" s="1"/>
      <c r="Q74" s="1"/>
      <c r="R74" s="17"/>
      <c r="S74" s="17"/>
      <c r="T74" s="1"/>
      <c r="U74" s="17">
        <v>39.419525394354466</v>
      </c>
      <c r="V74" s="17">
        <v>52.87038869257951</v>
      </c>
      <c r="W74" s="17">
        <v>52.87038869257951</v>
      </c>
      <c r="X74" s="1">
        <f>(240/2240*60)*8.89908063871416</f>
        <v>57.208375534591028</v>
      </c>
      <c r="Y74" s="1"/>
      <c r="Z74" s="1"/>
      <c r="AA74" s="18">
        <v>7.5348999534667298</v>
      </c>
      <c r="AC74" s="1">
        <f>(240/2240*60)*5.67593930635838</f>
        <v>36.48818125516101</v>
      </c>
      <c r="AD74" s="1">
        <f>(240*60)*0.0106508875739645</f>
        <v>153.37278106508882</v>
      </c>
      <c r="AE74" s="1"/>
      <c r="AF74" s="1"/>
      <c r="AG74" s="1"/>
      <c r="AH74" s="1"/>
      <c r="AI74" s="1"/>
      <c r="AJ74" s="1"/>
      <c r="AK74" s="3">
        <f>(240*60)*0.00341718142427743</f>
        <v>49.207412509594995</v>
      </c>
      <c r="AL74" s="1"/>
      <c r="AM74" s="3">
        <f>(240*60)*0.00186803674643286</f>
        <v>26.899729148633185</v>
      </c>
      <c r="AN74" s="1"/>
      <c r="AO74" s="1"/>
      <c r="AP74" s="1">
        <v>51.428571428571431</v>
      </c>
      <c r="AQ74" s="1">
        <v>51.428571428571431</v>
      </c>
      <c r="AR74" s="1">
        <f>(240/112*60)*0.2625</f>
        <v>33.75</v>
      </c>
      <c r="AS74" s="1"/>
      <c r="AT74" s="1"/>
      <c r="AU74" s="1"/>
      <c r="AV74" s="1">
        <f>(240/112*60)*0.26304347826087</f>
        <v>33.819875776397566</v>
      </c>
      <c r="AW74" s="1">
        <f>(240/112*60)*0.308721241305511</f>
        <v>39.692731024994266</v>
      </c>
      <c r="AX74" s="1">
        <v>39.711134331590173</v>
      </c>
      <c r="AY74">
        <v>48.862916706293049</v>
      </c>
    </row>
    <row r="75" spans="1:51" x14ac:dyDescent="0.25">
      <c r="A75" s="8">
        <f t="shared" si="3"/>
        <v>1908</v>
      </c>
      <c r="C75" s="17">
        <v>54</v>
      </c>
      <c r="D75" s="17">
        <v>48</v>
      </c>
      <c r="E75" s="1"/>
      <c r="G75" s="17">
        <v>51.471286188894162</v>
      </c>
      <c r="H75" s="17">
        <f>(240*60)*0.00274538483010441</f>
        <v>39.533541553503504</v>
      </c>
      <c r="I75" s="1"/>
      <c r="J75" s="3">
        <f>(240*60)*0.00306122195034272</f>
        <v>44.081596084935171</v>
      </c>
      <c r="K75" s="1"/>
      <c r="L75" s="1"/>
      <c r="M75" s="1"/>
      <c r="N75" s="17">
        <v>107.99999999999999</v>
      </c>
      <c r="O75" s="1"/>
      <c r="P75" s="1">
        <f>(240*60)*0.00382478425764062</f>
        <v>55.076893310024928</v>
      </c>
      <c r="Q75" s="1"/>
      <c r="R75" s="17"/>
      <c r="S75" s="17">
        <v>64</v>
      </c>
      <c r="T75" s="1"/>
      <c r="U75" s="17">
        <v>49.907019001544001</v>
      </c>
      <c r="V75" s="17">
        <v>61.880565371024751</v>
      </c>
      <c r="W75" s="17">
        <v>61.880565371024751</v>
      </c>
      <c r="X75" s="1"/>
      <c r="Y75" s="1"/>
      <c r="Z75" s="1"/>
      <c r="AA75" s="3"/>
      <c r="AC75" s="1">
        <f>(240/2240*60)*5.82176843774781</f>
        <v>37.425654242664493</v>
      </c>
      <c r="AD75" s="1">
        <f>(240*60)*0.0185185185185185</f>
        <v>266.6666666666664</v>
      </c>
      <c r="AE75" s="1">
        <f>(240*60)*0.00157037391304602</f>
        <v>22.613384347862688</v>
      </c>
      <c r="AF75" s="1"/>
      <c r="AG75" s="1"/>
      <c r="AH75" s="1">
        <f>(240/112*60)*0.16948427134603</f>
        <v>21.790834887346712</v>
      </c>
      <c r="AI75" s="1"/>
      <c r="AJ75" s="1"/>
      <c r="AK75" s="3">
        <f>(240*60)*0.00338669086622571</f>
        <v>48.768348473650221</v>
      </c>
      <c r="AL75" s="1"/>
      <c r="AM75" s="3">
        <f>(240*60)*0.00356446274813622</f>
        <v>51.328263573161571</v>
      </c>
      <c r="AN75" s="3">
        <f>(240*60)*0.00283363913629901</f>
        <v>40.804403562705744</v>
      </c>
      <c r="AO75" s="1"/>
      <c r="AP75" s="1">
        <v>67.263423524463775</v>
      </c>
      <c r="AQ75" s="1">
        <v>64.846416382252556</v>
      </c>
      <c r="AR75" s="1">
        <f>(240/112*60)*0.300428003668603</f>
        <v>38.626457614534665</v>
      </c>
      <c r="AS75" s="1"/>
      <c r="AT75" s="1"/>
      <c r="AU75" s="1"/>
      <c r="AV75" s="1">
        <f>(240/112*60)*0.380620645978467</f>
        <v>48.936940197231465</v>
      </c>
      <c r="AW75" s="1">
        <f>(240/112*60)*0.376479873717443</f>
        <v>48.404555192242668</v>
      </c>
      <c r="AX75" s="1">
        <v>51.624014581499921</v>
      </c>
      <c r="AY75">
        <v>56.12719604170605</v>
      </c>
    </row>
    <row r="76" spans="1:51" x14ac:dyDescent="0.25">
      <c r="A76" s="8">
        <f t="shared" si="3"/>
        <v>1909</v>
      </c>
      <c r="C76" s="17">
        <v>59.464285714285708</v>
      </c>
      <c r="D76" s="17">
        <v>55.375</v>
      </c>
      <c r="E76" s="1"/>
      <c r="G76" s="17">
        <v>59.340659340659336</v>
      </c>
      <c r="H76" s="17">
        <f>(240*60)*0.00386169201520913</f>
        <v>55.608365019011472</v>
      </c>
      <c r="I76" s="1">
        <f>(240*60)*0.00420891170967321</f>
        <v>60.608328619294227</v>
      </c>
      <c r="J76" s="1">
        <f>(240*60)*0.00331632653061224</f>
        <v>47.755102040816254</v>
      </c>
      <c r="K76" s="1"/>
      <c r="L76" s="1"/>
      <c r="M76" s="1"/>
      <c r="N76" s="17">
        <v>162</v>
      </c>
      <c r="O76" s="1"/>
      <c r="P76" s="1">
        <f>(240*60)*0.00558035714285714</f>
        <v>80.357142857142819</v>
      </c>
      <c r="Q76" s="1"/>
      <c r="R76" s="17"/>
      <c r="S76" s="17">
        <v>72.000000000000014</v>
      </c>
      <c r="T76" s="1"/>
      <c r="U76" s="17">
        <v>48.018477444191348</v>
      </c>
      <c r="V76" s="17"/>
      <c r="W76" s="17"/>
      <c r="X76" s="1"/>
      <c r="Y76" s="1"/>
      <c r="Z76" s="1"/>
      <c r="AA76" s="14"/>
      <c r="AC76" s="1">
        <f>(240/2240*60)*6.01345895020188</f>
        <v>38.657950394154938</v>
      </c>
      <c r="AD76" s="1">
        <f>(240*60)*0.0189125295508274</f>
        <v>272.34042553191455</v>
      </c>
      <c r="AE76" s="1">
        <f>(240*60)*0.00190157096116717</f>
        <v>27.382621840807246</v>
      </c>
      <c r="AF76" s="1"/>
      <c r="AG76" s="1"/>
      <c r="AH76" s="1">
        <f>(240/112*60)*0.176647564469914</f>
        <v>22.71182971756037</v>
      </c>
      <c r="AI76" s="1"/>
      <c r="AJ76" s="1"/>
      <c r="AK76" s="3">
        <f>(240*60)*0.00311743196650391</f>
        <v>44.891020317656299</v>
      </c>
      <c r="AL76" s="1"/>
      <c r="AM76" s="3">
        <f>(240*60)*0.00146029213440462</f>
        <v>21.028206735426529</v>
      </c>
      <c r="AN76" s="3">
        <f>(240*60)*0.00198937432161327</f>
        <v>28.646990231231086</v>
      </c>
      <c r="AO76" s="1"/>
      <c r="AP76" s="1">
        <v>81.246992681135566</v>
      </c>
      <c r="AQ76" s="1">
        <v>66.623376623376615</v>
      </c>
      <c r="AR76" s="1">
        <f>(240/112*60)*0.309018404907975</f>
        <v>39.730937773882495</v>
      </c>
      <c r="AS76" s="1"/>
      <c r="AT76" s="1"/>
      <c r="AU76" s="1"/>
      <c r="AV76" s="1">
        <f>(240/112*60)*0.518810607727327</f>
        <v>66.704220993513459</v>
      </c>
      <c r="AW76" s="1"/>
      <c r="AX76" s="1">
        <v>50.481507703879004</v>
      </c>
      <c r="AY76">
        <v>54.876959930313582</v>
      </c>
    </row>
    <row r="77" spans="1:51" x14ac:dyDescent="0.25">
      <c r="A77" s="8">
        <f t="shared" si="3"/>
        <v>1910</v>
      </c>
      <c r="C77" s="17">
        <v>53.935714285714283</v>
      </c>
      <c r="D77" s="17">
        <v>47.5</v>
      </c>
      <c r="E77" s="1"/>
      <c r="G77" s="17">
        <v>51.275510204081627</v>
      </c>
      <c r="H77" s="17">
        <f>(240*60)*0.002586249170137</f>
        <v>37.241988049972804</v>
      </c>
      <c r="I77" s="1">
        <f>(240*60)*0.00408163265306122</f>
        <v>58.775510204081563</v>
      </c>
      <c r="J77" s="1">
        <f>(240*60)*0.00306121533913802</f>
        <v>44.081500883587488</v>
      </c>
      <c r="K77" s="1"/>
      <c r="L77" s="1"/>
      <c r="M77" s="1"/>
      <c r="N77" s="17">
        <v>127.63636363636363</v>
      </c>
      <c r="O77" s="1">
        <f>(240*60)*0.00435106107660455</f>
        <v>62.655279503105518</v>
      </c>
      <c r="P77" s="1"/>
      <c r="Q77" s="1">
        <f>(240*60)*0.00396174863387978</f>
        <v>57.049180327868825</v>
      </c>
      <c r="R77" s="17"/>
      <c r="S77" s="17">
        <v>80.533333333333346</v>
      </c>
      <c r="T77" s="1"/>
      <c r="U77" s="17">
        <v>41.103727623995347</v>
      </c>
      <c r="V77" s="1"/>
      <c r="W77" s="17"/>
      <c r="X77" s="1">
        <f>(240/2240*60)*7.38244527020903</f>
        <v>47.458576737058046</v>
      </c>
      <c r="Y77" s="1"/>
      <c r="Z77" s="1"/>
      <c r="AA77" s="3"/>
      <c r="AC77" s="1">
        <f>(240/2240*60)*6.49927219796215</f>
        <v>41.781035558328107</v>
      </c>
      <c r="AD77" s="1">
        <f>(240*60)*0.0277222063446699</f>
        <v>399.19977136324655</v>
      </c>
      <c r="AE77" s="1">
        <f>(240*60)*0.00302001588900732</f>
        <v>43.488228801705411</v>
      </c>
      <c r="AF77" s="1"/>
      <c r="AG77" s="1"/>
      <c r="AH77" s="1">
        <f>(240/112*60)*0.15005954743946</f>
        <v>19.293370385073427</v>
      </c>
      <c r="AI77" s="3">
        <f>(240*60)*0.00468521229868228</f>
        <v>67.467057101024821</v>
      </c>
      <c r="AJ77" s="1">
        <f>(240*60)*0.00240060015003751</f>
        <v>34.568642160540143</v>
      </c>
      <c r="AK77" s="3">
        <f>(240*60)*0.0030965372113594</f>
        <v>44.590135843575361</v>
      </c>
      <c r="AL77" s="1"/>
      <c r="AM77" s="3">
        <f>(240*60)*0.00172215843857635</f>
        <v>24.799081515499442</v>
      </c>
      <c r="AN77" s="3">
        <f>(240*60)*0.00136700375254546</f>
        <v>19.684854036654624</v>
      </c>
      <c r="AO77" s="1">
        <f>(240*60)*0.00369230769230769</f>
        <v>53.169230769230737</v>
      </c>
      <c r="AP77" s="1">
        <v>48.920507751534707</v>
      </c>
      <c r="AQ77" s="1">
        <v>67.881355932203377</v>
      </c>
      <c r="AR77" s="1">
        <f>(240/112*60)*0.376445846477392</f>
        <v>48.400180261378964</v>
      </c>
      <c r="AS77" s="1">
        <f>(240/112*60)*0.380952380952381</f>
        <v>48.979591836734691</v>
      </c>
      <c r="AT77" s="1"/>
      <c r="AU77" s="1"/>
      <c r="AV77" s="1">
        <f>(240/112*60)*0.511927300265051</f>
        <v>65.819224319792255</v>
      </c>
      <c r="AW77" s="1">
        <f>(240/112*60)*0.262387387387387</f>
        <v>33.735521235521176</v>
      </c>
      <c r="AX77" s="1">
        <v>42.011151414823694</v>
      </c>
      <c r="AY77">
        <v>45.945084083503183</v>
      </c>
    </row>
    <row r="78" spans="1:51" x14ac:dyDescent="0.25">
      <c r="A78" s="8">
        <f t="shared" si="3"/>
        <v>1911</v>
      </c>
      <c r="C78" s="17">
        <v>51.042857142857144</v>
      </c>
      <c r="D78" s="17">
        <v>47.5</v>
      </c>
      <c r="E78" s="1"/>
      <c r="F78" s="1"/>
      <c r="G78" s="17">
        <v>51.375878220140514</v>
      </c>
      <c r="H78" s="17">
        <f>(240*60)*0.0024443237370994</f>
        <v>35.198261814231365</v>
      </c>
      <c r="I78" s="1">
        <f>(240*60)*0.00255102040816327</f>
        <v>36.734693877551088</v>
      </c>
      <c r="J78" s="3">
        <f>(240*60)*0.00306122448979592</f>
        <v>44.081632653061249</v>
      </c>
      <c r="K78" s="1">
        <f>(240*60)*0.00150896611511577</f>
        <v>21.729112057667088</v>
      </c>
      <c r="L78" s="1"/>
      <c r="M78" s="1"/>
      <c r="N78" s="17">
        <v>147.27272727272725</v>
      </c>
      <c r="O78" s="1"/>
      <c r="P78" s="1">
        <f>(240*60)*0.00385405960945529</f>
        <v>55.498458376156179</v>
      </c>
      <c r="Q78" s="1"/>
      <c r="R78" s="17">
        <v>71.181818181818173</v>
      </c>
      <c r="S78" s="17">
        <v>78</v>
      </c>
      <c r="T78" s="1"/>
      <c r="U78" s="17">
        <v>44.032328963579133</v>
      </c>
      <c r="V78" s="1"/>
      <c r="W78" s="17"/>
      <c r="X78" s="1">
        <f>(240/2240*60)*6.99859088774072</f>
        <v>44.990941421190342</v>
      </c>
      <c r="Y78" s="1">
        <f>AVERAGE((240/2240*60)*7.25351018081965,(240/2240*60)*2.125)</f>
        <v>30.14521129549173</v>
      </c>
      <c r="Z78" s="1"/>
      <c r="AA78" s="1"/>
      <c r="AB78" s="1"/>
      <c r="AC78" s="1">
        <f>(240/2240*60)*7.08793774319066</f>
        <v>45.565314063368525</v>
      </c>
      <c r="AD78" s="1">
        <f>(240*60)*0.00464225730601276</f>
        <v>66.848505206583738</v>
      </c>
      <c r="AE78" s="1">
        <f>(240*60)*0.000353848673377868</f>
        <v>5.0954208966412988</v>
      </c>
      <c r="AF78" s="1"/>
      <c r="AG78" s="1"/>
      <c r="AH78" s="1">
        <f>(240/112*60)*0.256493506493506</f>
        <v>32.977736549165051</v>
      </c>
      <c r="AI78" s="3">
        <f>(240*60)*0.00453879941434846</f>
        <v>65.358711566617814</v>
      </c>
      <c r="AJ78" s="1">
        <f>(240*60)*0.00255063765941485</f>
        <v>36.729182295573843</v>
      </c>
      <c r="AK78" s="1"/>
      <c r="AL78" s="1"/>
      <c r="AN78" s="1"/>
      <c r="AO78" s="1">
        <f>(240*60)*0.00769230769230769</f>
        <v>110.76923076923073</v>
      </c>
      <c r="AP78" s="1">
        <v>57.14236076640524</v>
      </c>
      <c r="AQ78" s="1">
        <v>38.543838136112811</v>
      </c>
      <c r="AR78" s="1">
        <f>(240/112*60)*0.249701314217443</f>
        <v>32.10445468509981</v>
      </c>
      <c r="AS78" s="1">
        <f>(240/112*60)*0.374200426439232</f>
        <v>48.111483399329828</v>
      </c>
      <c r="AT78" s="1"/>
      <c r="AU78" s="1"/>
      <c r="AV78" s="1">
        <f>(240/112*60)*0.320117474302496</f>
        <v>41.157960981749476</v>
      </c>
      <c r="AW78" s="1">
        <f>(240/112*60)*0.341370402263501</f>
        <v>43.890480291021554</v>
      </c>
      <c r="AX78" s="1">
        <v>37.128793518654767</v>
      </c>
      <c r="AY78">
        <v>42.045506173228318</v>
      </c>
    </row>
    <row r="79" spans="1:51" x14ac:dyDescent="0.25">
      <c r="A79" s="8">
        <f t="shared" si="3"/>
        <v>1912</v>
      </c>
      <c r="C79" s="17">
        <v>54.51428571428572</v>
      </c>
      <c r="D79" s="17">
        <v>52.125</v>
      </c>
      <c r="E79" s="1"/>
      <c r="F79" s="1"/>
      <c r="G79" s="17">
        <v>55.790816326530617</v>
      </c>
      <c r="H79" s="17">
        <f>(240*60)*0.00357142857142857</f>
        <v>51.428571428571409</v>
      </c>
      <c r="I79" s="1">
        <f>(240*60)*0.00306172641215857</f>
        <v>44.08886033508341</v>
      </c>
      <c r="J79" s="3">
        <f>(240*60)*0.00331633744616993</f>
        <v>47.755259224846988</v>
      </c>
      <c r="K79" s="1">
        <f>(240*60)*0.00311905217240845</f>
        <v>44.914351282681679</v>
      </c>
      <c r="L79" s="1"/>
      <c r="M79" s="1"/>
      <c r="N79" s="17">
        <v>166.90909090909088</v>
      </c>
      <c r="O79" s="1">
        <f>(240*60)*0.00463598901098901</f>
        <v>66.758241758241752</v>
      </c>
      <c r="P79" s="1">
        <f>(240*60)*0.00374391233766234</f>
        <v>53.912337662337698</v>
      </c>
      <c r="Q79" s="1">
        <f>(240*60)*0.00532786885245902</f>
        <v>76.721311475409891</v>
      </c>
      <c r="R79" s="1"/>
      <c r="S79" s="1"/>
      <c r="T79" s="1"/>
      <c r="U79" s="1"/>
      <c r="V79" s="1"/>
      <c r="W79" s="17"/>
      <c r="X79" s="1"/>
      <c r="Z79" s="1"/>
      <c r="AA79" s="1"/>
      <c r="AB79" s="1"/>
      <c r="AC79" s="1">
        <f>(240/2240*60)*5.85434083601286</f>
        <v>37.635048231511242</v>
      </c>
      <c r="AD79" s="1">
        <f>(240*60)*0.00330253311316446</f>
        <v>47.556476829568219</v>
      </c>
      <c r="AE79" s="1">
        <f>(240*60)*0.00334588074582805</f>
        <v>48.180682739923917</v>
      </c>
      <c r="AF79" s="1"/>
      <c r="AG79" s="1"/>
      <c r="AH79" s="1">
        <f>(240/112*60)*1.09405940594059</f>
        <v>140.66478076379011</v>
      </c>
      <c r="AI79" s="3">
        <f>(240*60)*0.00437870308288064</f>
        <v>63.053324393481219</v>
      </c>
      <c r="AJ79" s="1">
        <f>(240*60)*0.00360090022505626</f>
        <v>51.852963240810141</v>
      </c>
      <c r="AK79" s="1"/>
      <c r="AL79" s="1"/>
      <c r="AM79" s="1"/>
      <c r="AN79" s="1"/>
      <c r="AO79" s="1">
        <f>(240*60)*0.00568589743589744</f>
        <v>81.876923076923134</v>
      </c>
      <c r="AP79" s="1">
        <v>56.819805194805191</v>
      </c>
      <c r="AQ79" s="1">
        <v>42.264437689969611</v>
      </c>
      <c r="AR79" s="1"/>
      <c r="AS79" s="1"/>
      <c r="AT79" s="1"/>
      <c r="AU79" s="1"/>
      <c r="AV79" s="1">
        <f>(240/112*60)*0.441322314049587</f>
        <v>56.741440377804032</v>
      </c>
      <c r="AW79" s="1">
        <f>(240/112*60)*0.340104468949507</f>
        <v>43.727717436365182</v>
      </c>
      <c r="AX79" s="1">
        <v>38.423749089864003</v>
      </c>
      <c r="AY79">
        <v>45.657338628047206</v>
      </c>
    </row>
    <row r="80" spans="1:51" x14ac:dyDescent="0.25">
      <c r="A80" s="8">
        <f t="shared" si="3"/>
        <v>1913</v>
      </c>
      <c r="C80" s="17">
        <v>53.228571428571428</v>
      </c>
      <c r="D80" s="17">
        <v>47.5</v>
      </c>
      <c r="E80" s="1"/>
      <c r="F80" s="1"/>
      <c r="G80" s="17">
        <v>64.285714285714278</v>
      </c>
      <c r="H80" s="1"/>
      <c r="I80" s="1">
        <f>(240*60)*0.0038264266332603</f>
        <v>55.100543518948321</v>
      </c>
      <c r="J80" s="1">
        <f>(240*60)*0.00382605278569059</f>
        <v>55.095160113944502</v>
      </c>
      <c r="L80" s="1"/>
      <c r="M80" s="1"/>
      <c r="N80" s="17">
        <v>90.818181818181813</v>
      </c>
      <c r="O80" s="1"/>
      <c r="Q80" s="1"/>
      <c r="R80" s="1"/>
      <c r="S80" s="1"/>
      <c r="T80" s="1"/>
      <c r="U80" s="1"/>
      <c r="V80" s="1"/>
      <c r="W80" s="17"/>
      <c r="X80" s="1"/>
      <c r="Y80" s="1"/>
      <c r="Z80" s="1"/>
      <c r="AA80" s="1"/>
      <c r="AB80" s="1"/>
      <c r="AC80" s="1">
        <f>(240/2240*60)*6.13745019920319</f>
        <v>39.455036994877645</v>
      </c>
      <c r="AD80" s="1"/>
      <c r="AE80" s="1"/>
      <c r="AF80" s="1"/>
      <c r="AG80" s="1"/>
      <c r="AH80" s="1"/>
      <c r="AI80" s="1"/>
      <c r="AJ80" s="1"/>
      <c r="AK80" s="1"/>
      <c r="AL80" s="1"/>
      <c r="AM80" s="1"/>
      <c r="AN80" s="1"/>
      <c r="AO80" s="1"/>
      <c r="AP80" s="1">
        <v>59.934513703613874</v>
      </c>
      <c r="AQ80" s="1">
        <v>39.489795918367356</v>
      </c>
      <c r="AR80" s="1"/>
      <c r="AS80" s="1"/>
      <c r="AT80" s="1"/>
      <c r="AU80" s="1"/>
      <c r="AW80" s="1"/>
      <c r="AX80" s="1">
        <v>40.995690176821299</v>
      </c>
      <c r="AY80">
        <v>46.385323929528063</v>
      </c>
    </row>
    <row r="81" spans="1:51" x14ac:dyDescent="0.25">
      <c r="A81" s="8">
        <f t="shared" si="3"/>
        <v>1914</v>
      </c>
      <c r="C81" s="17">
        <v>55.349999999999994</v>
      </c>
      <c r="D81" s="17">
        <v>52.375</v>
      </c>
      <c r="E81" s="1"/>
      <c r="F81" s="1"/>
      <c r="G81" s="17"/>
      <c r="H81" s="1"/>
      <c r="I81" s="1"/>
      <c r="J81" s="1"/>
      <c r="K81" s="1"/>
      <c r="L81" s="1"/>
      <c r="M81" s="1"/>
      <c r="N81" s="1"/>
      <c r="O81" s="1"/>
      <c r="Q81" s="1"/>
      <c r="R81" s="1"/>
      <c r="S81" s="1"/>
      <c r="T81" s="1"/>
      <c r="U81" s="1"/>
      <c r="V81" s="1"/>
      <c r="W81" s="17"/>
      <c r="X81" s="1"/>
      <c r="Y81" s="1"/>
      <c r="Z81" s="1"/>
      <c r="AA81" s="1"/>
      <c r="AB81" s="1"/>
      <c r="AD81" s="1"/>
      <c r="AE81" s="1"/>
      <c r="AF81" s="1"/>
      <c r="AG81" s="1"/>
      <c r="AH81" s="1"/>
      <c r="AI81" s="1"/>
      <c r="AJ81" s="1"/>
      <c r="AK81" s="1"/>
      <c r="AL81" s="1"/>
      <c r="AM81" s="1"/>
      <c r="AN81" s="1"/>
      <c r="AO81" s="1"/>
      <c r="AP81" s="1"/>
      <c r="AQ81" s="1"/>
      <c r="AR81" s="1"/>
      <c r="AS81" s="1"/>
      <c r="AT81" s="1"/>
      <c r="AU81" s="1"/>
      <c r="AW81" s="1"/>
      <c r="AX81" s="1">
        <v>32.347749107755632</v>
      </c>
      <c r="AY81">
        <v>47.940724902003488</v>
      </c>
    </row>
    <row r="82" spans="1:51" x14ac:dyDescent="0.25">
      <c r="A82" s="8">
        <f t="shared" si="3"/>
        <v>1915</v>
      </c>
      <c r="C82" s="17">
        <v>83.121428571428581</v>
      </c>
      <c r="D82" s="17">
        <v>79.25</v>
      </c>
      <c r="E82" s="1"/>
      <c r="F82" s="1"/>
      <c r="G82" s="17"/>
      <c r="H82" s="1"/>
      <c r="I82" s="1"/>
      <c r="J82" s="1"/>
      <c r="K82" s="1"/>
      <c r="L82" s="1"/>
      <c r="M82" s="1"/>
      <c r="N82" s="1"/>
      <c r="O82" s="1"/>
      <c r="P82" s="1"/>
      <c r="Q82" s="1"/>
      <c r="R82" s="1"/>
      <c r="S82" s="1"/>
      <c r="T82" s="1"/>
      <c r="U82" s="1"/>
      <c r="V82" s="1"/>
      <c r="W82" s="17"/>
      <c r="X82" s="1"/>
      <c r="Y82" s="1"/>
      <c r="Z82" s="1"/>
      <c r="AA82" s="1"/>
      <c r="AB82" s="1"/>
      <c r="AC82" s="1"/>
      <c r="AD82" s="1"/>
      <c r="AE82" s="1"/>
      <c r="AF82" s="1"/>
      <c r="AG82" s="1"/>
      <c r="AH82" s="1"/>
      <c r="AI82" s="1"/>
      <c r="AJ82" s="1"/>
      <c r="AK82" s="1"/>
      <c r="AL82" s="1"/>
      <c r="AM82" s="1"/>
      <c r="AN82" s="1"/>
      <c r="AO82" s="1"/>
      <c r="AP82" s="1"/>
      <c r="AQ82" s="1"/>
      <c r="AR82" s="1"/>
      <c r="AS82" s="1"/>
      <c r="AT82" s="1"/>
      <c r="AU82" s="1"/>
      <c r="AW82" s="1"/>
      <c r="AX82" s="1">
        <v>37.669130620015608</v>
      </c>
      <c r="AY82">
        <v>61.53109395415941</v>
      </c>
    </row>
    <row r="83" spans="1:51" x14ac:dyDescent="0.25">
      <c r="A83" s="8">
        <f t="shared" si="3"/>
        <v>1916</v>
      </c>
      <c r="C83" s="17">
        <v>92.507142857142853</v>
      </c>
      <c r="D83" s="17">
        <v>87.625</v>
      </c>
      <c r="E83" s="1"/>
      <c r="F83" s="1"/>
      <c r="G83" s="17"/>
      <c r="H83" s="1"/>
      <c r="I83" s="1"/>
      <c r="J83" s="1"/>
      <c r="K83" s="1"/>
      <c r="L83" s="1"/>
      <c r="M83" s="1"/>
      <c r="N83" s="1"/>
      <c r="O83" s="1"/>
      <c r="Q83" s="1"/>
      <c r="R83" s="1"/>
      <c r="S83" s="1"/>
      <c r="T83" s="1"/>
      <c r="U83" s="1"/>
      <c r="V83" s="1"/>
      <c r="W83" s="17"/>
      <c r="X83" s="1"/>
      <c r="Y83" s="1"/>
      <c r="Z83" s="1"/>
      <c r="AA83" s="1"/>
      <c r="AB83" s="1"/>
      <c r="AC83" s="1"/>
      <c r="AD83" s="1"/>
      <c r="AE83" s="1"/>
      <c r="AF83" s="1"/>
      <c r="AG83" s="1"/>
      <c r="AH83" s="1"/>
      <c r="AI83" s="1"/>
      <c r="AJ83" s="1"/>
      <c r="AK83" s="1"/>
      <c r="AL83" s="1"/>
      <c r="AM83" s="1"/>
      <c r="AN83" s="1"/>
      <c r="AO83" s="1"/>
      <c r="AP83" s="1"/>
      <c r="AQ83" s="1"/>
      <c r="AR83" s="1"/>
      <c r="AS83" s="1"/>
      <c r="AT83" s="1"/>
      <c r="AU83" s="1"/>
      <c r="AW83" s="1"/>
      <c r="AX83" s="1">
        <v>36.203562794517651</v>
      </c>
      <c r="AY83">
        <v>59.067468287238682</v>
      </c>
    </row>
    <row r="84" spans="1:51" x14ac:dyDescent="0.25">
      <c r="A84" s="8">
        <f t="shared" si="3"/>
        <v>1917</v>
      </c>
      <c r="C84" s="17">
        <v>118.80000000000001</v>
      </c>
      <c r="D84" s="17">
        <v>113.625</v>
      </c>
      <c r="E84" s="1"/>
      <c r="F84" s="1"/>
      <c r="G84" s="17"/>
      <c r="H84" s="1"/>
      <c r="I84" s="1"/>
      <c r="J84" s="1"/>
      <c r="K84" s="1"/>
      <c r="L84" s="1"/>
      <c r="M84" s="1"/>
      <c r="N84" s="1"/>
      <c r="O84" s="1"/>
      <c r="Q84" s="1"/>
      <c r="R84" s="1"/>
      <c r="S84" s="1"/>
      <c r="T84" s="1"/>
      <c r="U84" s="1"/>
      <c r="V84" s="1"/>
      <c r="W84" s="17"/>
      <c r="X84" s="1"/>
      <c r="Y84" s="1"/>
      <c r="Z84" s="1"/>
      <c r="AA84" s="1"/>
      <c r="AB84" s="1"/>
      <c r="AC84" s="1"/>
      <c r="AD84" s="1"/>
      <c r="AE84" s="1"/>
      <c r="AF84" s="1"/>
      <c r="AG84" s="1"/>
      <c r="AH84" s="1"/>
      <c r="AI84" s="1"/>
      <c r="AJ84" s="1"/>
      <c r="AK84" s="1"/>
      <c r="AL84" s="1"/>
      <c r="AM84" s="1"/>
      <c r="AN84" s="1"/>
      <c r="AO84" s="1"/>
      <c r="AP84" s="1"/>
      <c r="AQ84" s="1"/>
      <c r="AR84" s="1"/>
      <c r="AS84" s="1"/>
      <c r="AT84" s="1"/>
      <c r="AU84" s="1"/>
      <c r="AW84" s="1"/>
      <c r="AX84" s="1">
        <v>35.771624143382873</v>
      </c>
      <c r="AY84">
        <v>68.934191392639377</v>
      </c>
    </row>
    <row r="85" spans="1:51" x14ac:dyDescent="0.25">
      <c r="A85" s="8">
        <f t="shared" si="3"/>
        <v>1918</v>
      </c>
      <c r="C85" s="17">
        <v>117.83571428571427</v>
      </c>
      <c r="D85" s="17">
        <v>109.25</v>
      </c>
      <c r="E85" s="1"/>
      <c r="F85" s="1"/>
      <c r="G85" s="17"/>
      <c r="H85" s="1"/>
      <c r="I85" s="1"/>
      <c r="J85" s="1"/>
      <c r="K85" s="1"/>
      <c r="L85" s="1"/>
      <c r="M85" s="1"/>
      <c r="N85" s="1"/>
      <c r="O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W85" s="1"/>
      <c r="AX85" s="1">
        <v>42.891739838038283</v>
      </c>
      <c r="AY85">
        <v>77.59510895307055</v>
      </c>
    </row>
    <row r="86" spans="1:51" x14ac:dyDescent="0.25">
      <c r="A86" s="8">
        <f t="shared" si="3"/>
        <v>1919</v>
      </c>
      <c r="C86" s="17">
        <v>123.10714285714283</v>
      </c>
      <c r="D86" s="17">
        <v>109.375</v>
      </c>
      <c r="E86" s="1"/>
      <c r="F86" s="1"/>
      <c r="G86" s="17">
        <v>48.979591836734684</v>
      </c>
      <c r="H86" s="1"/>
      <c r="I86" s="1"/>
      <c r="J86" s="1"/>
      <c r="K86" s="1"/>
      <c r="L86" s="1"/>
      <c r="M86" s="1"/>
      <c r="N86" s="1"/>
      <c r="O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W86" s="1"/>
      <c r="AX86" s="1">
        <v>55.703926309381202</v>
      </c>
      <c r="AY86">
        <v>95.968160394407732</v>
      </c>
    </row>
    <row r="87" spans="1:51" x14ac:dyDescent="0.25">
      <c r="A87" s="8">
        <f t="shared" si="3"/>
        <v>1920</v>
      </c>
      <c r="C87" s="17">
        <v>172.60714285714286</v>
      </c>
      <c r="D87" s="17">
        <v>121.25</v>
      </c>
      <c r="E87" s="1"/>
      <c r="F87" s="1"/>
      <c r="G87" s="17">
        <v>48.214285714285708</v>
      </c>
      <c r="H87" s="1"/>
      <c r="I87" s="1"/>
      <c r="J87" s="1"/>
      <c r="K87" s="1"/>
      <c r="L87" s="1"/>
      <c r="M87" s="1"/>
      <c r="N87" s="1"/>
      <c r="O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W87" s="1"/>
      <c r="AX87" s="1">
        <v>68.590947070074805</v>
      </c>
      <c r="AY87">
        <v>96.438539834258222</v>
      </c>
    </row>
    <row r="88" spans="1:51" x14ac:dyDescent="0.25">
      <c r="A88" s="8">
        <f t="shared" si="3"/>
        <v>1921</v>
      </c>
      <c r="C88" s="17"/>
      <c r="D88" s="17">
        <v>107.25</v>
      </c>
      <c r="E88" s="1"/>
      <c r="F88" s="1"/>
      <c r="G88" s="17">
        <v>48.373408769448368</v>
      </c>
      <c r="H88" s="1"/>
      <c r="I88" s="1"/>
      <c r="J88" s="1"/>
      <c r="K88" s="1"/>
      <c r="L88" s="1"/>
      <c r="M88" s="1"/>
      <c r="N88" s="1"/>
      <c r="O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v>46.824624038712201</v>
      </c>
      <c r="AY88">
        <v>105.31250008928572</v>
      </c>
    </row>
    <row r="89" spans="1:51" x14ac:dyDescent="0.25">
      <c r="A89" s="8">
        <f t="shared" si="3"/>
        <v>1922</v>
      </c>
      <c r="C89" s="17"/>
      <c r="D89" s="17">
        <v>71.75</v>
      </c>
      <c r="E89" s="1"/>
      <c r="F89" s="1"/>
      <c r="G89" s="17">
        <v>48.149219201850777</v>
      </c>
      <c r="H89" s="1"/>
      <c r="I89" s="1"/>
      <c r="J89" s="1"/>
      <c r="K89" s="1"/>
      <c r="L89" s="1"/>
      <c r="M89" s="1"/>
      <c r="N89" s="1"/>
      <c r="O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v>64.25030413625305</v>
      </c>
    </row>
    <row r="90" spans="1:51" x14ac:dyDescent="0.25">
      <c r="A90" s="8">
        <f t="shared" si="3"/>
        <v>1923</v>
      </c>
      <c r="C90" s="17"/>
      <c r="D90" s="17">
        <v>63.214285714285715</v>
      </c>
      <c r="E90" s="1"/>
      <c r="F90" s="1"/>
      <c r="G90" s="17">
        <v>68.303571428571431</v>
      </c>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v>41.563080438607926</v>
      </c>
    </row>
    <row r="91" spans="1:51" x14ac:dyDescent="0.25">
      <c r="A91" s="8">
        <f t="shared" si="3"/>
        <v>1924</v>
      </c>
      <c r="C91" s="17"/>
      <c r="D91" s="17">
        <v>73.928571428571431</v>
      </c>
      <c r="E91" s="1"/>
      <c r="F91" s="1"/>
      <c r="G91" s="17">
        <v>40.674408842871131</v>
      </c>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v>40.181103634428233</v>
      </c>
    </row>
    <row r="92" spans="1:51" x14ac:dyDescent="0.25">
      <c r="A92" s="8">
        <f t="shared" si="3"/>
        <v>1925</v>
      </c>
      <c r="C92" s="17"/>
      <c r="D92" s="17">
        <v>78.214285714285708</v>
      </c>
      <c r="E92" s="1"/>
      <c r="F92" s="1"/>
      <c r="G92" s="17">
        <v>61.490683229813662</v>
      </c>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v>44.039268878171704</v>
      </c>
    </row>
    <row r="93" spans="1:51" x14ac:dyDescent="0.25">
      <c r="A93" s="8">
        <f t="shared" si="3"/>
        <v>1926</v>
      </c>
      <c r="C93" s="17"/>
      <c r="D93" s="17">
        <v>79.821428571428569</v>
      </c>
      <c r="E93" s="1"/>
      <c r="F93" s="1"/>
      <c r="G93" s="17">
        <v>77.142857142857139</v>
      </c>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v>45.807379920490099</v>
      </c>
    </row>
    <row r="94" spans="1:51" x14ac:dyDescent="0.25">
      <c r="A94" s="8">
        <f t="shared" si="3"/>
        <v>1927</v>
      </c>
      <c r="C94" s="17"/>
      <c r="D94" s="17">
        <v>73.928571428571431</v>
      </c>
      <c r="E94" s="1"/>
      <c r="F94" s="1"/>
      <c r="G94" s="17">
        <v>49.404761904761898</v>
      </c>
      <c r="H94" s="1"/>
      <c r="I94" s="1"/>
      <c r="J94" s="1"/>
      <c r="K94" s="1"/>
      <c r="L94" s="1"/>
      <c r="M94" s="1"/>
      <c r="N94" s="1"/>
      <c r="O94" s="1"/>
      <c r="P94" s="1"/>
      <c r="Q94" s="1"/>
      <c r="R94" s="1"/>
      <c r="S94" s="1"/>
      <c r="T94" s="1"/>
      <c r="U94" s="1"/>
      <c r="V94" s="1"/>
      <c r="W94" s="1"/>
      <c r="X94" s="1"/>
      <c r="Y94" s="1"/>
      <c r="Z94" s="1"/>
      <c r="AA94" s="1"/>
      <c r="AC94" s="1"/>
      <c r="AD94" s="1"/>
      <c r="AE94" s="1"/>
      <c r="AF94" s="1"/>
      <c r="AG94" s="1"/>
      <c r="AH94" s="1"/>
      <c r="AI94" s="1"/>
      <c r="AJ94" s="1"/>
      <c r="AK94" s="1"/>
      <c r="AL94" s="1"/>
      <c r="AM94" s="1"/>
      <c r="AN94" s="1"/>
      <c r="AO94" s="1"/>
      <c r="AP94" s="1"/>
      <c r="AQ94" s="1"/>
      <c r="AR94" s="1"/>
      <c r="AS94" s="1"/>
      <c r="AT94" s="1"/>
      <c r="AU94" s="1"/>
      <c r="AV94" s="1"/>
      <c r="AW94" s="1"/>
      <c r="AX94" s="1">
        <v>44.307129415406678</v>
      </c>
    </row>
    <row r="95" spans="1:51" x14ac:dyDescent="0.25">
      <c r="A95" s="8">
        <f t="shared" si="3"/>
        <v>1928</v>
      </c>
      <c r="C95" s="17"/>
      <c r="D95" s="17">
        <v>64.285714285714292</v>
      </c>
      <c r="E95" s="1"/>
      <c r="F95" s="1"/>
      <c r="G95" s="17">
        <v>55.102040816326522</v>
      </c>
      <c r="H95" s="1"/>
      <c r="I95" s="1"/>
      <c r="J95" s="1"/>
      <c r="K95" s="1"/>
      <c r="L95" s="1"/>
      <c r="M95" s="1"/>
      <c r="N95" s="1"/>
      <c r="O95" s="1"/>
      <c r="P95" s="1"/>
      <c r="Q95" s="1"/>
      <c r="R95" s="1"/>
      <c r="S95" s="1"/>
      <c r="T95" s="1"/>
      <c r="U95" s="1"/>
      <c r="V95" s="1"/>
      <c r="W95" s="1"/>
      <c r="X95" s="1"/>
      <c r="Y95" s="1"/>
      <c r="Z95" s="1"/>
      <c r="AA95" s="1"/>
      <c r="AC95" s="1"/>
      <c r="AD95" s="1"/>
      <c r="AE95" s="1"/>
      <c r="AF95" s="1"/>
      <c r="AG95" s="1"/>
      <c r="AH95" s="1"/>
      <c r="AI95" s="1"/>
      <c r="AJ95" s="1"/>
      <c r="AK95" s="1"/>
      <c r="AL95" s="1"/>
      <c r="AM95" s="1"/>
      <c r="AN95" s="1"/>
      <c r="AO95" s="1"/>
      <c r="AP95" s="1"/>
      <c r="AQ95" s="1"/>
      <c r="AR95" s="1"/>
      <c r="AS95" s="1"/>
      <c r="AT95" s="1"/>
      <c r="AU95" s="1"/>
      <c r="AV95" s="1"/>
      <c r="AW95" s="1"/>
      <c r="AX95" s="1">
        <v>42.277919436478975</v>
      </c>
    </row>
    <row r="96" spans="1:51" x14ac:dyDescent="0.25">
      <c r="A96" s="8">
        <f t="shared" si="3"/>
        <v>1929</v>
      </c>
      <c r="C96" s="17"/>
      <c r="D96" s="17">
        <v>63.214285714285715</v>
      </c>
      <c r="E96" s="1"/>
      <c r="F96" s="1"/>
      <c r="G96" s="17">
        <v>53.230209281164697</v>
      </c>
      <c r="H96" s="1"/>
      <c r="I96" s="1"/>
      <c r="J96" s="1"/>
      <c r="K96" s="1"/>
      <c r="L96" s="1"/>
      <c r="M96" s="1"/>
      <c r="N96" s="1"/>
      <c r="O96" s="1"/>
      <c r="P96" s="1"/>
      <c r="Q96" s="1"/>
      <c r="R96" s="1"/>
      <c r="S96" s="1"/>
      <c r="T96" s="1"/>
      <c r="U96" s="1"/>
      <c r="V96" s="1"/>
      <c r="W96" s="1"/>
      <c r="X96" s="1"/>
      <c r="Y96" s="1"/>
      <c r="Z96" s="1"/>
      <c r="AA96" s="1"/>
      <c r="AC96" s="1"/>
      <c r="AD96" s="1"/>
      <c r="AE96" s="1"/>
      <c r="AF96" s="1"/>
      <c r="AG96" s="1"/>
      <c r="AH96" s="1"/>
      <c r="AI96" s="1"/>
      <c r="AJ96" s="1"/>
      <c r="AK96" s="1"/>
      <c r="AL96" s="1"/>
      <c r="AM96" s="1"/>
      <c r="AN96" s="1"/>
      <c r="AO96" s="1"/>
      <c r="AP96" s="1"/>
      <c r="AQ96" s="1"/>
      <c r="AR96" s="1"/>
      <c r="AS96" s="1"/>
      <c r="AT96" s="1"/>
      <c r="AU96" s="1"/>
      <c r="AV96" s="1"/>
      <c r="AW96" s="1"/>
      <c r="AX96" s="1">
        <v>47.723384004605499</v>
      </c>
    </row>
    <row r="97" spans="1:50" x14ac:dyDescent="0.25">
      <c r="A97" s="8">
        <f t="shared" si="3"/>
        <v>1930</v>
      </c>
      <c r="C97" s="17"/>
      <c r="D97" s="17">
        <v>51.428571428571431</v>
      </c>
      <c r="E97" s="1"/>
      <c r="F97" s="1"/>
      <c r="G97" s="17">
        <v>31.571428571428573</v>
      </c>
      <c r="H97" s="1"/>
      <c r="I97" s="1"/>
      <c r="J97" s="1"/>
      <c r="K97" s="1"/>
      <c r="L97" s="1"/>
      <c r="M97" s="1"/>
      <c r="N97" s="1"/>
      <c r="O97" s="1"/>
      <c r="P97" s="1"/>
      <c r="Q97" s="1"/>
      <c r="R97" s="1"/>
      <c r="S97" s="1"/>
      <c r="T97" s="1"/>
      <c r="U97" s="1"/>
      <c r="V97" s="1"/>
      <c r="W97" s="1"/>
      <c r="X97" s="1"/>
      <c r="Y97" s="1"/>
      <c r="Z97" s="1"/>
      <c r="AA97" s="1"/>
      <c r="AC97" s="1"/>
      <c r="AD97" s="1"/>
      <c r="AE97" s="1"/>
      <c r="AF97" s="1"/>
      <c r="AG97" s="1"/>
      <c r="AH97" s="1"/>
      <c r="AI97" s="1"/>
      <c r="AJ97" s="1"/>
      <c r="AK97" s="1"/>
      <c r="AL97" s="1"/>
      <c r="AM97" s="1"/>
      <c r="AN97" s="1"/>
      <c r="AO97" s="1"/>
      <c r="AP97" s="1"/>
      <c r="AQ97" s="1"/>
      <c r="AR97" s="1"/>
      <c r="AS97" s="1"/>
      <c r="AT97" s="1"/>
      <c r="AU97" s="1"/>
      <c r="AV97" s="1"/>
      <c r="AW97" s="1"/>
      <c r="AX97" s="1">
        <v>34.382705636999326</v>
      </c>
    </row>
    <row r="98" spans="1:50" x14ac:dyDescent="0.25">
      <c r="A98" s="8">
        <f t="shared" si="3"/>
        <v>1931</v>
      </c>
      <c r="C98" s="17"/>
      <c r="D98" s="17">
        <v>36.964285714285715</v>
      </c>
      <c r="E98" s="1"/>
      <c r="F98" s="1"/>
      <c r="G98" s="17">
        <v>25.346938775510203</v>
      </c>
      <c r="H98" s="1"/>
      <c r="I98" s="1"/>
      <c r="J98" s="1"/>
      <c r="K98" s="1"/>
      <c r="L98" s="1"/>
      <c r="M98" s="1"/>
      <c r="N98" s="1"/>
      <c r="O98" s="1"/>
      <c r="P98" s="1"/>
      <c r="Q98" s="1"/>
      <c r="R98" s="1"/>
      <c r="S98" s="1"/>
      <c r="T98" s="1"/>
      <c r="U98" s="1"/>
      <c r="V98" s="1"/>
      <c r="W98" s="1"/>
      <c r="X98" s="1"/>
      <c r="Y98" s="1"/>
      <c r="Z98" s="1"/>
      <c r="AA98" s="1"/>
      <c r="AC98" s="1"/>
      <c r="AD98" s="1"/>
      <c r="AE98" s="1"/>
      <c r="AF98" s="1"/>
      <c r="AG98" s="1"/>
      <c r="AH98" s="1"/>
      <c r="AI98" s="1"/>
      <c r="AJ98" s="1"/>
      <c r="AK98" s="1"/>
      <c r="AL98" s="1"/>
      <c r="AM98" s="1"/>
      <c r="AN98" s="1"/>
      <c r="AO98" s="1"/>
      <c r="AP98" s="1"/>
      <c r="AQ98" s="1"/>
      <c r="AR98" s="1"/>
      <c r="AS98" s="1"/>
      <c r="AT98" s="1"/>
      <c r="AU98" s="1"/>
      <c r="AV98" s="1"/>
      <c r="AW98" s="1"/>
      <c r="AX98" s="1">
        <v>23.918514486086405</v>
      </c>
    </row>
    <row r="99" spans="1:50" x14ac:dyDescent="0.25">
      <c r="A99" s="8">
        <f t="shared" si="3"/>
        <v>1932</v>
      </c>
      <c r="C99" s="17"/>
      <c r="D99" s="17">
        <v>38.035714285714285</v>
      </c>
      <c r="E99" s="1"/>
      <c r="F99" s="1"/>
      <c r="G99" s="17">
        <v>31.153846153846153</v>
      </c>
      <c r="H99" s="1"/>
      <c r="I99" s="1"/>
      <c r="J99" s="1"/>
      <c r="K99" s="1"/>
      <c r="L99" s="1"/>
      <c r="M99" s="1"/>
      <c r="N99" s="1"/>
      <c r="O99" s="1"/>
      <c r="P99" s="1"/>
      <c r="Q99" s="1"/>
      <c r="R99" s="1"/>
      <c r="S99" s="1"/>
      <c r="T99" s="1"/>
      <c r="U99" s="1"/>
      <c r="V99" s="1"/>
      <c r="W99" s="1"/>
      <c r="X99" s="1"/>
      <c r="Y99" s="1"/>
      <c r="Z99" s="1"/>
      <c r="AA99" s="1"/>
      <c r="AC99" s="1"/>
      <c r="AD99" s="1"/>
      <c r="AE99" s="1"/>
      <c r="AF99" s="1"/>
      <c r="AG99" s="1"/>
      <c r="AH99" s="1"/>
      <c r="AI99" s="1"/>
      <c r="AJ99" s="1"/>
      <c r="AK99" s="1"/>
      <c r="AL99" s="1"/>
      <c r="AM99" s="1"/>
      <c r="AN99" s="1"/>
      <c r="AO99" s="1"/>
      <c r="AP99" s="1"/>
      <c r="AQ99" s="1"/>
      <c r="AR99" s="1"/>
      <c r="AS99" s="1"/>
      <c r="AT99" s="1"/>
      <c r="AU99" s="1"/>
      <c r="AV99" s="1"/>
      <c r="AW99" s="1"/>
    </row>
    <row r="100" spans="1:50" x14ac:dyDescent="0.25">
      <c r="A100" s="8">
        <f t="shared" si="3"/>
        <v>1933</v>
      </c>
      <c r="C100" s="17"/>
      <c r="D100" s="17">
        <v>34.285714285714285</v>
      </c>
      <c r="E100" s="1"/>
      <c r="F100" s="1"/>
      <c r="G100" s="17">
        <v>30.055658627087194</v>
      </c>
      <c r="H100" s="1"/>
      <c r="I100" s="1"/>
      <c r="J100" s="1"/>
      <c r="K100" s="1"/>
      <c r="L100" s="1"/>
      <c r="M100" s="1"/>
      <c r="N100" s="1"/>
      <c r="O100" s="1"/>
      <c r="P100" s="1"/>
      <c r="Q100" s="1"/>
      <c r="R100" s="1"/>
      <c r="S100" s="1"/>
      <c r="T100" s="1"/>
      <c r="U100" s="1"/>
      <c r="V100" s="1"/>
      <c r="W100" s="1"/>
      <c r="X100" s="1"/>
      <c r="Y100" s="1"/>
      <c r="Z100" s="1"/>
      <c r="AA100" s="1"/>
      <c r="AC100" s="1"/>
      <c r="AD100" s="1"/>
      <c r="AE100" s="1"/>
      <c r="AF100" s="1"/>
      <c r="AG100" s="1"/>
      <c r="AH100" s="1"/>
      <c r="AI100" s="1"/>
      <c r="AJ100" s="1"/>
      <c r="AK100" s="1"/>
      <c r="AL100" s="1"/>
      <c r="AM100" s="1"/>
      <c r="AN100" s="1"/>
      <c r="AO100" s="1"/>
      <c r="AP100" s="1"/>
      <c r="AQ100" s="1"/>
      <c r="AR100" s="1"/>
      <c r="AS100" s="1"/>
      <c r="AT100" s="1"/>
      <c r="AU100" s="1"/>
      <c r="AV100" s="1"/>
      <c r="AW100" s="1"/>
    </row>
    <row r="101" spans="1:50" x14ac:dyDescent="0.25">
      <c r="A101" s="8">
        <f t="shared" si="3"/>
        <v>1934</v>
      </c>
      <c r="C101" s="17"/>
      <c r="D101" s="17">
        <v>31.071428571428573</v>
      </c>
      <c r="E101" s="1"/>
      <c r="F101" s="1"/>
      <c r="G101" s="17">
        <v>28.222996515679444</v>
      </c>
      <c r="H101" s="1"/>
      <c r="I101" s="1"/>
      <c r="J101" s="1"/>
      <c r="K101" s="1"/>
      <c r="L101" s="1"/>
      <c r="M101" s="1"/>
      <c r="N101" s="1"/>
      <c r="O101" s="1"/>
      <c r="P101" s="1"/>
      <c r="Q101" s="1"/>
      <c r="R101" s="1"/>
      <c r="S101" s="1"/>
      <c r="T101" s="1"/>
      <c r="U101" s="1"/>
      <c r="V101" s="1"/>
      <c r="W101" s="1"/>
      <c r="X101" s="1"/>
      <c r="Y101" s="1"/>
      <c r="Z101" s="1"/>
      <c r="AA101" s="1"/>
      <c r="AC101" s="1"/>
      <c r="AD101" s="1"/>
      <c r="AE101" s="1"/>
      <c r="AF101" s="1"/>
      <c r="AG101" s="1"/>
      <c r="AH101" s="1"/>
      <c r="AI101" s="1"/>
      <c r="AJ101" s="1"/>
      <c r="AK101" s="1"/>
      <c r="AL101" s="1"/>
      <c r="AM101" s="1"/>
      <c r="AN101" s="1"/>
      <c r="AO101" s="1"/>
      <c r="AP101" s="1"/>
      <c r="AQ101" s="1"/>
      <c r="AR101" s="1"/>
      <c r="AS101" s="1"/>
      <c r="AT101" s="1"/>
      <c r="AU101" s="1"/>
      <c r="AV101" s="1"/>
      <c r="AW101" s="1"/>
    </row>
    <row r="102" spans="1:50" x14ac:dyDescent="0.25">
      <c r="A102" s="8">
        <f t="shared" si="3"/>
        <v>1935</v>
      </c>
      <c r="C102" s="17"/>
      <c r="D102" s="17">
        <v>33.214285714285715</v>
      </c>
      <c r="E102" s="1"/>
      <c r="F102" s="1"/>
      <c r="G102" s="17">
        <v>6.4529220779220786</v>
      </c>
      <c r="H102" s="1"/>
      <c r="I102" s="1"/>
      <c r="J102" s="1"/>
      <c r="K102" s="1"/>
      <c r="L102" s="1"/>
      <c r="M102" s="1"/>
      <c r="N102" s="1"/>
      <c r="O102" s="1"/>
      <c r="P102" s="1"/>
      <c r="Q102" s="1"/>
      <c r="R102" s="1"/>
      <c r="S102" s="1"/>
      <c r="T102" s="1"/>
      <c r="U102" s="1"/>
      <c r="V102" s="1"/>
      <c r="W102" s="1"/>
      <c r="X102" s="1"/>
      <c r="Y102" s="1"/>
      <c r="Z102" s="1"/>
      <c r="AA102" s="1"/>
      <c r="AC102" s="1"/>
      <c r="AD102" s="1"/>
      <c r="AE102" s="1"/>
      <c r="AF102" s="1"/>
      <c r="AG102" s="1"/>
      <c r="AH102" s="1"/>
      <c r="AI102" s="1"/>
      <c r="AJ102" s="1"/>
      <c r="AK102" s="1"/>
      <c r="AL102" s="1"/>
      <c r="AM102" s="1"/>
      <c r="AN102" s="1"/>
      <c r="AO102" s="1"/>
      <c r="AP102" s="1"/>
      <c r="AQ102" s="1"/>
      <c r="AR102" s="1"/>
      <c r="AS102" s="1"/>
      <c r="AT102" s="1"/>
      <c r="AU102" s="1"/>
      <c r="AV102" s="1"/>
      <c r="AW102" s="1"/>
    </row>
    <row r="103" spans="1:50" x14ac:dyDescent="0.25">
      <c r="A103" s="8">
        <f t="shared" si="3"/>
        <v>1936</v>
      </c>
      <c r="C103" s="17"/>
      <c r="D103" s="17">
        <v>46.071428571428569</v>
      </c>
      <c r="E103" s="1"/>
      <c r="F103" s="1"/>
      <c r="G103" s="17">
        <v>34.322033898305079</v>
      </c>
      <c r="H103" s="1"/>
      <c r="I103" s="1"/>
      <c r="J103" s="1"/>
      <c r="K103" s="1"/>
      <c r="L103" s="1"/>
      <c r="M103" s="1"/>
      <c r="N103" s="1"/>
      <c r="O103" s="1"/>
      <c r="P103" s="1"/>
      <c r="Q103" s="1"/>
      <c r="R103" s="1"/>
      <c r="S103" s="1"/>
      <c r="T103" s="1"/>
      <c r="U103" s="1"/>
      <c r="V103" s="1"/>
      <c r="W103" s="1"/>
      <c r="X103" s="1"/>
      <c r="Y103" s="1"/>
      <c r="Z103" s="1"/>
      <c r="AA103" s="1"/>
      <c r="AC103" s="1"/>
      <c r="AD103" s="1"/>
      <c r="AE103" s="1"/>
      <c r="AF103" s="1"/>
      <c r="AG103" s="1"/>
      <c r="AH103" s="1"/>
      <c r="AI103" s="1"/>
      <c r="AJ103" s="1"/>
      <c r="AK103" s="1"/>
      <c r="AL103" s="1"/>
      <c r="AM103" s="1"/>
      <c r="AN103" s="1"/>
      <c r="AO103" s="1"/>
      <c r="AP103" s="1"/>
      <c r="AQ103" s="1"/>
      <c r="AR103" s="1"/>
      <c r="AS103" s="1"/>
      <c r="AT103" s="1"/>
      <c r="AU103" s="1"/>
      <c r="AV103" s="1"/>
      <c r="AW103" s="1"/>
    </row>
    <row r="104" spans="1:50" x14ac:dyDescent="0.25">
      <c r="A104" s="8">
        <f t="shared" si="3"/>
        <v>1937</v>
      </c>
      <c r="C104" s="17"/>
      <c r="D104" s="17">
        <v>60</v>
      </c>
      <c r="E104" s="1"/>
      <c r="F104" s="1"/>
      <c r="G104" s="17">
        <v>41.51312468450277</v>
      </c>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row>
    <row r="105" spans="1:50" x14ac:dyDescent="0.25">
      <c r="A105" s="8">
        <f t="shared" si="3"/>
        <v>1938</v>
      </c>
      <c r="C105" s="17"/>
      <c r="D105" s="17">
        <v>43.392857142857146</v>
      </c>
      <c r="E105" s="1"/>
      <c r="F105" s="1"/>
      <c r="G105" s="17">
        <v>36.753786753786756</v>
      </c>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row>
    <row r="106" spans="1:50" x14ac:dyDescent="0.25">
      <c r="A106" s="8">
        <f t="shared" si="3"/>
        <v>1939</v>
      </c>
      <c r="C106" s="17"/>
      <c r="D106" s="17">
        <v>32.142857142857146</v>
      </c>
      <c r="E106" s="1"/>
      <c r="F106" s="1"/>
      <c r="G106" s="17">
        <v>30.15017327685791</v>
      </c>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row>
    <row r="107" spans="1:50" x14ac:dyDescent="0.25">
      <c r="A107" s="8">
        <f t="shared" si="3"/>
        <v>1940</v>
      </c>
      <c r="C107" s="17"/>
      <c r="D107" s="17">
        <v>64.285714285714292</v>
      </c>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row>
    <row r="108" spans="1:50" hidden="1" x14ac:dyDescent="0.25">
      <c r="A108" s="8">
        <f t="shared" si="3"/>
        <v>1941</v>
      </c>
      <c r="C108" s="17"/>
      <c r="D108" s="17"/>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row>
    <row r="109" spans="1:50" hidden="1" x14ac:dyDescent="0.25">
      <c r="A109" s="8">
        <f t="shared" si="3"/>
        <v>1942</v>
      </c>
      <c r="C109" s="17"/>
      <c r="D109" s="17"/>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row>
    <row r="110" spans="1:50" hidden="1" x14ac:dyDescent="0.25">
      <c r="A110" s="8">
        <f t="shared" si="3"/>
        <v>1943</v>
      </c>
      <c r="C110" s="17"/>
      <c r="D110" s="17"/>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row>
    <row r="111" spans="1:50" hidden="1" x14ac:dyDescent="0.25">
      <c r="A111" s="8">
        <f t="shared" si="3"/>
        <v>1944</v>
      </c>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row>
    <row r="112" spans="1:50" hidden="1" x14ac:dyDescent="0.25">
      <c r="A112" s="8">
        <f t="shared" si="3"/>
        <v>1945</v>
      </c>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row>
    <row r="113" spans="1:49" hidden="1" x14ac:dyDescent="0.25">
      <c r="A113" s="8">
        <f t="shared" si="3"/>
        <v>1946</v>
      </c>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row>
    <row r="114" spans="1:49" hidden="1" x14ac:dyDescent="0.25">
      <c r="A114" s="8">
        <f t="shared" si="3"/>
        <v>1947</v>
      </c>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row>
    <row r="115" spans="1:49" hidden="1" x14ac:dyDescent="0.25">
      <c r="A115" s="8">
        <f t="shared" si="3"/>
        <v>1948</v>
      </c>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row>
    <row r="116" spans="1:49" hidden="1" x14ac:dyDescent="0.25">
      <c r="A116" s="8">
        <f t="shared" si="3"/>
        <v>1949</v>
      </c>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row>
    <row r="117" spans="1:49" hidden="1" x14ac:dyDescent="0.25">
      <c r="A117" s="8">
        <f t="shared" si="3"/>
        <v>1950</v>
      </c>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row>
    <row r="118" spans="1:49" hidden="1" x14ac:dyDescent="0.25">
      <c r="A118" s="8">
        <f t="shared" si="3"/>
        <v>1951</v>
      </c>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row>
    <row r="119" spans="1:49" hidden="1" x14ac:dyDescent="0.25">
      <c r="A119" s="8">
        <f t="shared" si="3"/>
        <v>1952</v>
      </c>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row>
    <row r="120" spans="1:49" hidden="1" x14ac:dyDescent="0.25">
      <c r="A120" s="8">
        <f t="shared" si="3"/>
        <v>1953</v>
      </c>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row>
    <row r="121" spans="1:49" hidden="1" x14ac:dyDescent="0.25">
      <c r="A121" s="8">
        <f t="shared" si="3"/>
        <v>1954</v>
      </c>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row>
    <row r="122" spans="1:49" hidden="1" x14ac:dyDescent="0.25">
      <c r="A122" s="8">
        <f t="shared" si="3"/>
        <v>1955</v>
      </c>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row>
    <row r="123" spans="1:49" hidden="1" x14ac:dyDescent="0.25">
      <c r="A123" s="8">
        <f t="shared" si="3"/>
        <v>1956</v>
      </c>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row>
    <row r="124" spans="1:49" hidden="1" x14ac:dyDescent="0.25">
      <c r="A124" s="8">
        <f t="shared" si="3"/>
        <v>1957</v>
      </c>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row>
    <row r="125" spans="1:49" hidden="1" x14ac:dyDescent="0.25">
      <c r="A125" s="8">
        <f t="shared" si="3"/>
        <v>1958</v>
      </c>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row>
    <row r="126" spans="1:49" hidden="1" x14ac:dyDescent="0.25">
      <c r="A126" s="8">
        <f t="shared" si="3"/>
        <v>1959</v>
      </c>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row>
    <row r="127" spans="1:49" hidden="1" x14ac:dyDescent="0.25">
      <c r="A127" s="8">
        <f t="shared" si="3"/>
        <v>1960</v>
      </c>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row>
    <row r="128" spans="1:49" hidden="1" x14ac:dyDescent="0.25">
      <c r="A128" s="8">
        <f t="shared" si="3"/>
        <v>1961</v>
      </c>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row>
    <row r="129" spans="1:49" hidden="1" x14ac:dyDescent="0.25">
      <c r="A129" s="8">
        <f t="shared" si="3"/>
        <v>1962</v>
      </c>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row>
    <row r="130" spans="1:49" hidden="1" x14ac:dyDescent="0.25">
      <c r="A130" s="8">
        <f t="shared" si="3"/>
        <v>1963</v>
      </c>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row>
    <row r="131" spans="1:49" hidden="1" x14ac:dyDescent="0.25">
      <c r="A131" s="8">
        <f t="shared" si="3"/>
        <v>1964</v>
      </c>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row>
    <row r="132" spans="1:49" hidden="1" x14ac:dyDescent="0.25">
      <c r="A132" s="8">
        <f t="shared" si="3"/>
        <v>1965</v>
      </c>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row>
    <row r="133" spans="1:49" hidden="1" x14ac:dyDescent="0.25">
      <c r="A133" s="8">
        <f t="shared" si="3"/>
        <v>1966</v>
      </c>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row>
    <row r="134" spans="1:49" hidden="1" x14ac:dyDescent="0.25">
      <c r="A134" s="8">
        <f t="shared" si="3"/>
        <v>1967</v>
      </c>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row>
    <row r="135" spans="1:49" hidden="1" x14ac:dyDescent="0.25">
      <c r="A135" s="8">
        <f t="shared" si="3"/>
        <v>1968</v>
      </c>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row>
    <row r="136" spans="1:49" hidden="1" x14ac:dyDescent="0.25">
      <c r="A136" s="8">
        <f t="shared" ref="A136:A145" si="4">A135+1</f>
        <v>1969</v>
      </c>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row>
    <row r="137" spans="1:49" hidden="1" x14ac:dyDescent="0.25">
      <c r="A137" s="8">
        <f t="shared" si="4"/>
        <v>1970</v>
      </c>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row>
    <row r="138" spans="1:49" hidden="1" x14ac:dyDescent="0.25">
      <c r="A138" s="8">
        <f t="shared" si="4"/>
        <v>1971</v>
      </c>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row>
    <row r="139" spans="1:49" hidden="1" x14ac:dyDescent="0.25">
      <c r="A139" s="8">
        <f t="shared" si="4"/>
        <v>1972</v>
      </c>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row>
    <row r="140" spans="1:49" hidden="1" x14ac:dyDescent="0.25">
      <c r="A140" s="8">
        <f t="shared" si="4"/>
        <v>1973</v>
      </c>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row>
    <row r="141" spans="1:49" hidden="1" x14ac:dyDescent="0.25">
      <c r="A141" s="8">
        <f t="shared" si="4"/>
        <v>1974</v>
      </c>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row>
    <row r="142" spans="1:49" hidden="1" x14ac:dyDescent="0.25">
      <c r="A142" s="8">
        <f t="shared" si="4"/>
        <v>1975</v>
      </c>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row>
    <row r="143" spans="1:49" hidden="1" x14ac:dyDescent="0.25">
      <c r="A143" s="8">
        <f t="shared" si="4"/>
        <v>1976</v>
      </c>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row>
    <row r="144" spans="1:49" hidden="1" x14ac:dyDescent="0.25">
      <c r="A144" s="8">
        <f t="shared" si="4"/>
        <v>1977</v>
      </c>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row>
    <row r="145" spans="1:49" hidden="1" x14ac:dyDescent="0.25">
      <c r="A145" s="8">
        <f t="shared" si="4"/>
        <v>1978</v>
      </c>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row>
    <row r="146" spans="1:49" x14ac:dyDescent="0.25">
      <c r="C146" s="1"/>
      <c r="D146" s="1"/>
      <c r="E146" s="1"/>
      <c r="F146" s="1"/>
      <c r="G146" s="1"/>
      <c r="H146" s="1"/>
      <c r="I146" s="1"/>
      <c r="J146" s="1"/>
      <c r="K146" s="1"/>
      <c r="L146" s="1"/>
      <c r="M146" s="1"/>
      <c r="N146" s="1"/>
      <c r="R146" s="1"/>
      <c r="S146" s="1"/>
      <c r="T146" s="1"/>
      <c r="U146" s="1"/>
      <c r="V146" s="1"/>
      <c r="W146" s="1"/>
      <c r="X146" s="1"/>
      <c r="Y146" s="1"/>
      <c r="Z146" s="1"/>
      <c r="AA146" s="1"/>
      <c r="AB146" s="1"/>
      <c r="AC146" s="1"/>
      <c r="AD146" s="1"/>
      <c r="AE146" s="1"/>
      <c r="AF146" s="1"/>
      <c r="AG146" s="1"/>
      <c r="AH146" s="1"/>
      <c r="AI146" s="1"/>
      <c r="AJ146" s="1"/>
      <c r="AK146" s="1"/>
      <c r="AL146" s="1"/>
    </row>
    <row r="147" spans="1:49" x14ac:dyDescent="0.25">
      <c r="C147" s="1"/>
      <c r="D147" s="1"/>
      <c r="E147" s="1"/>
      <c r="F147" s="1"/>
      <c r="G147" s="1"/>
      <c r="H147" s="1"/>
      <c r="I147" s="1"/>
      <c r="J147" s="1"/>
      <c r="K147" s="1"/>
      <c r="L147" s="1"/>
      <c r="M147" s="1"/>
      <c r="N147" s="1"/>
      <c r="R147" s="1"/>
      <c r="S147" s="1"/>
      <c r="T147" s="1"/>
      <c r="U147" s="1"/>
      <c r="V147" s="1"/>
      <c r="W147" s="1"/>
      <c r="X147" s="1"/>
      <c r="Y147" s="1"/>
      <c r="Z147" s="1"/>
      <c r="AA147" s="1"/>
      <c r="AB147" s="1"/>
      <c r="AC147" s="1"/>
      <c r="AD147" s="1"/>
      <c r="AE147" s="1"/>
      <c r="AF147" s="1"/>
      <c r="AG147" s="1"/>
      <c r="AH147" s="1"/>
      <c r="AI147" s="1"/>
      <c r="AJ147" s="1"/>
      <c r="AK147" s="1"/>
      <c r="AL147" s="1"/>
    </row>
    <row r="148" spans="1:49" x14ac:dyDescent="0.25">
      <c r="C148" s="1"/>
      <c r="D148" s="1"/>
      <c r="E148" s="1"/>
      <c r="F148" s="1"/>
      <c r="G148" s="1"/>
      <c r="H148" s="1"/>
      <c r="I148" s="1"/>
      <c r="J148" s="1"/>
      <c r="K148" s="1"/>
      <c r="L148" s="1"/>
      <c r="M148" s="1"/>
      <c r="N148" s="1"/>
      <c r="R148" s="1"/>
      <c r="S148" s="1"/>
      <c r="T148" s="1"/>
      <c r="U148" s="1"/>
      <c r="V148" s="1"/>
      <c r="W148" s="1"/>
      <c r="X148" s="1"/>
      <c r="Y148" s="1"/>
      <c r="Z148" s="1"/>
      <c r="AA148" s="1"/>
      <c r="AB148" s="1"/>
      <c r="AC148" s="1"/>
      <c r="AD148" s="1"/>
      <c r="AE148" s="1"/>
      <c r="AF148" s="1"/>
      <c r="AG148" s="1"/>
      <c r="AH148" s="1"/>
      <c r="AI148" s="1"/>
      <c r="AJ148" s="1"/>
      <c r="AK148" s="1"/>
      <c r="AL148" s="1"/>
    </row>
    <row r="149" spans="1:49" x14ac:dyDescent="0.25">
      <c r="C149" s="1"/>
      <c r="D149" s="1"/>
      <c r="E149" s="1"/>
      <c r="F149" s="1"/>
      <c r="G149" s="1"/>
      <c r="H149" s="1"/>
      <c r="I149" s="1"/>
      <c r="J149" s="1"/>
      <c r="K149" s="1"/>
      <c r="L149" s="1"/>
      <c r="M149" s="1"/>
      <c r="N149" s="1"/>
      <c r="R149" s="1"/>
      <c r="S149" s="1"/>
      <c r="T149" s="1"/>
      <c r="U149" s="1"/>
      <c r="V149" s="1"/>
      <c r="W149" s="1"/>
      <c r="X149" s="1"/>
      <c r="Y149" s="1"/>
      <c r="Z149" s="1"/>
      <c r="AA149" s="1"/>
      <c r="AB149" s="1"/>
      <c r="AC149" s="1"/>
      <c r="AD149" s="1"/>
      <c r="AE149" s="1"/>
      <c r="AF149" s="1"/>
      <c r="AG149" s="1"/>
      <c r="AH149" s="1"/>
      <c r="AI149" s="1"/>
      <c r="AJ149" s="1"/>
      <c r="AK149" s="1"/>
      <c r="AL149" s="1"/>
    </row>
    <row r="150" spans="1:49" x14ac:dyDescent="0.25">
      <c r="C150" s="1"/>
      <c r="D150" s="1"/>
      <c r="E150" s="1"/>
      <c r="F150" s="1"/>
      <c r="G150" s="1"/>
      <c r="H150" s="1"/>
      <c r="I150" s="1"/>
      <c r="J150" s="1"/>
      <c r="K150" s="1"/>
      <c r="L150" s="1"/>
      <c r="M150" s="1"/>
      <c r="N150" s="1"/>
      <c r="R150" s="1"/>
      <c r="S150" s="1"/>
      <c r="T150" s="1"/>
      <c r="U150" s="1"/>
      <c r="V150" s="1"/>
      <c r="W150" s="1"/>
      <c r="X150" s="1"/>
      <c r="Y150" s="1"/>
      <c r="Z150" s="1"/>
      <c r="AA150" s="1"/>
      <c r="AB150" s="1"/>
      <c r="AC150" s="1"/>
      <c r="AD150" s="1"/>
      <c r="AE150" s="1"/>
      <c r="AF150" s="1"/>
      <c r="AG150" s="1"/>
      <c r="AH150" s="1"/>
      <c r="AI150" s="1"/>
      <c r="AJ150" s="1"/>
      <c r="AK150" s="1"/>
      <c r="AL150" s="1"/>
    </row>
    <row r="151" spans="1:49" x14ac:dyDescent="0.25">
      <c r="C151" s="1"/>
      <c r="D151" s="1"/>
      <c r="E151" s="1"/>
      <c r="F151" s="1"/>
      <c r="G151" s="1"/>
      <c r="H151" s="1"/>
      <c r="I151" s="1"/>
      <c r="J151" s="1"/>
      <c r="K151" s="1"/>
      <c r="L151" s="1"/>
      <c r="M151" s="1"/>
      <c r="N151" s="1"/>
      <c r="R151" s="1"/>
      <c r="S151" s="1"/>
      <c r="T151" s="1"/>
      <c r="U151" s="1"/>
      <c r="V151" s="1"/>
      <c r="W151" s="1"/>
      <c r="X151" s="1"/>
      <c r="Y151" s="1"/>
      <c r="Z151" s="1"/>
      <c r="AA151" s="1"/>
      <c r="AB151" s="1"/>
      <c r="AC151" s="1"/>
      <c r="AD151" s="1"/>
      <c r="AE151" s="1"/>
      <c r="AF151" s="1"/>
      <c r="AG151" s="1"/>
      <c r="AH151" s="1"/>
      <c r="AI151" s="1"/>
      <c r="AJ151" s="1"/>
      <c r="AK151" s="1"/>
      <c r="AL151" s="1"/>
    </row>
    <row r="152" spans="1:49" x14ac:dyDescent="0.25">
      <c r="C152" s="1"/>
      <c r="D152" s="1"/>
      <c r="E152" s="1"/>
      <c r="F152" s="1"/>
      <c r="G152" s="1"/>
      <c r="H152" s="1"/>
      <c r="I152" s="1"/>
      <c r="J152" s="1"/>
      <c r="K152" s="1"/>
      <c r="L152" s="1"/>
      <c r="M152" s="1"/>
      <c r="N152" s="1"/>
      <c r="R152" s="1"/>
      <c r="S152" s="1"/>
      <c r="T152" s="1"/>
      <c r="U152" s="1"/>
      <c r="V152" s="1"/>
      <c r="W152" s="1"/>
      <c r="X152" s="1"/>
      <c r="Y152" s="1"/>
      <c r="Z152" s="1"/>
      <c r="AA152" s="1"/>
      <c r="AB152" s="1"/>
      <c r="AC152" s="1"/>
      <c r="AD152" s="1"/>
      <c r="AE152" s="1"/>
      <c r="AF152" s="1"/>
      <c r="AG152" s="1"/>
      <c r="AH152" s="1"/>
      <c r="AI152" s="1"/>
      <c r="AJ152" s="1"/>
      <c r="AK152" s="1"/>
      <c r="AL152" s="1"/>
    </row>
    <row r="153" spans="1:49" x14ac:dyDescent="0.25">
      <c r="C153" s="1"/>
      <c r="D153" s="1"/>
      <c r="E153" s="1"/>
      <c r="F153" s="1"/>
      <c r="G153" s="1"/>
      <c r="H153" s="1"/>
      <c r="I153" s="1"/>
      <c r="J153" s="1"/>
      <c r="K153" s="1"/>
      <c r="L153" s="1"/>
      <c r="M153" s="1"/>
      <c r="N153" s="1"/>
      <c r="R153" s="1"/>
      <c r="S153" s="1"/>
      <c r="T153" s="1"/>
      <c r="U153" s="1"/>
      <c r="V153" s="1"/>
      <c r="W153" s="1"/>
      <c r="X153" s="1"/>
      <c r="Y153" s="1"/>
      <c r="Z153" s="1"/>
      <c r="AA153" s="1"/>
      <c r="AB153" s="1"/>
      <c r="AC153" s="1"/>
      <c r="AD153" s="1"/>
      <c r="AE153" s="1"/>
      <c r="AF153" s="1"/>
      <c r="AG153" s="1"/>
      <c r="AH153" s="1"/>
      <c r="AI153" s="1"/>
      <c r="AJ153" s="1"/>
      <c r="AK153" s="1"/>
      <c r="AL153" s="1"/>
    </row>
    <row r="154" spans="1:49" x14ac:dyDescent="0.25">
      <c r="C154" s="1"/>
      <c r="D154" s="1"/>
      <c r="E154" s="1"/>
      <c r="F154" s="1"/>
      <c r="G154" s="1"/>
      <c r="H154" s="1"/>
      <c r="I154" s="1"/>
      <c r="J154" s="1"/>
      <c r="K154" s="1"/>
      <c r="L154" s="1"/>
      <c r="M154" s="1"/>
      <c r="N154" s="1"/>
      <c r="R154" s="1"/>
      <c r="S154" s="1"/>
      <c r="T154" s="1"/>
      <c r="U154" s="1"/>
      <c r="V154" s="1"/>
      <c r="W154" s="1"/>
      <c r="X154" s="1"/>
      <c r="Y154" s="1"/>
      <c r="Z154" s="1"/>
      <c r="AA154" s="1"/>
      <c r="AB154" s="1"/>
      <c r="AC154" s="1"/>
      <c r="AD154" s="1"/>
      <c r="AE154" s="1"/>
      <c r="AF154" s="1"/>
      <c r="AG154" s="1"/>
      <c r="AH154" s="1"/>
      <c r="AI154" s="1"/>
      <c r="AJ154" s="1"/>
      <c r="AK154" s="1"/>
      <c r="AL154" s="1"/>
    </row>
    <row r="155" spans="1:49" x14ac:dyDescent="0.25">
      <c r="C155" s="1"/>
      <c r="D155" s="1"/>
      <c r="E155" s="1"/>
      <c r="F155" s="1"/>
      <c r="G155" s="1"/>
      <c r="H155" s="1"/>
      <c r="I155" s="1"/>
      <c r="J155" s="1"/>
      <c r="K155" s="1"/>
      <c r="L155" s="1"/>
      <c r="M155" s="1"/>
      <c r="N155" s="1"/>
      <c r="R155" s="1"/>
      <c r="S155" s="1"/>
      <c r="T155" s="1"/>
      <c r="U155" s="1"/>
      <c r="V155" s="1"/>
      <c r="W155" s="1"/>
      <c r="X155" s="1"/>
      <c r="Y155" s="1"/>
      <c r="Z155" s="1"/>
      <c r="AA155" s="1"/>
      <c r="AB155" s="1"/>
      <c r="AC155" s="1"/>
      <c r="AD155" s="1"/>
      <c r="AE155" s="1"/>
      <c r="AF155" s="1"/>
      <c r="AG155" s="1"/>
      <c r="AH155" s="1"/>
      <c r="AI155" s="1"/>
      <c r="AJ155" s="1"/>
      <c r="AK155" s="1"/>
      <c r="AL155" s="1"/>
    </row>
    <row r="156" spans="1:49" x14ac:dyDescent="0.25">
      <c r="C156" s="1"/>
      <c r="D156" s="1"/>
      <c r="E156" s="1"/>
      <c r="F156" s="1"/>
      <c r="G156" s="1"/>
      <c r="H156" s="1"/>
      <c r="I156" s="1"/>
      <c r="J156" s="1"/>
      <c r="K156" s="1"/>
      <c r="L156" s="1"/>
      <c r="M156" s="1"/>
      <c r="N156" s="1"/>
      <c r="R156" s="1"/>
      <c r="S156" s="1"/>
      <c r="T156" s="1"/>
      <c r="U156" s="1"/>
      <c r="V156" s="1"/>
      <c r="W156" s="1"/>
      <c r="X156" s="1"/>
      <c r="Y156" s="1"/>
      <c r="Z156" s="1"/>
      <c r="AA156" s="1"/>
      <c r="AB156" s="1"/>
      <c r="AC156" s="1"/>
      <c r="AD156" s="1"/>
      <c r="AE156" s="1"/>
      <c r="AF156" s="1"/>
      <c r="AG156" s="1"/>
      <c r="AH156" s="1"/>
      <c r="AI156" s="1"/>
      <c r="AJ156" s="1"/>
      <c r="AK156" s="1"/>
      <c r="AL156" s="1"/>
    </row>
    <row r="157" spans="1:49" x14ac:dyDescent="0.25">
      <c r="C157" s="1"/>
      <c r="D157" s="1"/>
      <c r="E157" s="1"/>
      <c r="F157" s="1"/>
      <c r="G157" s="1"/>
      <c r="H157" s="1"/>
      <c r="I157" s="1"/>
      <c r="J157" s="1"/>
      <c r="K157" s="1"/>
      <c r="L157" s="1"/>
      <c r="M157" s="1"/>
      <c r="N157" s="1"/>
      <c r="R157" s="1"/>
      <c r="S157" s="1"/>
      <c r="T157" s="1"/>
      <c r="U157" s="1"/>
      <c r="V157" s="1"/>
      <c r="W157" s="1"/>
      <c r="X157" s="1"/>
      <c r="Y157" s="1"/>
      <c r="Z157" s="1"/>
      <c r="AA157" s="1"/>
      <c r="AB157" s="1"/>
      <c r="AC157" s="1"/>
      <c r="AD157" s="1"/>
      <c r="AE157" s="1"/>
      <c r="AF157" s="1"/>
      <c r="AG157" s="1"/>
      <c r="AH157" s="1"/>
      <c r="AI157" s="1"/>
      <c r="AJ157" s="1"/>
      <c r="AK157" s="1"/>
      <c r="AL157" s="1"/>
    </row>
    <row r="158" spans="1:49" x14ac:dyDescent="0.25">
      <c r="C158" s="1"/>
      <c r="D158" s="1"/>
      <c r="E158" s="1"/>
      <c r="F158" s="1"/>
      <c r="G158" s="1"/>
      <c r="H158" s="1"/>
      <c r="I158" s="1"/>
      <c r="J158" s="1"/>
      <c r="K158" s="1"/>
      <c r="L158" s="1"/>
      <c r="M158" s="1"/>
      <c r="N158" s="1"/>
      <c r="R158" s="1"/>
      <c r="S158" s="1"/>
      <c r="T158" s="1"/>
      <c r="U158" s="1"/>
      <c r="V158" s="1"/>
      <c r="W158" s="1"/>
      <c r="X158" s="1"/>
      <c r="Y158" s="1"/>
      <c r="Z158" s="1"/>
      <c r="AA158" s="1"/>
      <c r="AB158" s="1"/>
      <c r="AC158" s="1"/>
      <c r="AD158" s="1"/>
      <c r="AE158" s="1"/>
      <c r="AF158" s="1"/>
      <c r="AG158" s="1"/>
      <c r="AH158" s="1"/>
      <c r="AI158" s="1"/>
      <c r="AJ158" s="1"/>
      <c r="AK158" s="1"/>
      <c r="AL158" s="1"/>
    </row>
    <row r="159" spans="1:49" x14ac:dyDescent="0.25">
      <c r="C159" s="1"/>
      <c r="D159" s="1"/>
      <c r="E159" s="1"/>
      <c r="F159" s="1"/>
      <c r="G159" s="1"/>
      <c r="H159" s="1"/>
      <c r="I159" s="1"/>
      <c r="J159" s="1"/>
      <c r="K159" s="1"/>
      <c r="L159" s="1"/>
      <c r="M159" s="1"/>
      <c r="N159" s="1"/>
      <c r="R159" s="1"/>
      <c r="S159" s="1"/>
      <c r="T159" s="1"/>
      <c r="U159" s="1"/>
      <c r="V159" s="1"/>
      <c r="W159" s="1"/>
      <c r="X159" s="1"/>
      <c r="Y159" s="1"/>
      <c r="Z159" s="1"/>
      <c r="AA159" s="1"/>
      <c r="AB159" s="1"/>
      <c r="AC159" s="1"/>
      <c r="AD159" s="1"/>
      <c r="AE159" s="1"/>
      <c r="AF159" s="1"/>
      <c r="AG159" s="1"/>
      <c r="AH159" s="1"/>
      <c r="AI159" s="1"/>
      <c r="AJ159" s="1"/>
      <c r="AK159" s="1"/>
      <c r="AL159" s="1"/>
    </row>
    <row r="160" spans="1:49" x14ac:dyDescent="0.25">
      <c r="C160" s="1"/>
      <c r="D160" s="1"/>
      <c r="E160" s="1"/>
      <c r="F160" s="1"/>
      <c r="G160" s="1"/>
      <c r="H160" s="1"/>
      <c r="I160" s="1"/>
      <c r="J160" s="1"/>
      <c r="K160" s="1"/>
      <c r="L160" s="1"/>
      <c r="M160" s="1"/>
      <c r="N160" s="1"/>
      <c r="R160" s="1"/>
      <c r="S160" s="1"/>
      <c r="T160" s="1"/>
      <c r="U160" s="1"/>
      <c r="V160" s="1"/>
      <c r="W160" s="1"/>
      <c r="X160" s="1"/>
      <c r="Y160" s="1"/>
      <c r="Z160" s="1"/>
      <c r="AA160" s="1"/>
      <c r="AB160" s="1"/>
      <c r="AC160" s="1"/>
      <c r="AD160" s="1"/>
      <c r="AE160" s="1"/>
      <c r="AF160" s="1"/>
      <c r="AG160" s="1"/>
      <c r="AH160" s="1"/>
      <c r="AI160" s="1"/>
      <c r="AJ160" s="1"/>
      <c r="AK160" s="1"/>
      <c r="AL160" s="1"/>
    </row>
    <row r="161" spans="3:40" x14ac:dyDescent="0.25">
      <c r="C161" s="1"/>
      <c r="D161" s="1"/>
      <c r="E161" s="1"/>
      <c r="F161" s="1"/>
      <c r="G161" s="1"/>
      <c r="H161" s="1"/>
      <c r="I161" s="1"/>
      <c r="J161" s="1"/>
      <c r="K161" s="1"/>
      <c r="L161" s="1"/>
      <c r="M161" s="1"/>
      <c r="N161" s="1"/>
      <c r="R161" s="1"/>
      <c r="S161" s="1"/>
      <c r="T161" s="1"/>
      <c r="U161" s="1"/>
      <c r="V161" s="1"/>
      <c r="W161" s="1"/>
      <c r="X161" s="1"/>
      <c r="Y161" s="1"/>
      <c r="Z161" s="1"/>
      <c r="AA161" s="1"/>
      <c r="AB161" s="1"/>
      <c r="AC161" s="1"/>
      <c r="AD161" s="1"/>
      <c r="AE161" s="1"/>
      <c r="AF161" s="1"/>
      <c r="AG161" s="1"/>
      <c r="AH161" s="1"/>
      <c r="AI161" s="1"/>
      <c r="AJ161" s="1"/>
      <c r="AK161" s="1"/>
      <c r="AL161" s="1"/>
    </row>
    <row r="162" spans="3:40" x14ac:dyDescent="0.25">
      <c r="C162" s="1"/>
      <c r="D162" s="1"/>
      <c r="E162" s="1"/>
      <c r="F162" s="1"/>
      <c r="G162" s="1"/>
      <c r="H162" s="1"/>
      <c r="I162" s="1"/>
      <c r="J162" s="1"/>
      <c r="K162" s="1"/>
      <c r="L162" s="1"/>
      <c r="M162" s="1"/>
      <c r="N162" s="1"/>
      <c r="R162" s="1"/>
      <c r="S162" s="1"/>
      <c r="T162" s="1"/>
      <c r="U162" s="1"/>
      <c r="V162" s="1"/>
      <c r="W162" s="1"/>
      <c r="X162" s="1"/>
      <c r="Y162" s="1"/>
      <c r="Z162" s="1"/>
      <c r="AA162" s="1"/>
      <c r="AB162" s="1"/>
      <c r="AC162" s="1"/>
      <c r="AD162" s="1"/>
      <c r="AE162" s="1"/>
      <c r="AF162" s="1"/>
      <c r="AG162" s="1"/>
      <c r="AH162" s="1"/>
      <c r="AI162" s="1"/>
      <c r="AJ162" s="1"/>
      <c r="AK162" s="1"/>
      <c r="AL162" s="1"/>
    </row>
    <row r="163" spans="3:40" x14ac:dyDescent="0.25">
      <c r="C163" s="1"/>
      <c r="D163" s="1"/>
      <c r="E163" s="1"/>
      <c r="F163" s="1"/>
      <c r="G163" s="1"/>
      <c r="H163" s="1"/>
      <c r="I163" s="1"/>
      <c r="J163" s="1"/>
      <c r="K163" s="1"/>
      <c r="L163" s="1"/>
      <c r="M163" s="1"/>
      <c r="N163" s="1"/>
      <c r="R163" s="1"/>
      <c r="S163" s="1"/>
      <c r="T163" s="1"/>
      <c r="U163" s="1"/>
      <c r="V163" s="1"/>
      <c r="W163" s="1"/>
      <c r="X163" s="1"/>
      <c r="Y163" s="1"/>
      <c r="Z163" s="1"/>
      <c r="AA163" s="1"/>
      <c r="AB163" s="1"/>
      <c r="AC163" s="1"/>
      <c r="AD163" s="1"/>
      <c r="AE163" s="1"/>
      <c r="AF163" s="1"/>
      <c r="AG163" s="1"/>
      <c r="AH163" s="1"/>
      <c r="AI163" s="1"/>
      <c r="AJ163" s="1"/>
      <c r="AK163" s="1"/>
      <c r="AL163" s="1"/>
    </row>
    <row r="164" spans="3:40" x14ac:dyDescent="0.25">
      <c r="C164" s="1"/>
      <c r="D164" s="1"/>
      <c r="E164" s="1"/>
      <c r="F164" s="1"/>
      <c r="G164" s="1"/>
      <c r="H164" s="1"/>
      <c r="I164" s="1"/>
      <c r="J164" s="1"/>
      <c r="K164" s="1"/>
      <c r="L164" s="1"/>
      <c r="M164" s="1"/>
      <c r="N164" s="1"/>
      <c r="R164" s="1"/>
      <c r="S164" s="1"/>
      <c r="T164" s="1"/>
      <c r="U164" s="1"/>
      <c r="V164" s="1"/>
      <c r="W164" s="1"/>
      <c r="X164" s="1"/>
      <c r="Y164" s="1"/>
      <c r="Z164" s="1"/>
      <c r="AA164" s="1"/>
      <c r="AB164" s="1"/>
      <c r="AC164" s="1"/>
      <c r="AD164" s="1"/>
      <c r="AE164" s="1"/>
      <c r="AF164" s="1"/>
      <c r="AG164" s="1"/>
      <c r="AH164" s="1"/>
      <c r="AI164" s="1"/>
      <c r="AJ164" s="1"/>
      <c r="AK164" s="1"/>
      <c r="AL164" s="1"/>
    </row>
    <row r="165" spans="3:40" x14ac:dyDescent="0.25">
      <c r="C165" s="1"/>
      <c r="D165" s="1"/>
      <c r="E165" s="1"/>
      <c r="F165" s="1"/>
      <c r="G165" s="1"/>
      <c r="H165" s="1"/>
      <c r="I165" s="1"/>
      <c r="J165" s="1"/>
      <c r="K165" s="1"/>
      <c r="L165" s="1"/>
      <c r="M165" s="1"/>
      <c r="N165" s="1"/>
      <c r="R165" s="1"/>
      <c r="S165" s="1"/>
      <c r="T165" s="1"/>
      <c r="U165" s="1"/>
      <c r="V165" s="1"/>
      <c r="W165" s="1"/>
      <c r="X165" s="1"/>
      <c r="Y165" s="1"/>
      <c r="Z165" s="1"/>
      <c r="AA165" s="1"/>
      <c r="AB165" s="1"/>
      <c r="AC165" s="1"/>
      <c r="AD165" s="1"/>
      <c r="AE165" s="1"/>
      <c r="AF165" s="1"/>
      <c r="AG165" s="1"/>
      <c r="AH165" s="1"/>
      <c r="AI165" s="1"/>
      <c r="AJ165" s="1"/>
      <c r="AK165" s="1"/>
      <c r="AL165" s="1"/>
    </row>
    <row r="166" spans="3:40" x14ac:dyDescent="0.25">
      <c r="C166" s="1"/>
      <c r="D166" s="1"/>
      <c r="E166" s="1"/>
      <c r="F166" s="1"/>
      <c r="G166" s="1"/>
      <c r="H166" s="1"/>
      <c r="I166" s="1"/>
      <c r="J166" s="1"/>
      <c r="K166" s="1"/>
      <c r="L166" s="1"/>
      <c r="M166" s="1"/>
      <c r="N166" s="1"/>
      <c r="R166" s="1"/>
      <c r="S166" s="1"/>
      <c r="T166" s="1"/>
      <c r="U166" s="1"/>
      <c r="V166" s="1"/>
      <c r="W166" s="1"/>
      <c r="X166" s="1"/>
      <c r="Y166" s="1"/>
      <c r="Z166" s="1"/>
      <c r="AA166" s="1"/>
      <c r="AB166" s="1"/>
      <c r="AC166" s="1"/>
      <c r="AD166" s="1"/>
      <c r="AE166" s="1"/>
      <c r="AF166" s="1"/>
      <c r="AG166" s="1"/>
      <c r="AH166" s="1"/>
      <c r="AI166" s="1"/>
      <c r="AJ166" s="1"/>
      <c r="AK166" s="1"/>
      <c r="AL166" s="1"/>
    </row>
    <row r="167" spans="3:40" x14ac:dyDescent="0.25">
      <c r="C167" s="1"/>
      <c r="D167" s="1"/>
      <c r="E167" s="1"/>
      <c r="F167" s="1"/>
      <c r="G167" s="1"/>
      <c r="H167" s="1"/>
      <c r="I167" s="1"/>
      <c r="J167" s="1"/>
      <c r="K167" s="1"/>
      <c r="L167" s="1"/>
      <c r="M167" s="1"/>
      <c r="N167" s="1"/>
      <c r="R167" s="1"/>
      <c r="S167" s="1"/>
      <c r="T167" s="1"/>
      <c r="U167" s="1"/>
      <c r="V167" s="1"/>
      <c r="W167" s="1"/>
      <c r="X167" s="1"/>
      <c r="Y167" s="1"/>
      <c r="Z167" s="1"/>
      <c r="AA167" s="1"/>
      <c r="AB167" s="1"/>
      <c r="AC167" s="1"/>
      <c r="AD167" s="1"/>
      <c r="AE167" s="1"/>
      <c r="AF167" s="1"/>
      <c r="AG167" s="1"/>
      <c r="AH167" s="1"/>
      <c r="AI167" s="1"/>
      <c r="AJ167" s="1"/>
      <c r="AK167" s="1"/>
      <c r="AL167" s="1"/>
    </row>
    <row r="168" spans="3:40" x14ac:dyDescent="0.25">
      <c r="C168" s="1"/>
      <c r="D168" s="1"/>
      <c r="E168" s="1"/>
      <c r="F168" s="1"/>
      <c r="G168" s="1"/>
      <c r="H168" s="1"/>
      <c r="I168" s="1"/>
      <c r="J168" s="1"/>
      <c r="K168" s="1"/>
      <c r="L168" s="1"/>
      <c r="M168" s="1"/>
      <c r="N168" s="1"/>
      <c r="R168" s="1"/>
      <c r="S168" s="1"/>
      <c r="T168" s="1"/>
      <c r="U168" s="1"/>
      <c r="V168" s="1"/>
      <c r="W168" s="1"/>
      <c r="X168" s="1"/>
      <c r="Y168" s="1"/>
      <c r="Z168" s="1"/>
      <c r="AA168" s="1"/>
      <c r="AB168" s="1"/>
      <c r="AC168" s="1"/>
      <c r="AD168" s="1"/>
      <c r="AE168" s="1"/>
      <c r="AF168" s="1"/>
      <c r="AG168" s="1"/>
      <c r="AH168" s="1"/>
      <c r="AI168" s="1"/>
      <c r="AJ168" s="1"/>
      <c r="AK168" s="1"/>
      <c r="AL168" s="1"/>
    </row>
    <row r="169" spans="3:40" x14ac:dyDescent="0.25">
      <c r="C169" s="1"/>
      <c r="D169" s="1"/>
      <c r="E169" s="1"/>
      <c r="F169" s="1"/>
      <c r="G169" s="1"/>
      <c r="H169" s="1"/>
      <c r="I169" s="1"/>
      <c r="J169" s="1"/>
      <c r="K169" s="1"/>
      <c r="L169" s="1"/>
      <c r="M169" s="1"/>
      <c r="N169" s="1"/>
      <c r="R169" s="1"/>
      <c r="S169" s="1"/>
      <c r="T169" s="1"/>
      <c r="U169" s="1"/>
      <c r="V169" s="1"/>
      <c r="W169" s="1"/>
      <c r="X169" s="1"/>
      <c r="Y169" s="1"/>
      <c r="Z169" s="1"/>
      <c r="AA169" s="1"/>
      <c r="AB169" s="1"/>
      <c r="AC169" s="1"/>
      <c r="AD169" s="1"/>
      <c r="AE169" s="1"/>
      <c r="AF169" s="1"/>
      <c r="AG169" s="1"/>
      <c r="AH169" s="1"/>
      <c r="AI169" s="1"/>
      <c r="AJ169" s="1"/>
      <c r="AK169" s="1"/>
      <c r="AL169" s="1"/>
    </row>
    <row r="170" spans="3:40" x14ac:dyDescent="0.25">
      <c r="C170" s="1"/>
      <c r="D170" s="1"/>
      <c r="E170" s="1"/>
      <c r="F170" s="1"/>
      <c r="G170" s="1"/>
      <c r="H170" s="1"/>
      <c r="I170" s="1"/>
      <c r="J170" s="1"/>
      <c r="K170" s="1"/>
      <c r="L170" s="1"/>
      <c r="M170" s="1"/>
      <c r="N170" s="1"/>
      <c r="R170" s="1"/>
      <c r="S170" s="1"/>
      <c r="T170" s="1"/>
      <c r="U170" s="1"/>
      <c r="V170" s="1"/>
      <c r="W170" s="1"/>
      <c r="X170" s="1"/>
      <c r="Y170" s="1"/>
      <c r="Z170" s="1"/>
      <c r="AA170" s="1"/>
      <c r="AB170" s="1"/>
      <c r="AC170" s="1"/>
      <c r="AD170" s="1"/>
      <c r="AE170" s="1"/>
      <c r="AF170" s="1"/>
      <c r="AG170" s="1"/>
      <c r="AH170" s="1"/>
      <c r="AI170" s="1"/>
      <c r="AJ170" s="1"/>
      <c r="AK170" s="1"/>
      <c r="AL170" s="1"/>
    </row>
    <row r="171" spans="3:40" x14ac:dyDescent="0.25">
      <c r="C171" s="1"/>
      <c r="D171" s="1"/>
      <c r="E171" s="1"/>
      <c r="F171" s="1"/>
      <c r="G171" s="1"/>
      <c r="H171" s="1"/>
      <c r="I171" s="1"/>
      <c r="J171" s="1"/>
      <c r="K171" s="1"/>
      <c r="L171" s="1"/>
      <c r="M171" s="1"/>
      <c r="N171" s="1"/>
      <c r="R171" s="1"/>
      <c r="S171" s="1"/>
      <c r="T171" s="1"/>
      <c r="U171" s="1"/>
      <c r="V171" s="1"/>
      <c r="W171" s="1"/>
      <c r="X171" s="1"/>
      <c r="Y171" s="1"/>
      <c r="Z171" s="1"/>
      <c r="AA171" s="1"/>
      <c r="AB171" s="1"/>
      <c r="AC171" s="1"/>
      <c r="AD171" s="1"/>
      <c r="AE171" s="1"/>
      <c r="AF171" s="1"/>
      <c r="AG171" s="1"/>
      <c r="AH171" s="1"/>
      <c r="AI171" s="1"/>
      <c r="AJ171" s="1"/>
      <c r="AK171" s="1"/>
      <c r="AL171" s="1"/>
    </row>
    <row r="172" spans="3:40" x14ac:dyDescent="0.25">
      <c r="C172" s="1"/>
      <c r="D172" s="1"/>
      <c r="E172" s="1"/>
      <c r="F172" s="1"/>
      <c r="G172" s="1"/>
      <c r="H172" s="1"/>
      <c r="I172" s="1"/>
      <c r="J172" s="1"/>
      <c r="K172" s="1"/>
      <c r="L172" s="1"/>
      <c r="M172" s="1"/>
      <c r="N172" s="1"/>
      <c r="R172" s="1"/>
      <c r="S172" s="1"/>
      <c r="T172" s="1"/>
      <c r="U172" s="1"/>
      <c r="V172" s="1"/>
      <c r="W172" s="1"/>
      <c r="X172" s="1"/>
      <c r="Y172" s="1"/>
      <c r="Z172" s="1"/>
      <c r="AA172" s="1"/>
      <c r="AB172" s="1"/>
      <c r="AC172" s="1"/>
      <c r="AD172" s="1"/>
      <c r="AE172" s="1"/>
      <c r="AF172" s="1"/>
      <c r="AG172" s="1"/>
      <c r="AH172" s="1"/>
      <c r="AI172" s="1"/>
      <c r="AJ172" s="1"/>
      <c r="AK172" s="1"/>
      <c r="AL172" s="1"/>
      <c r="AM172" s="1"/>
      <c r="AN172" s="1"/>
    </row>
    <row r="173" spans="3:40" x14ac:dyDescent="0.25">
      <c r="C173" s="1"/>
      <c r="D173" s="1"/>
      <c r="E173" s="1"/>
      <c r="F173" s="1"/>
      <c r="G173" s="1"/>
      <c r="H173" s="1"/>
      <c r="I173" s="1"/>
      <c r="J173" s="1"/>
      <c r="K173" s="1"/>
      <c r="L173" s="1"/>
      <c r="M173" s="1"/>
      <c r="N173" s="1"/>
      <c r="R173" s="1"/>
      <c r="S173" s="1"/>
      <c r="T173" s="1"/>
      <c r="U173" s="1"/>
      <c r="V173" s="1"/>
      <c r="W173" s="1"/>
      <c r="X173" s="1"/>
      <c r="Y173" s="1"/>
      <c r="Z173" s="1"/>
      <c r="AA173" s="1"/>
      <c r="AB173" s="1"/>
      <c r="AC173" s="1"/>
      <c r="AD173" s="1"/>
      <c r="AE173" s="1"/>
      <c r="AF173" s="1"/>
      <c r="AG173" s="1"/>
      <c r="AH173" s="1"/>
      <c r="AI173" s="1"/>
      <c r="AJ173" s="1"/>
      <c r="AK173" s="1"/>
      <c r="AL173" s="1"/>
      <c r="AM173" s="1"/>
      <c r="AN173" s="1"/>
    </row>
    <row r="174" spans="3:40" x14ac:dyDescent="0.25">
      <c r="C174" s="1"/>
      <c r="D174" s="1"/>
      <c r="E174" s="1"/>
      <c r="F174" s="1"/>
      <c r="G174" s="1"/>
      <c r="H174" s="1"/>
      <c r="I174" s="1"/>
      <c r="J174" s="1"/>
      <c r="K174" s="1"/>
      <c r="L174" s="1"/>
      <c r="M174" s="1"/>
      <c r="N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3:40" x14ac:dyDescent="0.25">
      <c r="C175" s="1"/>
      <c r="D175" s="1"/>
      <c r="E175" s="1"/>
      <c r="F175" s="1"/>
      <c r="G175" s="1"/>
      <c r="H175" s="1"/>
      <c r="I175" s="1"/>
      <c r="J175" s="1"/>
      <c r="K175" s="1"/>
      <c r="L175" s="1"/>
      <c r="M175" s="1"/>
      <c r="N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3:40" x14ac:dyDescent="0.25">
      <c r="C176" s="1"/>
      <c r="D176" s="1"/>
      <c r="E176" s="1"/>
      <c r="F176" s="1"/>
      <c r="G176" s="1"/>
      <c r="H176" s="1"/>
      <c r="I176" s="1"/>
      <c r="J176" s="1"/>
      <c r="K176" s="1"/>
      <c r="L176" s="1"/>
      <c r="M176" s="1"/>
      <c r="N176" s="1"/>
      <c r="R176" s="1"/>
      <c r="S176" s="1"/>
      <c r="T176" s="1"/>
      <c r="U176" s="1"/>
      <c r="V176" s="1"/>
      <c r="W176" s="1"/>
      <c r="X176" s="1"/>
      <c r="Y176" s="1"/>
      <c r="Z176" s="1"/>
      <c r="AA176" s="1"/>
      <c r="AB176" s="1"/>
      <c r="AC176" s="1"/>
      <c r="AD176" s="1"/>
      <c r="AE176" s="1"/>
      <c r="AF176" s="1"/>
      <c r="AG176" s="1"/>
      <c r="AH176" s="1"/>
      <c r="AI176" s="1"/>
      <c r="AJ176" s="1"/>
      <c r="AK176" s="1"/>
      <c r="AL176" s="1"/>
      <c r="AM176" s="1"/>
      <c r="AN176" s="1"/>
    </row>
    <row r="177" spans="3:49" x14ac:dyDescent="0.25">
      <c r="C177" s="1"/>
      <c r="D177" s="1"/>
      <c r="E177" s="1"/>
      <c r="F177" s="1"/>
      <c r="G177" s="1"/>
      <c r="H177" s="1"/>
      <c r="I177" s="1"/>
      <c r="J177" s="1"/>
      <c r="K177" s="1"/>
      <c r="L177" s="1"/>
      <c r="M177" s="1"/>
      <c r="N177" s="1"/>
      <c r="R177" s="1"/>
      <c r="S177" s="1"/>
      <c r="T177" s="1"/>
      <c r="U177" s="1"/>
      <c r="V177" s="1"/>
      <c r="W177" s="1"/>
      <c r="X177" s="1"/>
      <c r="Y177" s="1"/>
      <c r="Z177" s="1"/>
      <c r="AA177" s="1"/>
      <c r="AB177" s="1"/>
      <c r="AC177" s="1"/>
      <c r="AD177" s="1"/>
      <c r="AE177" s="1"/>
      <c r="AF177" s="1"/>
      <c r="AG177" s="1"/>
      <c r="AH177" s="1"/>
      <c r="AI177" s="1"/>
      <c r="AJ177" s="1"/>
      <c r="AK177" s="1"/>
      <c r="AL177" s="1"/>
      <c r="AM177" s="1"/>
      <c r="AN177" s="1"/>
    </row>
    <row r="178" spans="3:49" x14ac:dyDescent="0.25">
      <c r="C178" s="1"/>
      <c r="D178" s="1"/>
      <c r="E178" s="1"/>
      <c r="F178" s="1"/>
      <c r="G178" s="1"/>
      <c r="H178" s="1"/>
      <c r="I178" s="1"/>
      <c r="J178" s="1"/>
      <c r="K178" s="1"/>
      <c r="L178" s="1"/>
      <c r="M178" s="1"/>
      <c r="N178" s="1"/>
      <c r="R178" s="1"/>
      <c r="S178" s="1"/>
      <c r="T178" s="1"/>
      <c r="U178" s="1"/>
      <c r="V178" s="1"/>
      <c r="W178" s="1"/>
      <c r="X178" s="1"/>
      <c r="Y178" s="1"/>
      <c r="Z178" s="1"/>
      <c r="AA178" s="1"/>
      <c r="AB178" s="1"/>
      <c r="AC178" s="1"/>
      <c r="AD178" s="1"/>
      <c r="AE178" s="1"/>
      <c r="AF178" s="1"/>
      <c r="AG178" s="1"/>
      <c r="AH178" s="1"/>
      <c r="AI178" s="1"/>
      <c r="AJ178" s="1"/>
      <c r="AK178" s="1"/>
      <c r="AL178" s="1"/>
      <c r="AM178" s="1"/>
      <c r="AN178" s="1"/>
    </row>
    <row r="179" spans="3:49" x14ac:dyDescent="0.25">
      <c r="C179" s="1"/>
      <c r="D179" s="1"/>
      <c r="E179" s="1"/>
      <c r="F179" s="1"/>
      <c r="G179" s="1"/>
      <c r="H179" s="1"/>
      <c r="I179" s="1"/>
      <c r="J179" s="1"/>
      <c r="K179" s="1"/>
      <c r="L179" s="1"/>
      <c r="M179" s="1"/>
      <c r="N179" s="1"/>
      <c r="O179" s="1"/>
      <c r="P179" s="1"/>
      <c r="Q179" s="1"/>
      <c r="R179" s="1"/>
      <c r="S179" s="1" t="s">
        <v>54</v>
      </c>
      <c r="T179" s="1" t="s">
        <v>54</v>
      </c>
      <c r="U179" s="1" t="s">
        <v>54</v>
      </c>
      <c r="V179" s="1" t="s">
        <v>54</v>
      </c>
      <c r="W179" s="1" t="s">
        <v>54</v>
      </c>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row>
    <row r="180" spans="3:49" x14ac:dyDescent="0.25">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row>
    <row r="181" spans="3:49" x14ac:dyDescent="0.25">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row>
    <row r="182" spans="3:49" x14ac:dyDescent="0.25">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row>
    <row r="183" spans="3:49" x14ac:dyDescent="0.25">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row>
    <row r="184" spans="3:49" x14ac:dyDescent="0.25">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row>
    <row r="185" spans="3:49" x14ac:dyDescent="0.25">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row>
    <row r="186" spans="3:49" x14ac:dyDescent="0.25">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row>
    <row r="187" spans="3:49" x14ac:dyDescent="0.25">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row>
    <row r="188" spans="3:49" x14ac:dyDescent="0.25">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row>
    <row r="189" spans="3:49" x14ac:dyDescent="0.25">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row>
    <row r="190" spans="3:49" x14ac:dyDescent="0.25">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row>
    <row r="191" spans="3:49" x14ac:dyDescent="0.25">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row>
    <row r="192" spans="3:49" x14ac:dyDescent="0.25">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row>
    <row r="193" spans="3:49" x14ac:dyDescent="0.25">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row>
    <row r="194" spans="3:49" x14ac:dyDescent="0.25">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row>
    <row r="195" spans="3:49" x14ac:dyDescent="0.25">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row>
    <row r="196" spans="3:49" x14ac:dyDescent="0.25">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row>
    <row r="197" spans="3:49" x14ac:dyDescent="0.25">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row>
    <row r="198" spans="3:49" x14ac:dyDescent="0.25">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row>
    <row r="199" spans="3:49" x14ac:dyDescent="0.25">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row>
    <row r="200" spans="3:49" x14ac:dyDescent="0.25">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row>
    <row r="201" spans="3:49" x14ac:dyDescent="0.25">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row>
    <row r="202" spans="3:49" x14ac:dyDescent="0.25">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row>
    <row r="203" spans="3:49" x14ac:dyDescent="0.25">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row>
    <row r="204" spans="3:49" x14ac:dyDescent="0.25">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row>
    <row r="205" spans="3:49" x14ac:dyDescent="0.25">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row>
    <row r="206" spans="3:49" x14ac:dyDescent="0.25">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row>
    <row r="207" spans="3:49" x14ac:dyDescent="0.25">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row>
    <row r="208" spans="3:49" x14ac:dyDescent="0.25">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row>
    <row r="209" spans="3:49" x14ac:dyDescent="0.25">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row>
    <row r="210" spans="3:49" x14ac:dyDescent="0.25">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row>
    <row r="211" spans="3:49" x14ac:dyDescent="0.25">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row>
    <row r="212" spans="3:49" x14ac:dyDescent="0.25">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row>
    <row r="213" spans="3:49" x14ac:dyDescent="0.25">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row>
    <row r="214" spans="3:49" x14ac:dyDescent="0.25">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row>
    <row r="215" spans="3:49" x14ac:dyDescent="0.25">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row>
    <row r="216" spans="3:49" x14ac:dyDescent="0.25">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row>
    <row r="217" spans="3:49" x14ac:dyDescent="0.25">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row>
    <row r="218" spans="3:49" x14ac:dyDescent="0.25">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row>
    <row r="219" spans="3:49" x14ac:dyDescent="0.25">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row>
    <row r="220" spans="3:49" x14ac:dyDescent="0.25">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row>
    <row r="221" spans="3:49" x14ac:dyDescent="0.25">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row>
    <row r="222" spans="3:49" x14ac:dyDescent="0.25">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row>
    <row r="223" spans="3:49" x14ac:dyDescent="0.25">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row>
    <row r="224" spans="3:49" x14ac:dyDescent="0.25">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row>
    <row r="225" spans="3:49" x14ac:dyDescent="0.25">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row>
    <row r="226" spans="3:49" x14ac:dyDescent="0.25">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row>
    <row r="227" spans="3:49" x14ac:dyDescent="0.25">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row>
    <row r="228" spans="3:49" x14ac:dyDescent="0.25">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row>
    <row r="229" spans="3:49" x14ac:dyDescent="0.25">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row>
    <row r="230" spans="3:49" x14ac:dyDescent="0.25">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row>
    <row r="231" spans="3:49" x14ac:dyDescent="0.25">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row>
    <row r="232" spans="3:49" x14ac:dyDescent="0.25">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row>
    <row r="233" spans="3:49" x14ac:dyDescent="0.25">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row>
    <row r="234" spans="3:49" x14ac:dyDescent="0.25">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row>
    <row r="235" spans="3:49" x14ac:dyDescent="0.25">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row>
    <row r="236" spans="3:49" x14ac:dyDescent="0.25">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row>
    <row r="237" spans="3:49" x14ac:dyDescent="0.25">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row>
    <row r="238" spans="3:49" x14ac:dyDescent="0.25">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row>
    <row r="239" spans="3:49" x14ac:dyDescent="0.25">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row>
    <row r="240" spans="3:49" x14ac:dyDescent="0.25">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row>
    <row r="241" spans="3:49" x14ac:dyDescent="0.25">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row>
    <row r="242" spans="3:49" x14ac:dyDescent="0.25">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row>
    <row r="243" spans="3:49" x14ac:dyDescent="0.25">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row>
    <row r="244" spans="3:49" x14ac:dyDescent="0.25">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row>
    <row r="245" spans="3:49" x14ac:dyDescent="0.25">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row>
    <row r="246" spans="3:49" x14ac:dyDescent="0.25">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row>
    <row r="247" spans="3:49" x14ac:dyDescent="0.25">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row>
    <row r="248" spans="3:49" x14ac:dyDescent="0.25">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row>
    <row r="249" spans="3:49" x14ac:dyDescent="0.25">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row>
    <row r="250" spans="3:49" x14ac:dyDescent="0.25">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row>
    <row r="251" spans="3:49" x14ac:dyDescent="0.25">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row>
    <row r="252" spans="3:49" x14ac:dyDescent="0.25">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row>
    <row r="253" spans="3:49" x14ac:dyDescent="0.25">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row>
    <row r="254" spans="3:49" x14ac:dyDescent="0.25">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row>
    <row r="255" spans="3:49" x14ac:dyDescent="0.25">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row>
    <row r="256" spans="3:49" x14ac:dyDescent="0.25">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row>
    <row r="257" spans="3:49" x14ac:dyDescent="0.25">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row>
    <row r="258" spans="3:49" x14ac:dyDescent="0.25">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row>
    <row r="259" spans="3:49" x14ac:dyDescent="0.25">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row>
    <row r="260" spans="3:49" x14ac:dyDescent="0.25">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row>
    <row r="261" spans="3:49" x14ac:dyDescent="0.25">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row>
    <row r="262" spans="3:49" x14ac:dyDescent="0.25">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row>
    <row r="263" spans="3:49" x14ac:dyDescent="0.25">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row>
    <row r="264" spans="3:49" x14ac:dyDescent="0.25">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row>
    <row r="265" spans="3:49" x14ac:dyDescent="0.25">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row>
    <row r="266" spans="3:49" x14ac:dyDescent="0.25">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row>
    <row r="267" spans="3:49" x14ac:dyDescent="0.25">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row>
    <row r="268" spans="3:49" x14ac:dyDescent="0.25">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row>
    <row r="269" spans="3:49" x14ac:dyDescent="0.25">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row>
    <row r="270" spans="3:49" x14ac:dyDescent="0.25">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row>
    <row r="271" spans="3:49" x14ac:dyDescent="0.25">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row>
    <row r="272" spans="3:49" x14ac:dyDescent="0.25">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row>
    <row r="273" spans="3:49" x14ac:dyDescent="0.25">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row>
    <row r="274" spans="3:49" x14ac:dyDescent="0.25">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row>
    <row r="275" spans="3:49" x14ac:dyDescent="0.25">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row>
    <row r="276" spans="3:49" x14ac:dyDescent="0.25">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row>
    <row r="277" spans="3:49" x14ac:dyDescent="0.25">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row>
    <row r="278" spans="3:49" x14ac:dyDescent="0.25">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row>
    <row r="279" spans="3:49" x14ac:dyDescent="0.25">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row>
    <row r="280" spans="3:49" x14ac:dyDescent="0.25">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row>
    <row r="281" spans="3:49" x14ac:dyDescent="0.25">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row>
    <row r="282" spans="3:49" x14ac:dyDescent="0.25">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row>
    <row r="283" spans="3:49" x14ac:dyDescent="0.25">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row>
    <row r="284" spans="3:49" x14ac:dyDescent="0.25">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row>
    <row r="285" spans="3:49" x14ac:dyDescent="0.25">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row>
    <row r="286" spans="3:49" x14ac:dyDescent="0.25">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row>
    <row r="287" spans="3:49" x14ac:dyDescent="0.25">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row>
  </sheetData>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election activeCell="U10" sqref="U10"/>
    </sheetView>
  </sheetViews>
  <sheetFormatPr defaultRowHeight="13.2"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
  <sheetViews>
    <sheetView workbookViewId="0">
      <selection activeCell="X11" sqref="X11"/>
    </sheetView>
  </sheetViews>
  <sheetFormatPr defaultRowHeight="13.2" x14ac:dyDescent="0.25"/>
  <sheetData>
    <row r="2" spans="2:2" x14ac:dyDescent="0.25">
      <c r="B2" s="1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election activeCell="T10" sqref="T10"/>
    </sheetView>
  </sheetViews>
  <sheetFormatPr defaultRowHeight="13.2"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election activeCell="AB9" sqref="AB9"/>
    </sheetView>
  </sheetViews>
  <sheetFormatPr defaultRowHeight="13.2" x14ac:dyDescent="0.25"/>
  <sheetData>
    <row r="1" spans="1:1" ht="15" x14ac:dyDescent="0.25">
      <c r="A1" s="1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vt:lpstr>
      <vt:lpstr>Wheat (All)</vt:lpstr>
      <vt:lpstr>Graphs (All)</vt:lpstr>
      <vt:lpstr>Collective Graph (All)</vt:lpstr>
      <vt:lpstr>Wheat (Adjusted)</vt:lpstr>
      <vt:lpstr>Graph - 1</vt:lpstr>
      <vt:lpstr>Graph - 2</vt:lpstr>
      <vt:lpstr>Graph - 3</vt:lpstr>
      <vt:lpstr>Graph - 4</vt:lpstr>
      <vt:lpstr>Graph - 5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 Ghulam Mustafa</dc:creator>
  <cp:lastModifiedBy>Rai Ghulam Mustafa</cp:lastModifiedBy>
  <dcterms:created xsi:type="dcterms:W3CDTF">2018-10-01T08:45:50Z</dcterms:created>
  <dcterms:modified xsi:type="dcterms:W3CDTF">2018-11-19T11:17:35Z</dcterms:modified>
</cp:coreProperties>
</file>