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gm12\Dropbox\REFdata\20180215 Files added by Mustafa\Price Calculations + Raw Data\Price Calculations + Raw Data with Standardized Product Names\Updated\"/>
    </mc:Choice>
  </mc:AlternateContent>
  <bookViews>
    <workbookView xWindow="0" yWindow="0" windowWidth="23040" windowHeight="9120" tabRatio="811"/>
  </bookViews>
  <sheets>
    <sheet name="Intro" sheetId="17" r:id="rId1"/>
    <sheet name="Turkey - Prices (Imports)" sheetId="18" r:id="rId2"/>
    <sheet name="Turkey - Prices (Exports)" sheetId="19" r:id="rId3"/>
    <sheet name="Imports - Data (Raw&amp;Adj)" sheetId="1" r:id="rId4"/>
    <sheet name="Exports - Data (Raw&amp;Adj)" sheetId="23" r:id="rId5"/>
    <sheet name="Imports &amp; Exports - Totals" sheetId="24" r:id="rId6"/>
  </sheets>
  <definedNames>
    <definedName name="ExcelName13">#REF!</definedName>
  </definedNames>
  <calcPr calcId="152511"/>
</workbook>
</file>

<file path=xl/calcChain.xml><?xml version="1.0" encoding="utf-8"?>
<calcChain xmlns="http://schemas.openxmlformats.org/spreadsheetml/2006/main">
  <c r="P28" i="23" l="1"/>
  <c r="L28" i="23"/>
  <c r="N28" i="23" s="1"/>
  <c r="T5" i="23"/>
  <c r="W5" i="23"/>
  <c r="L5" i="23"/>
  <c r="P35" i="23"/>
  <c r="R35" i="23" s="1"/>
  <c r="L35" i="23"/>
  <c r="P36" i="23"/>
  <c r="R36" i="23" s="1"/>
  <c r="L36" i="23"/>
  <c r="N36" i="23" s="1"/>
  <c r="R28" i="23"/>
  <c r="P9" i="23"/>
  <c r="R9" i="23" s="1"/>
  <c r="L9" i="23"/>
  <c r="P6" i="23"/>
  <c r="R6" i="23" s="1"/>
  <c r="L6" i="23"/>
  <c r="N6" i="23" s="1"/>
  <c r="P5" i="23"/>
  <c r="N5" i="23"/>
  <c r="N35" i="23"/>
  <c r="N9" i="23"/>
  <c r="R5" i="23"/>
  <c r="AD14" i="23" l="1"/>
  <c r="AD11" i="23"/>
  <c r="W36" i="23"/>
  <c r="W35" i="23"/>
  <c r="W34" i="23"/>
  <c r="W28" i="23"/>
  <c r="W23" i="23"/>
  <c r="T36" i="23"/>
  <c r="T35" i="23"/>
  <c r="T34" i="23"/>
  <c r="T28" i="23"/>
  <c r="T23" i="23"/>
  <c r="W9" i="23"/>
  <c r="W8" i="23"/>
  <c r="W7" i="23"/>
  <c r="W6" i="23"/>
  <c r="T9" i="23"/>
  <c r="T8" i="23"/>
  <c r="T7" i="23"/>
  <c r="T6" i="23"/>
  <c r="H245" i="1" l="1"/>
  <c r="F259" i="1"/>
  <c r="Y10" i="23" l="1"/>
  <c r="Y11" i="23"/>
  <c r="Y12" i="23"/>
  <c r="Y13" i="23"/>
  <c r="Y14" i="23"/>
  <c r="Y15" i="23"/>
  <c r="Y16" i="23"/>
  <c r="Y17" i="23"/>
  <c r="Y18" i="23"/>
  <c r="Y19" i="23"/>
  <c r="Y20" i="23"/>
  <c r="Y21" i="23"/>
  <c r="Y22" i="23"/>
  <c r="Y24" i="23"/>
  <c r="Y25" i="23"/>
  <c r="Y26" i="23"/>
  <c r="Y27" i="23"/>
  <c r="Y29" i="23"/>
  <c r="Y30" i="23"/>
  <c r="Y31" i="23"/>
  <c r="Y32" i="23"/>
  <c r="Y33" i="23"/>
  <c r="Y38" i="23"/>
  <c r="Y39" i="23"/>
  <c r="Y40" i="23"/>
  <c r="Y41" i="23"/>
  <c r="Y42" i="23"/>
  <c r="Y43" i="23"/>
  <c r="Y44" i="23"/>
  <c r="Y45" i="23"/>
  <c r="Y46" i="23"/>
  <c r="Y47" i="23"/>
  <c r="Y48" i="23"/>
  <c r="Y49" i="23"/>
  <c r="Y50" i="23"/>
  <c r="Y51" i="23"/>
  <c r="Y52" i="23"/>
  <c r="Y53" i="23"/>
  <c r="Y54" i="23"/>
  <c r="Y55" i="23"/>
  <c r="Y56" i="23"/>
  <c r="Y57" i="23"/>
  <c r="Y58" i="23"/>
  <c r="Y59" i="23"/>
  <c r="Y60" i="23"/>
  <c r="Y61" i="23"/>
  <c r="Y62" i="23"/>
  <c r="Y63" i="23"/>
  <c r="Y64" i="23"/>
  <c r="Y65" i="23"/>
  <c r="Y66" i="23"/>
  <c r="Y67" i="23"/>
  <c r="Y68" i="23"/>
  <c r="Y69" i="23"/>
  <c r="Y70" i="23"/>
  <c r="Y71" i="23"/>
  <c r="Y72" i="23"/>
  <c r="Y73" i="23"/>
  <c r="Y4" i="23"/>
  <c r="DD73" i="23"/>
  <c r="DD72" i="23"/>
  <c r="DD71" i="23"/>
  <c r="DD70" i="23"/>
  <c r="DD69" i="23"/>
  <c r="DD68" i="23"/>
  <c r="DD67" i="23"/>
  <c r="DD66" i="23"/>
  <c r="DD65" i="23"/>
  <c r="DD64" i="23"/>
  <c r="DD63" i="23"/>
  <c r="DD62" i="23"/>
  <c r="DD61" i="23"/>
  <c r="DD60" i="23"/>
  <c r="DD59" i="23"/>
  <c r="DD58" i="23"/>
  <c r="DD57" i="23"/>
  <c r="DD56" i="23"/>
  <c r="DD55" i="23"/>
  <c r="DD54" i="23"/>
  <c r="DD53" i="23"/>
  <c r="DD52" i="23"/>
  <c r="DD51" i="23"/>
  <c r="DD50" i="23"/>
  <c r="DD49" i="23"/>
  <c r="DD48" i="23"/>
  <c r="DD47" i="23"/>
  <c r="DD46" i="23"/>
  <c r="DD45" i="23"/>
  <c r="DD44" i="23"/>
  <c r="DD43" i="23"/>
  <c r="DD42" i="23"/>
  <c r="DD41" i="23"/>
  <c r="DD40" i="23"/>
  <c r="DD39" i="23"/>
  <c r="DD38" i="23"/>
  <c r="DD37" i="23"/>
  <c r="DD36" i="23"/>
  <c r="DD35" i="23"/>
  <c r="DD34" i="23"/>
  <c r="DD33" i="23"/>
  <c r="DD32" i="23"/>
  <c r="DD31" i="23"/>
  <c r="DD30" i="23"/>
  <c r="DD29" i="23"/>
  <c r="DD28" i="23"/>
  <c r="DD27" i="23"/>
  <c r="DD26" i="23"/>
  <c r="DD25" i="23"/>
  <c r="DD24" i="23"/>
  <c r="DD23" i="23"/>
  <c r="DD22" i="23"/>
  <c r="DD21" i="23"/>
  <c r="DD20" i="23"/>
  <c r="DD19" i="23"/>
  <c r="DD18" i="23"/>
  <c r="DD17" i="23"/>
  <c r="DD16" i="23"/>
  <c r="DD15" i="23"/>
  <c r="DD14" i="23"/>
  <c r="DD13" i="23"/>
  <c r="DD12" i="23"/>
  <c r="DD11" i="23"/>
  <c r="DD10" i="23"/>
  <c r="DD9" i="23"/>
  <c r="DD8" i="23"/>
  <c r="DD7" i="23"/>
  <c r="DD6" i="23"/>
  <c r="DD5" i="23"/>
  <c r="DD4" i="23"/>
  <c r="CZ73" i="23"/>
  <c r="CZ72" i="23"/>
  <c r="CZ71" i="23"/>
  <c r="CZ70" i="23"/>
  <c r="CZ69" i="23"/>
  <c r="CZ68" i="23"/>
  <c r="CZ67" i="23"/>
  <c r="CZ66" i="23"/>
  <c r="CZ65" i="23"/>
  <c r="CZ64" i="23"/>
  <c r="CZ63" i="23"/>
  <c r="CZ62" i="23"/>
  <c r="CZ61" i="23"/>
  <c r="CZ60" i="23"/>
  <c r="CZ59" i="23"/>
  <c r="CZ58" i="23"/>
  <c r="CZ57" i="23"/>
  <c r="CZ56" i="23"/>
  <c r="CZ55" i="23"/>
  <c r="CZ54" i="23"/>
  <c r="CZ53" i="23"/>
  <c r="CZ52" i="23"/>
  <c r="CZ51" i="23"/>
  <c r="CZ50" i="23"/>
  <c r="CZ49" i="23"/>
  <c r="CZ48" i="23"/>
  <c r="CZ47" i="23"/>
  <c r="CZ46" i="23"/>
  <c r="CZ45" i="23"/>
  <c r="CZ44" i="23"/>
  <c r="CZ43" i="23"/>
  <c r="CZ42" i="23"/>
  <c r="CZ41" i="23"/>
  <c r="CZ40" i="23"/>
  <c r="CZ39" i="23"/>
  <c r="CZ38" i="23"/>
  <c r="CZ37" i="23"/>
  <c r="CZ36" i="23"/>
  <c r="CZ35" i="23"/>
  <c r="CZ34" i="23"/>
  <c r="CZ33" i="23"/>
  <c r="CZ32" i="23"/>
  <c r="CZ31" i="23"/>
  <c r="CZ30" i="23"/>
  <c r="CZ29" i="23"/>
  <c r="CZ28" i="23"/>
  <c r="CZ27" i="23"/>
  <c r="CZ26" i="23"/>
  <c r="CZ25" i="23"/>
  <c r="CZ24" i="23"/>
  <c r="CZ23" i="23"/>
  <c r="CZ22" i="23"/>
  <c r="CZ21" i="23"/>
  <c r="CZ20" i="23"/>
  <c r="CZ19" i="23"/>
  <c r="CZ18" i="23"/>
  <c r="CZ17" i="23"/>
  <c r="CZ16" i="23"/>
  <c r="CZ15" i="23"/>
  <c r="CZ14" i="23"/>
  <c r="CZ13" i="23"/>
  <c r="CZ12" i="23"/>
  <c r="CZ11" i="23"/>
  <c r="CZ10" i="23"/>
  <c r="CZ9" i="23"/>
  <c r="CZ8" i="23"/>
  <c r="CZ7" i="23"/>
  <c r="CZ6" i="23"/>
  <c r="CZ5" i="23"/>
  <c r="CZ4" i="23"/>
  <c r="CV73" i="23"/>
  <c r="CV72" i="23"/>
  <c r="CV71" i="23"/>
  <c r="CV70" i="23"/>
  <c r="CV69" i="23"/>
  <c r="CV68" i="23"/>
  <c r="CV67" i="23"/>
  <c r="CV66" i="23"/>
  <c r="CV65" i="23"/>
  <c r="CV64" i="23"/>
  <c r="CV63" i="23"/>
  <c r="CV62" i="23"/>
  <c r="CV61" i="23"/>
  <c r="CV60" i="23"/>
  <c r="CV59" i="23"/>
  <c r="CV58" i="23"/>
  <c r="CV57" i="23"/>
  <c r="CV56" i="23"/>
  <c r="CV55" i="23"/>
  <c r="CV54" i="23"/>
  <c r="CV53" i="23"/>
  <c r="CV52" i="23"/>
  <c r="CV51" i="23"/>
  <c r="CV50" i="23"/>
  <c r="CV49" i="23"/>
  <c r="CV48" i="23"/>
  <c r="CV47" i="23"/>
  <c r="CV46" i="23"/>
  <c r="CV45" i="23"/>
  <c r="CV44" i="23"/>
  <c r="CV43" i="23"/>
  <c r="CV42" i="23"/>
  <c r="CV41" i="23"/>
  <c r="CV40" i="23"/>
  <c r="CV39" i="23"/>
  <c r="CV38" i="23"/>
  <c r="CV37" i="23"/>
  <c r="CV36" i="23"/>
  <c r="CV35" i="23"/>
  <c r="CV34" i="23"/>
  <c r="CV33" i="23"/>
  <c r="CV32" i="23"/>
  <c r="CV31" i="23"/>
  <c r="CV30" i="23"/>
  <c r="CV29" i="23"/>
  <c r="CV28" i="23"/>
  <c r="CV27" i="23"/>
  <c r="CV26" i="23"/>
  <c r="CV25" i="23"/>
  <c r="CV24" i="23"/>
  <c r="CV23" i="23"/>
  <c r="CV22" i="23"/>
  <c r="CV21" i="23"/>
  <c r="CV20" i="23"/>
  <c r="CV19" i="23"/>
  <c r="CV18" i="23"/>
  <c r="CV17" i="23"/>
  <c r="CV16" i="23"/>
  <c r="CV15" i="23"/>
  <c r="CV14" i="23"/>
  <c r="CV13" i="23"/>
  <c r="CV12" i="23"/>
  <c r="CV11" i="23"/>
  <c r="CV10" i="23"/>
  <c r="CV9" i="23"/>
  <c r="CV8" i="23"/>
  <c r="CV7" i="23"/>
  <c r="CV6" i="23"/>
  <c r="CV5" i="23"/>
  <c r="CV4" i="23"/>
  <c r="CR73" i="23"/>
  <c r="CR72" i="23"/>
  <c r="CR71" i="23"/>
  <c r="CR70" i="23"/>
  <c r="CR69" i="23"/>
  <c r="CR68" i="23"/>
  <c r="CR67" i="23"/>
  <c r="CR66" i="23"/>
  <c r="CR65" i="23"/>
  <c r="CR64" i="23"/>
  <c r="CR63" i="23"/>
  <c r="CR62" i="23"/>
  <c r="CR61" i="23"/>
  <c r="CR60" i="23"/>
  <c r="CR59" i="23"/>
  <c r="CR58" i="23"/>
  <c r="CR57" i="23"/>
  <c r="CR56" i="23"/>
  <c r="CR55" i="23"/>
  <c r="CR54" i="23"/>
  <c r="CR53" i="23"/>
  <c r="CR52" i="23"/>
  <c r="CR51" i="23"/>
  <c r="CR50" i="23"/>
  <c r="CR49" i="23"/>
  <c r="CR48" i="23"/>
  <c r="CR47" i="23"/>
  <c r="CR46" i="23"/>
  <c r="CR45" i="23"/>
  <c r="CR44" i="23"/>
  <c r="CR43" i="23"/>
  <c r="CR42" i="23"/>
  <c r="CR41" i="23"/>
  <c r="CR40" i="23"/>
  <c r="CR39" i="23"/>
  <c r="CR38" i="23"/>
  <c r="CR37" i="23"/>
  <c r="CR36" i="23"/>
  <c r="CR35" i="23"/>
  <c r="CR34" i="23"/>
  <c r="CR33" i="23"/>
  <c r="CR32" i="23"/>
  <c r="CR31" i="23"/>
  <c r="CR30" i="23"/>
  <c r="CR29" i="23"/>
  <c r="CR28" i="23"/>
  <c r="CR27" i="23"/>
  <c r="CR26" i="23"/>
  <c r="CR25" i="23"/>
  <c r="CR24" i="23"/>
  <c r="CR23" i="23"/>
  <c r="CR22" i="23"/>
  <c r="CR21" i="23"/>
  <c r="CR20" i="23"/>
  <c r="CR19" i="23"/>
  <c r="CR18" i="23"/>
  <c r="CR17" i="23"/>
  <c r="CR16" i="23"/>
  <c r="CR15" i="23"/>
  <c r="CR14" i="23"/>
  <c r="CR13" i="23"/>
  <c r="CR12" i="23"/>
  <c r="CR11" i="23"/>
  <c r="CR10" i="23"/>
  <c r="CR9" i="23"/>
  <c r="CR8" i="23"/>
  <c r="CR7" i="23"/>
  <c r="CR6" i="23"/>
  <c r="CR5" i="23"/>
  <c r="CR4" i="23"/>
  <c r="CN73" i="23"/>
  <c r="CN72" i="23"/>
  <c r="CN71" i="23"/>
  <c r="CN70" i="23"/>
  <c r="CN69" i="23"/>
  <c r="CN68" i="23"/>
  <c r="CN67" i="23"/>
  <c r="CN66" i="23"/>
  <c r="CN65" i="23"/>
  <c r="CN64" i="23"/>
  <c r="CN63" i="23"/>
  <c r="CN62" i="23"/>
  <c r="CN61" i="23"/>
  <c r="CN60" i="23"/>
  <c r="CN59" i="23"/>
  <c r="CN58" i="23"/>
  <c r="CN57" i="23"/>
  <c r="CN56" i="23"/>
  <c r="CN55" i="23"/>
  <c r="CN54" i="23"/>
  <c r="CN53" i="23"/>
  <c r="CN52" i="23"/>
  <c r="CN51" i="23"/>
  <c r="CN50" i="23"/>
  <c r="CN49" i="23"/>
  <c r="CN48" i="23"/>
  <c r="CN47" i="23"/>
  <c r="CN46" i="23"/>
  <c r="CN45" i="23"/>
  <c r="CN44" i="23"/>
  <c r="CN43" i="23"/>
  <c r="CN42" i="23"/>
  <c r="CN41" i="23"/>
  <c r="CN40" i="23"/>
  <c r="CN39" i="23"/>
  <c r="CN38" i="23"/>
  <c r="CN37" i="23"/>
  <c r="CN36" i="23"/>
  <c r="CN35" i="23"/>
  <c r="CN34" i="23"/>
  <c r="CN33" i="23"/>
  <c r="CN32" i="23"/>
  <c r="CN31" i="23"/>
  <c r="CN30" i="23"/>
  <c r="CN29" i="23"/>
  <c r="CN28" i="23"/>
  <c r="CN27" i="23"/>
  <c r="CN26" i="23"/>
  <c r="CN25" i="23"/>
  <c r="CN24" i="23"/>
  <c r="CN23" i="23"/>
  <c r="CN22" i="23"/>
  <c r="CN21" i="23"/>
  <c r="CN20" i="23"/>
  <c r="CN19" i="23"/>
  <c r="CN18" i="23"/>
  <c r="CN17" i="23"/>
  <c r="CN16" i="23"/>
  <c r="CN15" i="23"/>
  <c r="CN14" i="23"/>
  <c r="CN13" i="23"/>
  <c r="CN12" i="23"/>
  <c r="CN11" i="23"/>
  <c r="CN10" i="23"/>
  <c r="CN9" i="23"/>
  <c r="CN8" i="23"/>
  <c r="CN7" i="23"/>
  <c r="CN6" i="23"/>
  <c r="CN5" i="23"/>
  <c r="CN4" i="23"/>
  <c r="CJ73" i="23"/>
  <c r="CJ72" i="23"/>
  <c r="CJ71" i="23"/>
  <c r="CJ70" i="23"/>
  <c r="CJ69" i="23"/>
  <c r="CJ68" i="23"/>
  <c r="CJ67" i="23"/>
  <c r="CJ66" i="23"/>
  <c r="CJ65" i="23"/>
  <c r="CJ64" i="23"/>
  <c r="CJ63" i="23"/>
  <c r="CJ62" i="23"/>
  <c r="CJ61" i="23"/>
  <c r="CJ60" i="23"/>
  <c r="CJ59" i="23"/>
  <c r="CJ58" i="23"/>
  <c r="CJ57" i="23"/>
  <c r="CJ56" i="23"/>
  <c r="CJ55" i="23"/>
  <c r="CJ54" i="23"/>
  <c r="CJ53" i="23"/>
  <c r="CJ52" i="23"/>
  <c r="CJ51" i="23"/>
  <c r="CJ50" i="23"/>
  <c r="CJ49" i="23"/>
  <c r="CJ48" i="23"/>
  <c r="CJ47" i="23"/>
  <c r="CJ46" i="23"/>
  <c r="CJ45" i="23"/>
  <c r="CJ44" i="23"/>
  <c r="CJ43" i="23"/>
  <c r="CJ42" i="23"/>
  <c r="CJ41" i="23"/>
  <c r="CJ40" i="23"/>
  <c r="CJ39" i="23"/>
  <c r="CJ38" i="23"/>
  <c r="CJ37" i="23"/>
  <c r="CJ36" i="23"/>
  <c r="CJ35" i="23"/>
  <c r="CJ34" i="23"/>
  <c r="CJ33" i="23"/>
  <c r="CJ32" i="23"/>
  <c r="CJ31" i="23"/>
  <c r="CJ30" i="23"/>
  <c r="CJ29" i="23"/>
  <c r="CJ28" i="23"/>
  <c r="CJ27" i="23"/>
  <c r="CJ26" i="23"/>
  <c r="CJ25" i="23"/>
  <c r="CJ24" i="23"/>
  <c r="CJ23" i="23"/>
  <c r="CJ22" i="23"/>
  <c r="CJ21" i="23"/>
  <c r="CJ20" i="23"/>
  <c r="CJ19" i="23"/>
  <c r="CJ18" i="23"/>
  <c r="CJ17" i="23"/>
  <c r="CJ16" i="23"/>
  <c r="CJ15" i="23"/>
  <c r="CJ14" i="23"/>
  <c r="CJ13" i="23"/>
  <c r="CJ12" i="23"/>
  <c r="CJ11" i="23"/>
  <c r="CJ10" i="23"/>
  <c r="CJ9" i="23"/>
  <c r="CJ8" i="23"/>
  <c r="CJ7" i="23"/>
  <c r="CJ6" i="23"/>
  <c r="CJ5" i="23"/>
  <c r="CJ4" i="23"/>
  <c r="CF73" i="23"/>
  <c r="CF72" i="23"/>
  <c r="CF71" i="23"/>
  <c r="CF70" i="23"/>
  <c r="CF69" i="23"/>
  <c r="CF68" i="23"/>
  <c r="CF67" i="23"/>
  <c r="CF66" i="23"/>
  <c r="CF65" i="23"/>
  <c r="CF64" i="23"/>
  <c r="CF63" i="23"/>
  <c r="CF62" i="23"/>
  <c r="CF61" i="23"/>
  <c r="CF60" i="23"/>
  <c r="CF59" i="23"/>
  <c r="CF58" i="23"/>
  <c r="CF57" i="23"/>
  <c r="CF56" i="23"/>
  <c r="CF55" i="23"/>
  <c r="CF54" i="23"/>
  <c r="CF53" i="23"/>
  <c r="CF52" i="23"/>
  <c r="CF51" i="23"/>
  <c r="CF50" i="23"/>
  <c r="CF49" i="23"/>
  <c r="CF48" i="23"/>
  <c r="CF47" i="23"/>
  <c r="CF46" i="23"/>
  <c r="CF45" i="23"/>
  <c r="CF44" i="23"/>
  <c r="CF43" i="23"/>
  <c r="CF42" i="23"/>
  <c r="CF41" i="23"/>
  <c r="CF40" i="23"/>
  <c r="CF39" i="23"/>
  <c r="CF38" i="23"/>
  <c r="CF37" i="23"/>
  <c r="CF36" i="23"/>
  <c r="CF35" i="23"/>
  <c r="CF34" i="23"/>
  <c r="CF33" i="23"/>
  <c r="CF32" i="23"/>
  <c r="CF31" i="23"/>
  <c r="CF30" i="23"/>
  <c r="CF29" i="23"/>
  <c r="CF28" i="23"/>
  <c r="CF27" i="23"/>
  <c r="CF26" i="23"/>
  <c r="CF25" i="23"/>
  <c r="CF24" i="23"/>
  <c r="CF23" i="23"/>
  <c r="CF22" i="23"/>
  <c r="CF21" i="23"/>
  <c r="CF20" i="23"/>
  <c r="CF19" i="23"/>
  <c r="CF18" i="23"/>
  <c r="CF17" i="23"/>
  <c r="CF16" i="23"/>
  <c r="CF15" i="23"/>
  <c r="CF14" i="23"/>
  <c r="CF13" i="23"/>
  <c r="CF12" i="23"/>
  <c r="CF11" i="23"/>
  <c r="CF10" i="23"/>
  <c r="CF9" i="23"/>
  <c r="CF8" i="23"/>
  <c r="CF7" i="23"/>
  <c r="CF6" i="23"/>
  <c r="CF5" i="23"/>
  <c r="CF4" i="23"/>
  <c r="CB73" i="23"/>
  <c r="CB72" i="23"/>
  <c r="CB71" i="23"/>
  <c r="CB70" i="23"/>
  <c r="CB69" i="23"/>
  <c r="CB68" i="23"/>
  <c r="CB67" i="23"/>
  <c r="CB66" i="23"/>
  <c r="CB65" i="23"/>
  <c r="CB64" i="23"/>
  <c r="CB63" i="23"/>
  <c r="CB62" i="23"/>
  <c r="CB61" i="23"/>
  <c r="CB60" i="23"/>
  <c r="CB59" i="23"/>
  <c r="CB58" i="23"/>
  <c r="CB57" i="23"/>
  <c r="CB56" i="23"/>
  <c r="CB55" i="23"/>
  <c r="CB54" i="23"/>
  <c r="CB53" i="23"/>
  <c r="CB52" i="23"/>
  <c r="CB51" i="23"/>
  <c r="CB50" i="23"/>
  <c r="CB49" i="23"/>
  <c r="CB48" i="23"/>
  <c r="CB47" i="23"/>
  <c r="CB46" i="23"/>
  <c r="CB45" i="23"/>
  <c r="CB44" i="23"/>
  <c r="CB43" i="23"/>
  <c r="CB42" i="23"/>
  <c r="CB41" i="23"/>
  <c r="CB40" i="23"/>
  <c r="CB39" i="23"/>
  <c r="CB38" i="23"/>
  <c r="CB37" i="23"/>
  <c r="CB36" i="23"/>
  <c r="CB35" i="23"/>
  <c r="CB34" i="23"/>
  <c r="CB33" i="23"/>
  <c r="CB32" i="23"/>
  <c r="CB31" i="23"/>
  <c r="CB30" i="23"/>
  <c r="CB29" i="23"/>
  <c r="CB28" i="23"/>
  <c r="CB27" i="23"/>
  <c r="CB26" i="23"/>
  <c r="CB25" i="23"/>
  <c r="CB24" i="23"/>
  <c r="CB23" i="23"/>
  <c r="CB22" i="23"/>
  <c r="CB21" i="23"/>
  <c r="CB20" i="23"/>
  <c r="CB19" i="23"/>
  <c r="CB18" i="23"/>
  <c r="CB17" i="23"/>
  <c r="CB16" i="23"/>
  <c r="CB15" i="23"/>
  <c r="CB14" i="23"/>
  <c r="CB13" i="23"/>
  <c r="CB12" i="23"/>
  <c r="CB11" i="23"/>
  <c r="CB10" i="23"/>
  <c r="CB9" i="23"/>
  <c r="CB8" i="23"/>
  <c r="CB7" i="23"/>
  <c r="CB6" i="23"/>
  <c r="CB5" i="23"/>
  <c r="CB4" i="23"/>
  <c r="BX73" i="23"/>
  <c r="BX72" i="23"/>
  <c r="BX71" i="23"/>
  <c r="BX70" i="23"/>
  <c r="BX69" i="23"/>
  <c r="BX68" i="23"/>
  <c r="BX67" i="23"/>
  <c r="BX66" i="23"/>
  <c r="BX65" i="23"/>
  <c r="BX64" i="23"/>
  <c r="BX63" i="23"/>
  <c r="BX62" i="23"/>
  <c r="BX61" i="23"/>
  <c r="BX60" i="23"/>
  <c r="BX59" i="23"/>
  <c r="BX58" i="23"/>
  <c r="BX57" i="23"/>
  <c r="BX56" i="23"/>
  <c r="BX55" i="23"/>
  <c r="BX54" i="23"/>
  <c r="BX53" i="23"/>
  <c r="BX52" i="23"/>
  <c r="BX51" i="23"/>
  <c r="BX50" i="23"/>
  <c r="BX49" i="23"/>
  <c r="BX48" i="23"/>
  <c r="BX47" i="23"/>
  <c r="BX46" i="23"/>
  <c r="BX45" i="23"/>
  <c r="BX44" i="23"/>
  <c r="BX43" i="23"/>
  <c r="BX42" i="23"/>
  <c r="BX41" i="23"/>
  <c r="BX40" i="23"/>
  <c r="BX39" i="23"/>
  <c r="BX38" i="23"/>
  <c r="BX37" i="23"/>
  <c r="BX36" i="23"/>
  <c r="BX35" i="23"/>
  <c r="BX34" i="23"/>
  <c r="BX33" i="23"/>
  <c r="BX32" i="23"/>
  <c r="BX31" i="23"/>
  <c r="BX30" i="23"/>
  <c r="BX29" i="23"/>
  <c r="BX28" i="23"/>
  <c r="BX27" i="23"/>
  <c r="BX26" i="23"/>
  <c r="BX25" i="23"/>
  <c r="BX24" i="23"/>
  <c r="BX23" i="23"/>
  <c r="BX22" i="23"/>
  <c r="BX21" i="23"/>
  <c r="BX20" i="23"/>
  <c r="BX19" i="23"/>
  <c r="BX18" i="23"/>
  <c r="BX17" i="23"/>
  <c r="BX16" i="23"/>
  <c r="BX15" i="23"/>
  <c r="BX14" i="23"/>
  <c r="BX13" i="23"/>
  <c r="BX12" i="23"/>
  <c r="BX11" i="23"/>
  <c r="BX10" i="23"/>
  <c r="BX9" i="23"/>
  <c r="BX8" i="23"/>
  <c r="BX7" i="23"/>
  <c r="BX6" i="23"/>
  <c r="BX5" i="23"/>
  <c r="BX4" i="23"/>
  <c r="BT73" i="23"/>
  <c r="BT72" i="23"/>
  <c r="BT71" i="23"/>
  <c r="BT70" i="23"/>
  <c r="BT69" i="23"/>
  <c r="BT68" i="23"/>
  <c r="BT67" i="23"/>
  <c r="BT66" i="23"/>
  <c r="BT65" i="23"/>
  <c r="BT64" i="23"/>
  <c r="BT63" i="23"/>
  <c r="BT62" i="23"/>
  <c r="BT61" i="23"/>
  <c r="BT60" i="23"/>
  <c r="BT59" i="23"/>
  <c r="BT58" i="23"/>
  <c r="BT57" i="23"/>
  <c r="BT56" i="23"/>
  <c r="BT55" i="23"/>
  <c r="BT54" i="23"/>
  <c r="BT53" i="23"/>
  <c r="BT52" i="23"/>
  <c r="BT51" i="23"/>
  <c r="BT50" i="23"/>
  <c r="BT49" i="23"/>
  <c r="BT48" i="23"/>
  <c r="BT47" i="23"/>
  <c r="BT46" i="23"/>
  <c r="BT45" i="23"/>
  <c r="BT44" i="23"/>
  <c r="BT43" i="23"/>
  <c r="BT42" i="23"/>
  <c r="BT41" i="23"/>
  <c r="BT40" i="23"/>
  <c r="BT39" i="23"/>
  <c r="BT38" i="23"/>
  <c r="BT37" i="23"/>
  <c r="BT36" i="23"/>
  <c r="BT35" i="23"/>
  <c r="BT34" i="23"/>
  <c r="BT33" i="23"/>
  <c r="BT32" i="23"/>
  <c r="BT31" i="23"/>
  <c r="BT30" i="23"/>
  <c r="BT29" i="23"/>
  <c r="BT28" i="23"/>
  <c r="BT27" i="23"/>
  <c r="BT26" i="23"/>
  <c r="BT25" i="23"/>
  <c r="BT24" i="23"/>
  <c r="BT23" i="23"/>
  <c r="BT22" i="23"/>
  <c r="BT21" i="23"/>
  <c r="BT20" i="23"/>
  <c r="BT19" i="23"/>
  <c r="BT18" i="23"/>
  <c r="BT17" i="23"/>
  <c r="BT16" i="23"/>
  <c r="BT15" i="23"/>
  <c r="BT14" i="23"/>
  <c r="BT13" i="23"/>
  <c r="BT12" i="23"/>
  <c r="BT11" i="23"/>
  <c r="BT10" i="23"/>
  <c r="BT9" i="23"/>
  <c r="BT8" i="23"/>
  <c r="BT7" i="23"/>
  <c r="BT6" i="23"/>
  <c r="BT5" i="23"/>
  <c r="BT4" i="23"/>
  <c r="BP73" i="23"/>
  <c r="BP72" i="23"/>
  <c r="BP71" i="23"/>
  <c r="BP70" i="23"/>
  <c r="BP69" i="23"/>
  <c r="BP68" i="23"/>
  <c r="BP67" i="23"/>
  <c r="BP66" i="23"/>
  <c r="BP65" i="23"/>
  <c r="BP64" i="23"/>
  <c r="BP63" i="23"/>
  <c r="BP62" i="23"/>
  <c r="BP61" i="23"/>
  <c r="BP60" i="23"/>
  <c r="BP59" i="23"/>
  <c r="BP58" i="23"/>
  <c r="BP57" i="23"/>
  <c r="BP56" i="23"/>
  <c r="BP55" i="23"/>
  <c r="BP54" i="23"/>
  <c r="BP53" i="23"/>
  <c r="BP52" i="23"/>
  <c r="BP51" i="23"/>
  <c r="BP50" i="23"/>
  <c r="BP49" i="23"/>
  <c r="BP48" i="23"/>
  <c r="BP47" i="23"/>
  <c r="BP46" i="23"/>
  <c r="BP45" i="23"/>
  <c r="BP44" i="23"/>
  <c r="BP43" i="23"/>
  <c r="BP42" i="23"/>
  <c r="BP41" i="23"/>
  <c r="BP40" i="23"/>
  <c r="BP39" i="23"/>
  <c r="BP38" i="23"/>
  <c r="BP37" i="23"/>
  <c r="BP36" i="23"/>
  <c r="BP35" i="23"/>
  <c r="BP34" i="23"/>
  <c r="BP33" i="23"/>
  <c r="BP32" i="23"/>
  <c r="BP31" i="23"/>
  <c r="BP30" i="23"/>
  <c r="BP29" i="23"/>
  <c r="BP28" i="23"/>
  <c r="BP27" i="23"/>
  <c r="BP26" i="23"/>
  <c r="BP25" i="23"/>
  <c r="BP24" i="23"/>
  <c r="BP23" i="23"/>
  <c r="BP22" i="23"/>
  <c r="BP21" i="23"/>
  <c r="BP20" i="23"/>
  <c r="BP19" i="23"/>
  <c r="BP18" i="23"/>
  <c r="BP17" i="23"/>
  <c r="BP15" i="23"/>
  <c r="BP14" i="23"/>
  <c r="BP13" i="23"/>
  <c r="BP10" i="23"/>
  <c r="BP9" i="23"/>
  <c r="BP7" i="23"/>
  <c r="BP4" i="23"/>
  <c r="BL73" i="23"/>
  <c r="BL72" i="23"/>
  <c r="BL71" i="23"/>
  <c r="BL70" i="23"/>
  <c r="BL69" i="23"/>
  <c r="BL68" i="23"/>
  <c r="BL67" i="23"/>
  <c r="BL66" i="23"/>
  <c r="BL65" i="23"/>
  <c r="BL64" i="23"/>
  <c r="BL63" i="23"/>
  <c r="BL62" i="23"/>
  <c r="BL61" i="23"/>
  <c r="BL60" i="23"/>
  <c r="BL59" i="23"/>
  <c r="BL58" i="23"/>
  <c r="BL57" i="23"/>
  <c r="BL56" i="23"/>
  <c r="BL55" i="23"/>
  <c r="BL54" i="23"/>
  <c r="BL53" i="23"/>
  <c r="BL52" i="23"/>
  <c r="BL51" i="23"/>
  <c r="BL50" i="23"/>
  <c r="BL49" i="23"/>
  <c r="BL48" i="23"/>
  <c r="BL47" i="23"/>
  <c r="BL46" i="23"/>
  <c r="BL45" i="23"/>
  <c r="BL44" i="23"/>
  <c r="BL43" i="23"/>
  <c r="BL42" i="23"/>
  <c r="BL41" i="23"/>
  <c r="BL40" i="23"/>
  <c r="BL39" i="23"/>
  <c r="BL38" i="23"/>
  <c r="BL37" i="23"/>
  <c r="BL36" i="23"/>
  <c r="BL35" i="23"/>
  <c r="BL34" i="23"/>
  <c r="BL33" i="23"/>
  <c r="BL32" i="23"/>
  <c r="BL31" i="23"/>
  <c r="BL30" i="23"/>
  <c r="BL29" i="23"/>
  <c r="BL28" i="23"/>
  <c r="BL27" i="23"/>
  <c r="BL26" i="23"/>
  <c r="BL23" i="23"/>
  <c r="BL21" i="23"/>
  <c r="BL20" i="23"/>
  <c r="BL17" i="23"/>
  <c r="BL14" i="23"/>
  <c r="BL4" i="23"/>
  <c r="BH73" i="23"/>
  <c r="BH72" i="23"/>
  <c r="BH71" i="23"/>
  <c r="BH70" i="23"/>
  <c r="BH69" i="23"/>
  <c r="BH68" i="23"/>
  <c r="BH67" i="23"/>
  <c r="BH66" i="23"/>
  <c r="BH65" i="23"/>
  <c r="BH64" i="23"/>
  <c r="BH63" i="23"/>
  <c r="BH62" i="23"/>
  <c r="BH61" i="23"/>
  <c r="BH60" i="23"/>
  <c r="BH59" i="23"/>
  <c r="BH58" i="23"/>
  <c r="BH57" i="23"/>
  <c r="BH56" i="23"/>
  <c r="BH55" i="23"/>
  <c r="BH54" i="23"/>
  <c r="BH53" i="23"/>
  <c r="BH52" i="23"/>
  <c r="BH51" i="23"/>
  <c r="BH50" i="23"/>
  <c r="BH49" i="23"/>
  <c r="BH48" i="23"/>
  <c r="BH47" i="23"/>
  <c r="BH46" i="23"/>
  <c r="BH45" i="23"/>
  <c r="BH44" i="23"/>
  <c r="BH43" i="23"/>
  <c r="BH42" i="23"/>
  <c r="BH41" i="23"/>
  <c r="BH40" i="23"/>
  <c r="BH39" i="23"/>
  <c r="BH38" i="23"/>
  <c r="BH37" i="23"/>
  <c r="BH36" i="23"/>
  <c r="BH35" i="23"/>
  <c r="BH34" i="23"/>
  <c r="BH33" i="23"/>
  <c r="BH32" i="23"/>
  <c r="BH31" i="23"/>
  <c r="BH30" i="23"/>
  <c r="BH29" i="23"/>
  <c r="BH28" i="23"/>
  <c r="BH27" i="23"/>
  <c r="BH23" i="23"/>
  <c r="BH21" i="23"/>
  <c r="BH20" i="23"/>
  <c r="BH17" i="23"/>
  <c r="BH14" i="23"/>
  <c r="BH4" i="23"/>
  <c r="BD73" i="23"/>
  <c r="BD72" i="23"/>
  <c r="BD71" i="23"/>
  <c r="BD70" i="23"/>
  <c r="BD69" i="23"/>
  <c r="BD68" i="23"/>
  <c r="BD67" i="23"/>
  <c r="BD66" i="23"/>
  <c r="BD65" i="23"/>
  <c r="BD64" i="23"/>
  <c r="BD63" i="23"/>
  <c r="BD62" i="23"/>
  <c r="BD61" i="23"/>
  <c r="BD60" i="23"/>
  <c r="BD59" i="23"/>
  <c r="BD58" i="23"/>
  <c r="BD57" i="23"/>
  <c r="BD56" i="23"/>
  <c r="BD55" i="23"/>
  <c r="BD54" i="23"/>
  <c r="BD53" i="23"/>
  <c r="BD52" i="23"/>
  <c r="BD51" i="23"/>
  <c r="BD50" i="23"/>
  <c r="BD49" i="23"/>
  <c r="BD48" i="23"/>
  <c r="BD47" i="23"/>
  <c r="BD46" i="23"/>
  <c r="BD45" i="23"/>
  <c r="BD44" i="23"/>
  <c r="BD43" i="23"/>
  <c r="BD42" i="23"/>
  <c r="BD41" i="23"/>
  <c r="BD40" i="23"/>
  <c r="BD39" i="23"/>
  <c r="BD38" i="23"/>
  <c r="BD37" i="23"/>
  <c r="BD36" i="23"/>
  <c r="BD35" i="23"/>
  <c r="BD34" i="23"/>
  <c r="BD33" i="23"/>
  <c r="BD32" i="23"/>
  <c r="BD31" i="23"/>
  <c r="BD30" i="23"/>
  <c r="BD29" i="23"/>
  <c r="BD28" i="23"/>
  <c r="BD27" i="23"/>
  <c r="BD24" i="23"/>
  <c r="BD23" i="23"/>
  <c r="BD22" i="23"/>
  <c r="BD21" i="23"/>
  <c r="BD20" i="23"/>
  <c r="BD19" i="23"/>
  <c r="BD18" i="23"/>
  <c r="BD17" i="23"/>
  <c r="BD16" i="23"/>
  <c r="BD15" i="23"/>
  <c r="BD14" i="23"/>
  <c r="BD11" i="23"/>
  <c r="BD10" i="23"/>
  <c r="BD4" i="23"/>
  <c r="AZ73" i="23"/>
  <c r="AZ72" i="23"/>
  <c r="AZ71" i="23"/>
  <c r="AZ70" i="23"/>
  <c r="AZ69" i="23"/>
  <c r="AZ68" i="23"/>
  <c r="AZ67" i="23"/>
  <c r="AZ66" i="23"/>
  <c r="AZ65" i="23"/>
  <c r="AZ64" i="23"/>
  <c r="AZ63" i="23"/>
  <c r="AZ62" i="23"/>
  <c r="AZ61" i="23"/>
  <c r="AZ60" i="23"/>
  <c r="AZ59" i="23"/>
  <c r="AZ58" i="23"/>
  <c r="AZ57" i="23"/>
  <c r="AZ56" i="23"/>
  <c r="AZ55" i="23"/>
  <c r="AZ54" i="23"/>
  <c r="AZ53" i="23"/>
  <c r="AZ52" i="23"/>
  <c r="AZ51" i="23"/>
  <c r="AZ50" i="23"/>
  <c r="AZ49" i="23"/>
  <c r="AZ48" i="23"/>
  <c r="AZ47" i="23"/>
  <c r="AZ46" i="23"/>
  <c r="AZ45" i="23"/>
  <c r="AZ44" i="23"/>
  <c r="AZ43" i="23"/>
  <c r="AZ42" i="23"/>
  <c r="AZ41" i="23"/>
  <c r="AZ40" i="23"/>
  <c r="AZ39" i="23"/>
  <c r="AZ38" i="23"/>
  <c r="AZ37" i="23"/>
  <c r="AZ36" i="23"/>
  <c r="AZ35" i="23"/>
  <c r="AZ34" i="23"/>
  <c r="AZ33" i="23"/>
  <c r="AZ32" i="23"/>
  <c r="AZ31" i="23"/>
  <c r="AZ30" i="23"/>
  <c r="AZ29" i="23"/>
  <c r="AZ28" i="23"/>
  <c r="AZ27" i="23"/>
  <c r="AZ24" i="23"/>
  <c r="AZ23" i="23"/>
  <c r="AZ22" i="23"/>
  <c r="AZ21" i="23"/>
  <c r="AZ20" i="23"/>
  <c r="AZ19" i="23"/>
  <c r="AZ18" i="23"/>
  <c r="AZ17" i="23"/>
  <c r="AZ16" i="23"/>
  <c r="AZ15" i="23"/>
  <c r="AZ14" i="23"/>
  <c r="AZ11" i="23"/>
  <c r="AZ10" i="23"/>
  <c r="AZ4" i="23"/>
  <c r="AV73" i="23"/>
  <c r="AV72" i="23"/>
  <c r="AV71" i="23"/>
  <c r="AV70" i="23"/>
  <c r="AV69" i="23"/>
  <c r="AV68" i="23"/>
  <c r="AV67" i="23"/>
  <c r="AV66" i="23"/>
  <c r="AV65" i="23"/>
  <c r="AV64" i="23"/>
  <c r="AV63" i="23"/>
  <c r="AV62" i="23"/>
  <c r="AV61" i="23"/>
  <c r="AV60" i="23"/>
  <c r="AV59" i="23"/>
  <c r="AV58" i="23"/>
  <c r="AV57" i="23"/>
  <c r="AV56" i="23"/>
  <c r="AV55" i="23"/>
  <c r="AV54" i="23"/>
  <c r="AV53" i="23"/>
  <c r="AV52" i="23"/>
  <c r="AV51" i="23"/>
  <c r="AV50" i="23"/>
  <c r="AV49" i="23"/>
  <c r="AV48" i="23"/>
  <c r="AV47" i="23"/>
  <c r="AV46" i="23"/>
  <c r="AV45" i="23"/>
  <c r="AV44" i="23"/>
  <c r="AV43" i="23"/>
  <c r="AV42" i="23"/>
  <c r="AV41" i="23"/>
  <c r="AV40" i="23"/>
  <c r="AV39" i="23"/>
  <c r="AV38" i="23"/>
  <c r="AV37" i="23"/>
  <c r="AV36" i="23"/>
  <c r="AV35" i="23"/>
  <c r="AV34" i="23"/>
  <c r="AV33" i="23"/>
  <c r="AV32" i="23"/>
  <c r="AV31" i="23"/>
  <c r="AV30" i="23"/>
  <c r="AV29" i="23"/>
  <c r="AV28" i="23"/>
  <c r="AV27" i="23"/>
  <c r="AV24" i="23"/>
  <c r="AV23" i="23"/>
  <c r="AV22" i="23"/>
  <c r="AV21" i="23"/>
  <c r="AV20" i="23"/>
  <c r="AV19" i="23"/>
  <c r="AV18" i="23"/>
  <c r="AV17" i="23"/>
  <c r="AV16" i="23"/>
  <c r="AV15" i="23"/>
  <c r="AV14" i="23"/>
  <c r="AV11" i="23"/>
  <c r="AV10" i="23"/>
  <c r="AV4" i="23"/>
  <c r="AR73" i="23"/>
  <c r="AR72" i="23"/>
  <c r="AR71" i="23"/>
  <c r="AR70" i="23"/>
  <c r="AR69" i="23"/>
  <c r="AR68" i="23"/>
  <c r="AR67" i="23"/>
  <c r="AR66" i="23"/>
  <c r="AR65" i="23"/>
  <c r="AR64" i="23"/>
  <c r="AR63" i="23"/>
  <c r="AR62" i="23"/>
  <c r="AR61" i="23"/>
  <c r="AR60" i="23"/>
  <c r="AR59" i="23"/>
  <c r="AR58" i="23"/>
  <c r="AR57" i="23"/>
  <c r="AR56" i="23"/>
  <c r="AR55" i="23"/>
  <c r="AR54" i="23"/>
  <c r="AR53" i="23"/>
  <c r="AR52" i="23"/>
  <c r="AR51" i="23"/>
  <c r="AR50" i="23"/>
  <c r="AR49" i="23"/>
  <c r="AR48" i="23"/>
  <c r="AR47" i="23"/>
  <c r="AR46" i="23"/>
  <c r="AR45" i="23"/>
  <c r="AR44" i="23"/>
  <c r="AR43" i="23"/>
  <c r="AR42" i="23"/>
  <c r="AR41" i="23"/>
  <c r="AR40" i="23"/>
  <c r="AR39" i="23"/>
  <c r="AR38" i="23"/>
  <c r="AR37" i="23"/>
  <c r="AR36" i="23"/>
  <c r="AR35" i="23"/>
  <c r="AR34" i="23"/>
  <c r="AR33" i="23"/>
  <c r="AR32" i="23"/>
  <c r="AR31" i="23"/>
  <c r="AR30" i="23"/>
  <c r="AR29" i="23"/>
  <c r="AR28" i="23"/>
  <c r="AR27" i="23"/>
  <c r="AR24" i="23"/>
  <c r="AR23" i="23"/>
  <c r="AR22" i="23"/>
  <c r="AR21" i="23"/>
  <c r="AR20" i="23"/>
  <c r="AR19" i="23"/>
  <c r="AR18" i="23"/>
  <c r="AR17" i="23"/>
  <c r="AR16" i="23"/>
  <c r="AR15" i="23"/>
  <c r="AR14" i="23"/>
  <c r="AR11" i="23"/>
  <c r="AR10" i="23"/>
  <c r="AR4" i="23"/>
  <c r="AN73" i="23"/>
  <c r="AN72" i="23"/>
  <c r="AN71" i="23"/>
  <c r="AN70" i="23"/>
  <c r="AN69" i="23"/>
  <c r="AN68" i="23"/>
  <c r="AN67" i="23"/>
  <c r="AN66" i="23"/>
  <c r="AN65" i="23"/>
  <c r="AN64" i="23"/>
  <c r="AN63" i="23"/>
  <c r="AN62" i="23"/>
  <c r="AN61" i="23"/>
  <c r="AN60" i="23"/>
  <c r="AN59" i="23"/>
  <c r="AN58" i="23"/>
  <c r="AN57" i="23"/>
  <c r="AN56" i="23"/>
  <c r="AN55" i="23"/>
  <c r="AN54" i="23"/>
  <c r="AN53" i="23"/>
  <c r="AN52" i="23"/>
  <c r="AN51" i="23"/>
  <c r="AN50" i="23"/>
  <c r="AN49" i="23"/>
  <c r="AN48" i="23"/>
  <c r="AN47" i="23"/>
  <c r="AN46" i="23"/>
  <c r="AN45" i="23"/>
  <c r="AN44" i="23"/>
  <c r="AN43" i="23"/>
  <c r="AN42" i="23"/>
  <c r="AN41" i="23"/>
  <c r="AN40" i="23"/>
  <c r="AN39" i="23"/>
  <c r="AN38" i="23"/>
  <c r="AN37" i="23"/>
  <c r="AN36" i="23"/>
  <c r="AN35" i="23"/>
  <c r="AN34" i="23"/>
  <c r="AN33" i="23"/>
  <c r="AN32" i="23"/>
  <c r="AN31" i="23"/>
  <c r="AN30" i="23"/>
  <c r="AN29" i="23"/>
  <c r="AN28" i="23"/>
  <c r="AN27" i="23"/>
  <c r="AN26" i="23"/>
  <c r="AN25" i="23"/>
  <c r="AN24" i="23"/>
  <c r="AN23" i="23"/>
  <c r="AN22" i="23"/>
  <c r="AN21" i="23"/>
  <c r="AN20" i="23"/>
  <c r="AN19" i="23"/>
  <c r="AN18" i="23"/>
  <c r="AN17" i="23"/>
  <c r="AN16" i="23"/>
  <c r="AN15" i="23"/>
  <c r="AN14" i="23"/>
  <c r="AN13" i="23"/>
  <c r="AN12" i="23"/>
  <c r="AN11" i="23"/>
  <c r="AN10" i="23"/>
  <c r="AN9" i="23"/>
  <c r="AN8" i="23"/>
  <c r="AN7" i="23"/>
  <c r="AN6" i="23"/>
  <c r="AN5" i="23"/>
  <c r="AN4" i="23"/>
  <c r="AJ73" i="23"/>
  <c r="AJ72" i="23"/>
  <c r="AJ71" i="23"/>
  <c r="AJ70" i="23"/>
  <c r="AJ69" i="23"/>
  <c r="AJ68" i="23"/>
  <c r="AJ67" i="23"/>
  <c r="AJ66" i="23"/>
  <c r="AJ65" i="23"/>
  <c r="AJ64" i="23"/>
  <c r="AJ63" i="23"/>
  <c r="AJ62" i="23"/>
  <c r="AJ61" i="23"/>
  <c r="AJ60" i="23"/>
  <c r="AJ59" i="23"/>
  <c r="AJ58" i="23"/>
  <c r="AJ57" i="23"/>
  <c r="AJ56" i="23"/>
  <c r="AJ55" i="23"/>
  <c r="AJ54" i="23"/>
  <c r="AJ53" i="23"/>
  <c r="AJ52" i="23"/>
  <c r="AJ51" i="23"/>
  <c r="AJ50" i="23"/>
  <c r="AJ49" i="23"/>
  <c r="AJ48" i="23"/>
  <c r="AJ47" i="23"/>
  <c r="AJ46" i="23"/>
  <c r="AJ45" i="23"/>
  <c r="AJ44" i="23"/>
  <c r="AJ43" i="23"/>
  <c r="AJ42" i="23"/>
  <c r="AJ41" i="23"/>
  <c r="AJ40" i="23"/>
  <c r="AJ39" i="23"/>
  <c r="AJ38" i="23"/>
  <c r="AJ37" i="23"/>
  <c r="AJ36" i="23"/>
  <c r="AJ35" i="23"/>
  <c r="AJ34" i="23"/>
  <c r="AJ33" i="23"/>
  <c r="AJ32" i="23"/>
  <c r="AJ31" i="23"/>
  <c r="AJ30" i="23"/>
  <c r="AJ29" i="23"/>
  <c r="AJ28" i="23"/>
  <c r="AJ27" i="23"/>
  <c r="AJ26" i="23"/>
  <c r="AJ25" i="23"/>
  <c r="AJ24" i="23"/>
  <c r="AJ23" i="23"/>
  <c r="AJ22" i="23"/>
  <c r="AJ21" i="23"/>
  <c r="AJ20" i="23"/>
  <c r="AJ19" i="23"/>
  <c r="AJ18" i="23"/>
  <c r="AJ17" i="23"/>
  <c r="AJ16" i="23"/>
  <c r="AJ15" i="23"/>
  <c r="AJ14" i="23"/>
  <c r="AJ13" i="23"/>
  <c r="AJ12" i="23"/>
  <c r="AJ11" i="23"/>
  <c r="AJ10" i="23"/>
  <c r="AJ9" i="23"/>
  <c r="AJ8" i="23"/>
  <c r="AJ7" i="23"/>
  <c r="AJ6" i="23"/>
  <c r="AJ5" i="23"/>
  <c r="AJ4" i="23"/>
  <c r="AF73" i="23"/>
  <c r="AF72" i="23"/>
  <c r="AF71" i="23"/>
  <c r="AF70" i="23"/>
  <c r="AF69" i="23"/>
  <c r="AF68" i="23"/>
  <c r="AF67" i="23"/>
  <c r="AF66" i="23"/>
  <c r="AF65" i="23"/>
  <c r="AF64" i="23"/>
  <c r="AF63" i="23"/>
  <c r="AF62" i="23"/>
  <c r="AF61" i="23"/>
  <c r="AF60" i="23"/>
  <c r="AF59" i="23"/>
  <c r="AF58" i="23"/>
  <c r="AF57" i="23"/>
  <c r="AF56" i="23"/>
  <c r="AF55" i="23"/>
  <c r="AF54" i="23"/>
  <c r="AF53" i="23"/>
  <c r="AF52" i="23"/>
  <c r="AF51" i="23"/>
  <c r="AF50" i="23"/>
  <c r="AF49" i="23"/>
  <c r="AF48" i="23"/>
  <c r="AF47" i="23"/>
  <c r="AF46" i="23"/>
  <c r="AF45" i="23"/>
  <c r="AF44" i="23"/>
  <c r="AF42" i="23"/>
  <c r="AF41" i="23"/>
  <c r="AF40" i="23"/>
  <c r="AF39" i="23"/>
  <c r="AF38" i="23"/>
  <c r="AF37" i="23"/>
  <c r="AF36" i="23"/>
  <c r="AF35" i="23"/>
  <c r="AF34" i="23"/>
  <c r="AF33" i="23"/>
  <c r="AF32" i="23"/>
  <c r="AF31" i="23"/>
  <c r="AF30" i="23"/>
  <c r="AF29" i="23"/>
  <c r="AF28" i="23"/>
  <c r="AF27" i="23"/>
  <c r="AF26" i="23"/>
  <c r="AF25" i="23"/>
  <c r="AF24" i="23"/>
  <c r="AF23" i="23"/>
  <c r="AF22" i="23"/>
  <c r="AF21" i="23"/>
  <c r="AF20" i="23"/>
  <c r="AF19" i="23"/>
  <c r="AF18" i="23"/>
  <c r="AF17" i="23"/>
  <c r="AF16" i="23"/>
  <c r="AF15" i="23"/>
  <c r="AF13" i="23"/>
  <c r="AF12" i="23"/>
  <c r="AF10" i="23"/>
  <c r="AF9" i="23"/>
  <c r="AF8" i="23"/>
  <c r="AF7" i="23"/>
  <c r="AF6" i="23"/>
  <c r="AF5" i="23"/>
  <c r="AF4" i="23"/>
  <c r="V73" i="23"/>
  <c r="V72" i="23"/>
  <c r="V71" i="23"/>
  <c r="V70" i="23"/>
  <c r="V69" i="23"/>
  <c r="V68" i="23"/>
  <c r="V67" i="23"/>
  <c r="V66" i="23"/>
  <c r="V65" i="23"/>
  <c r="V64" i="23"/>
  <c r="V63" i="23"/>
  <c r="V62" i="23"/>
  <c r="V61" i="23"/>
  <c r="V60" i="23"/>
  <c r="V59" i="23"/>
  <c r="V58" i="23"/>
  <c r="V57" i="23"/>
  <c r="V56" i="23"/>
  <c r="V55" i="23"/>
  <c r="V54" i="23"/>
  <c r="V53" i="23"/>
  <c r="V52" i="23"/>
  <c r="V51" i="23"/>
  <c r="V50" i="23"/>
  <c r="V49" i="23"/>
  <c r="V48" i="23"/>
  <c r="V47" i="23"/>
  <c r="V46" i="23"/>
  <c r="V45" i="23"/>
  <c r="V44" i="23"/>
  <c r="V43" i="23"/>
  <c r="V42" i="23"/>
  <c r="V41" i="23"/>
  <c r="V40" i="23"/>
  <c r="V39" i="23"/>
  <c r="V38" i="23"/>
  <c r="V33" i="23"/>
  <c r="V32" i="23"/>
  <c r="V31" i="23"/>
  <c r="V30" i="23"/>
  <c r="V29" i="23"/>
  <c r="V27" i="23"/>
  <c r="V26" i="23"/>
  <c r="V25" i="23"/>
  <c r="V24" i="23"/>
  <c r="V22" i="23"/>
  <c r="V21" i="23"/>
  <c r="V20" i="23"/>
  <c r="V19" i="23"/>
  <c r="V18" i="23"/>
  <c r="V17" i="23"/>
  <c r="V16" i="23"/>
  <c r="V15" i="23"/>
  <c r="V14" i="23"/>
  <c r="V13" i="23"/>
  <c r="V12" i="23"/>
  <c r="V11" i="23"/>
  <c r="V10" i="23"/>
  <c r="V4" i="23"/>
  <c r="R73" i="23"/>
  <c r="R72" i="23"/>
  <c r="R71" i="23"/>
  <c r="R70" i="23"/>
  <c r="R69" i="23"/>
  <c r="R68" i="23"/>
  <c r="R67" i="23"/>
  <c r="R66" i="23"/>
  <c r="R65" i="23"/>
  <c r="R64" i="23"/>
  <c r="R63" i="23"/>
  <c r="R62" i="23"/>
  <c r="R61" i="23"/>
  <c r="R60" i="23"/>
  <c r="R59" i="23"/>
  <c r="R58" i="23"/>
  <c r="R57" i="23"/>
  <c r="R56" i="23"/>
  <c r="R55" i="23"/>
  <c r="R54" i="23"/>
  <c r="R53" i="23"/>
  <c r="R52" i="23"/>
  <c r="R51" i="23"/>
  <c r="R50" i="23"/>
  <c r="R49" i="23"/>
  <c r="R48" i="23"/>
  <c r="R47" i="23"/>
  <c r="R46" i="23"/>
  <c r="R45" i="23"/>
  <c r="R44" i="23"/>
  <c r="R43" i="23"/>
  <c r="R42" i="23"/>
  <c r="R41" i="23"/>
  <c r="R40" i="23"/>
  <c r="R39" i="23"/>
  <c r="R38" i="23"/>
  <c r="R37" i="23"/>
  <c r="R34" i="23"/>
  <c r="R33" i="23"/>
  <c r="R32" i="23"/>
  <c r="R31" i="23"/>
  <c r="R30" i="23"/>
  <c r="R29" i="23"/>
  <c r="R27" i="23"/>
  <c r="R26" i="23"/>
  <c r="R25" i="23"/>
  <c r="R24" i="23"/>
  <c r="R23" i="23"/>
  <c r="R22" i="23"/>
  <c r="R21" i="23"/>
  <c r="R20" i="23"/>
  <c r="R19" i="23"/>
  <c r="R18" i="23"/>
  <c r="R17" i="23"/>
  <c r="R16" i="23"/>
  <c r="R15" i="23"/>
  <c r="R14" i="23"/>
  <c r="R13" i="23"/>
  <c r="R12" i="23"/>
  <c r="R11" i="23"/>
  <c r="R10" i="23"/>
  <c r="R8" i="23"/>
  <c r="R7" i="23"/>
  <c r="R4" i="23"/>
  <c r="N73" i="23"/>
  <c r="N72" i="23"/>
  <c r="N71" i="23"/>
  <c r="N70" i="23"/>
  <c r="N69" i="23"/>
  <c r="N68" i="23"/>
  <c r="N67" i="23"/>
  <c r="N66" i="23"/>
  <c r="N65" i="23"/>
  <c r="N64" i="23"/>
  <c r="N63" i="23"/>
  <c r="N62" i="23"/>
  <c r="N61" i="23"/>
  <c r="N60" i="23"/>
  <c r="N59" i="23"/>
  <c r="N58" i="23"/>
  <c r="N57" i="23"/>
  <c r="N56" i="23"/>
  <c r="N55" i="23"/>
  <c r="N54" i="23"/>
  <c r="N53" i="23"/>
  <c r="N52" i="23"/>
  <c r="N51" i="23"/>
  <c r="N50" i="23"/>
  <c r="N49" i="23"/>
  <c r="N48" i="23"/>
  <c r="N47" i="23"/>
  <c r="N46" i="23"/>
  <c r="N45" i="23"/>
  <c r="N44" i="23"/>
  <c r="N43" i="23"/>
  <c r="N42" i="23"/>
  <c r="N41" i="23"/>
  <c r="N40" i="23"/>
  <c r="N39" i="23"/>
  <c r="N38" i="23"/>
  <c r="N37" i="23"/>
  <c r="N34" i="23"/>
  <c r="N33" i="23"/>
  <c r="N32" i="23"/>
  <c r="N31" i="23"/>
  <c r="N30" i="23"/>
  <c r="N29" i="23"/>
  <c r="N27" i="23"/>
  <c r="N26" i="23"/>
  <c r="N25" i="23"/>
  <c r="N24" i="23"/>
  <c r="N23" i="23"/>
  <c r="N22" i="23"/>
  <c r="N21" i="23"/>
  <c r="N20" i="23"/>
  <c r="N19" i="23"/>
  <c r="N18" i="23"/>
  <c r="N17" i="23"/>
  <c r="N16" i="23"/>
  <c r="N15" i="23"/>
  <c r="N14" i="23"/>
  <c r="N13" i="23"/>
  <c r="N12" i="23"/>
  <c r="N11" i="23"/>
  <c r="N10" i="23"/>
  <c r="N8" i="23"/>
  <c r="N7" i="23"/>
  <c r="N4" i="23"/>
  <c r="J73" i="23"/>
  <c r="J72" i="23"/>
  <c r="J71" i="23"/>
  <c r="J70" i="23"/>
  <c r="J69" i="23"/>
  <c r="J68" i="23"/>
  <c r="J67" i="23"/>
  <c r="J66" i="23"/>
  <c r="J65" i="23"/>
  <c r="J64" i="23"/>
  <c r="J63" i="23"/>
  <c r="J62" i="23"/>
  <c r="J61" i="23"/>
  <c r="J60" i="23"/>
  <c r="J59" i="23"/>
  <c r="J58" i="23"/>
  <c r="J57" i="23"/>
  <c r="J56" i="23"/>
  <c r="J55" i="23"/>
  <c r="J54" i="23"/>
  <c r="J53" i="23"/>
  <c r="J52" i="23"/>
  <c r="J51" i="23"/>
  <c r="J50" i="23"/>
  <c r="J49" i="23"/>
  <c r="J48" i="23"/>
  <c r="J47" i="23"/>
  <c r="J46" i="23"/>
  <c r="J45" i="23"/>
  <c r="J44" i="23"/>
  <c r="J43" i="23"/>
  <c r="J42" i="23"/>
  <c r="J41" i="23"/>
  <c r="J40" i="23"/>
  <c r="J39" i="23"/>
  <c r="J38" i="23"/>
  <c r="J37" i="23"/>
  <c r="J36" i="23"/>
  <c r="J35" i="23"/>
  <c r="J34" i="23"/>
  <c r="J33" i="23"/>
  <c r="J32" i="23"/>
  <c r="J31" i="23"/>
  <c r="J30" i="23"/>
  <c r="J29" i="23"/>
  <c r="J28" i="23"/>
  <c r="J27" i="23"/>
  <c r="J26" i="23"/>
  <c r="J25" i="23"/>
  <c r="J24" i="23"/>
  <c r="J23" i="23"/>
  <c r="J22" i="23"/>
  <c r="J21" i="23"/>
  <c r="J20" i="23"/>
  <c r="J19" i="23"/>
  <c r="J18" i="23"/>
  <c r="J17" i="23"/>
  <c r="J16" i="23"/>
  <c r="J15" i="23"/>
  <c r="J14" i="23"/>
  <c r="J13" i="23"/>
  <c r="J12" i="23"/>
  <c r="J11" i="23"/>
  <c r="J10" i="23"/>
  <c r="J9" i="23"/>
  <c r="J8" i="23"/>
  <c r="J7" i="23"/>
  <c r="J6" i="23"/>
  <c r="J5" i="23"/>
  <c r="J4" i="23"/>
  <c r="F4" i="23"/>
  <c r="F5" i="23"/>
  <c r="F6" i="23"/>
  <c r="F7" i="23"/>
  <c r="F8" i="23"/>
  <c r="F9" i="23"/>
  <c r="F10" i="23"/>
  <c r="F11" i="23"/>
  <c r="F12" i="23"/>
  <c r="F13" i="23"/>
  <c r="F14" i="23"/>
  <c r="F15" i="23"/>
  <c r="F16" i="23"/>
  <c r="F17" i="23"/>
  <c r="F18" i="23"/>
  <c r="F19" i="23"/>
  <c r="F20" i="23"/>
  <c r="F21" i="23"/>
  <c r="F22" i="23"/>
  <c r="F23" i="23"/>
  <c r="F24" i="23"/>
  <c r="F25" i="23"/>
  <c r="F26" i="23"/>
  <c r="F27" i="23"/>
  <c r="F28" i="23"/>
  <c r="F29" i="23"/>
  <c r="F30" i="23"/>
  <c r="F31" i="23"/>
  <c r="F32" i="23"/>
  <c r="F33" i="23"/>
  <c r="F34" i="23"/>
  <c r="F35" i="23"/>
  <c r="F36" i="23"/>
  <c r="F37" i="23"/>
  <c r="F38" i="23"/>
  <c r="F39" i="23"/>
  <c r="F40" i="23"/>
  <c r="F41" i="23"/>
  <c r="F42" i="23"/>
  <c r="F43" i="23"/>
  <c r="F44" i="23"/>
  <c r="F45" i="23"/>
  <c r="F46" i="23"/>
  <c r="F47" i="23"/>
  <c r="F48" i="23"/>
  <c r="F49" i="23"/>
  <c r="F50" i="23"/>
  <c r="F51" i="23"/>
  <c r="F52" i="23"/>
  <c r="F53" i="23"/>
  <c r="F54" i="23"/>
  <c r="F55" i="23"/>
  <c r="F56" i="23"/>
  <c r="F57" i="23"/>
  <c r="F58" i="23"/>
  <c r="F59" i="23"/>
  <c r="F60" i="23"/>
  <c r="F61" i="23"/>
  <c r="F62" i="23"/>
  <c r="F63" i="23"/>
  <c r="F64" i="23"/>
  <c r="F65" i="23"/>
  <c r="F66" i="23"/>
  <c r="F67" i="23"/>
  <c r="F68" i="23"/>
  <c r="F69" i="23"/>
  <c r="F70" i="23"/>
  <c r="F71" i="23"/>
  <c r="F72" i="23"/>
  <c r="F73" i="23"/>
  <c r="CQ173" i="1"/>
  <c r="CQ172" i="1"/>
  <c r="CQ171" i="1"/>
  <c r="CQ170" i="1"/>
  <c r="CQ169" i="1"/>
  <c r="CQ168" i="1"/>
  <c r="CQ167" i="1"/>
  <c r="CQ166" i="1"/>
  <c r="CQ165" i="1"/>
  <c r="CQ164" i="1"/>
  <c r="CQ163" i="1"/>
  <c r="CQ162" i="1"/>
  <c r="CQ161" i="1"/>
  <c r="CQ160" i="1"/>
  <c r="CQ159" i="1"/>
  <c r="CQ158" i="1"/>
  <c r="CQ157" i="1"/>
  <c r="CQ156" i="1"/>
  <c r="CQ155" i="1"/>
  <c r="CQ154" i="1"/>
  <c r="CQ153" i="1"/>
  <c r="CQ152" i="1"/>
  <c r="CQ151" i="1"/>
  <c r="CQ150" i="1"/>
  <c r="CQ149" i="1"/>
  <c r="CQ148" i="1"/>
  <c r="CQ147" i="1"/>
  <c r="CQ146" i="1"/>
  <c r="CQ145" i="1"/>
  <c r="CQ144" i="1"/>
  <c r="CQ143" i="1"/>
  <c r="CQ142" i="1"/>
  <c r="CQ141" i="1"/>
  <c r="CQ140" i="1"/>
  <c r="CQ139" i="1"/>
  <c r="CQ138" i="1"/>
  <c r="CQ137" i="1"/>
  <c r="CQ136" i="1"/>
  <c r="CQ135" i="1"/>
  <c r="CQ134" i="1"/>
  <c r="CQ133" i="1"/>
  <c r="CQ132" i="1"/>
  <c r="CQ131" i="1"/>
  <c r="CQ130" i="1"/>
  <c r="CQ129" i="1"/>
  <c r="CQ128" i="1"/>
  <c r="CQ127" i="1"/>
  <c r="CQ126" i="1"/>
  <c r="CQ125" i="1"/>
  <c r="CQ124" i="1"/>
  <c r="CQ123" i="1"/>
  <c r="CQ122" i="1"/>
  <c r="CQ121" i="1"/>
  <c r="CQ120" i="1"/>
  <c r="CQ119" i="1"/>
  <c r="CQ118" i="1"/>
  <c r="CQ117" i="1"/>
  <c r="CQ116" i="1"/>
  <c r="CQ115" i="1"/>
  <c r="CQ114" i="1"/>
  <c r="CQ113" i="1"/>
  <c r="CQ112" i="1"/>
  <c r="CQ111" i="1"/>
  <c r="CQ110" i="1"/>
  <c r="CQ109" i="1"/>
  <c r="CQ108" i="1"/>
  <c r="CQ107" i="1"/>
  <c r="CQ106" i="1"/>
  <c r="CQ105" i="1"/>
  <c r="CQ104" i="1"/>
  <c r="CQ103" i="1"/>
  <c r="CQ102" i="1"/>
  <c r="CQ101" i="1"/>
  <c r="CQ100" i="1"/>
  <c r="CQ99" i="1"/>
  <c r="CQ98" i="1"/>
  <c r="CQ97" i="1"/>
  <c r="CQ96" i="1"/>
  <c r="CQ95" i="1"/>
  <c r="CQ94" i="1"/>
  <c r="CQ93" i="1"/>
  <c r="CQ92" i="1"/>
  <c r="CQ91" i="1"/>
  <c r="CQ90" i="1"/>
  <c r="CQ89" i="1"/>
  <c r="CQ88" i="1"/>
  <c r="CQ87" i="1"/>
  <c r="CQ86" i="1"/>
  <c r="CQ85" i="1"/>
  <c r="CQ84" i="1"/>
  <c r="CQ83" i="1"/>
  <c r="CQ82" i="1"/>
  <c r="CQ81" i="1"/>
  <c r="CQ80" i="1"/>
  <c r="CQ79" i="1"/>
  <c r="CQ78" i="1"/>
  <c r="CQ77" i="1"/>
  <c r="CQ76" i="1"/>
  <c r="CQ75" i="1"/>
  <c r="CQ74" i="1"/>
  <c r="CQ73" i="1"/>
  <c r="CQ72" i="1"/>
  <c r="CQ71" i="1"/>
  <c r="CQ70" i="1"/>
  <c r="CQ69" i="1"/>
  <c r="CQ68" i="1"/>
  <c r="CQ67" i="1"/>
  <c r="CQ66" i="1"/>
  <c r="CQ65" i="1"/>
  <c r="CQ64" i="1"/>
  <c r="CQ63" i="1"/>
  <c r="CQ62" i="1"/>
  <c r="CQ61" i="1"/>
  <c r="CQ60" i="1"/>
  <c r="CQ59" i="1"/>
  <c r="CQ58" i="1"/>
  <c r="CQ57" i="1"/>
  <c r="CQ56" i="1"/>
  <c r="CQ55" i="1"/>
  <c r="CQ54" i="1"/>
  <c r="CQ53" i="1"/>
  <c r="CQ52" i="1"/>
  <c r="CQ51" i="1"/>
  <c r="CQ50" i="1"/>
  <c r="CQ49" i="1"/>
  <c r="CQ48" i="1"/>
  <c r="CQ47" i="1"/>
  <c r="CQ46" i="1"/>
  <c r="CQ45" i="1"/>
  <c r="CQ44" i="1"/>
  <c r="CQ43" i="1"/>
  <c r="CQ42" i="1"/>
  <c r="CQ41" i="1"/>
  <c r="CQ40" i="1"/>
  <c r="CQ39" i="1"/>
  <c r="CQ38" i="1"/>
  <c r="CQ37" i="1"/>
  <c r="CQ36" i="1"/>
  <c r="CQ35" i="1"/>
  <c r="CQ34" i="1"/>
  <c r="CQ33" i="1"/>
  <c r="CQ32" i="1"/>
  <c r="CQ31" i="1"/>
  <c r="CQ30" i="1"/>
  <c r="CQ29" i="1"/>
  <c r="CQ28" i="1"/>
  <c r="CQ27" i="1"/>
  <c r="CQ26" i="1"/>
  <c r="CQ25" i="1"/>
  <c r="CQ24" i="1"/>
  <c r="CQ23" i="1"/>
  <c r="CQ22" i="1"/>
  <c r="CQ21" i="1"/>
  <c r="CQ20" i="1"/>
  <c r="CQ19" i="1"/>
  <c r="CQ18" i="1"/>
  <c r="CQ17" i="1"/>
  <c r="CQ16" i="1"/>
  <c r="CQ15" i="1"/>
  <c r="CQ14" i="1"/>
  <c r="CQ13" i="1"/>
  <c r="CQ12" i="1"/>
  <c r="CQ11" i="1"/>
  <c r="CQ10" i="1"/>
  <c r="CQ9" i="1"/>
  <c r="CQ8" i="1"/>
  <c r="CQ7" i="1"/>
  <c r="CQ6" i="1"/>
  <c r="CQ5" i="1"/>
  <c r="CQ4" i="1"/>
  <c r="CQ3" i="1"/>
  <c r="CN173" i="1"/>
  <c r="CN172" i="1"/>
  <c r="CN171" i="1"/>
  <c r="CN170" i="1"/>
  <c r="CN169" i="1"/>
  <c r="CN168" i="1"/>
  <c r="CN167" i="1"/>
  <c r="CN166" i="1"/>
  <c r="CN165" i="1"/>
  <c r="CN164" i="1"/>
  <c r="CN163" i="1"/>
  <c r="CN162" i="1"/>
  <c r="CN161" i="1"/>
  <c r="CN160" i="1"/>
  <c r="CN159" i="1"/>
  <c r="CN158" i="1"/>
  <c r="CN157" i="1"/>
  <c r="CN156" i="1"/>
  <c r="CN155" i="1"/>
  <c r="CN154" i="1"/>
  <c r="CN153" i="1"/>
  <c r="CN152" i="1"/>
  <c r="CN151" i="1"/>
  <c r="CN150" i="1"/>
  <c r="CN149" i="1"/>
  <c r="CN148" i="1"/>
  <c r="CN147" i="1"/>
  <c r="CN146" i="1"/>
  <c r="CN145" i="1"/>
  <c r="CN144" i="1"/>
  <c r="CN143" i="1"/>
  <c r="CN142" i="1"/>
  <c r="CN141" i="1"/>
  <c r="CN140" i="1"/>
  <c r="CN139" i="1"/>
  <c r="CN138" i="1"/>
  <c r="CN137" i="1"/>
  <c r="CN136" i="1"/>
  <c r="CN135" i="1"/>
  <c r="CN134" i="1"/>
  <c r="CN133" i="1"/>
  <c r="CN132" i="1"/>
  <c r="CN131" i="1"/>
  <c r="CN130" i="1"/>
  <c r="CN129" i="1"/>
  <c r="CN128" i="1"/>
  <c r="CN127" i="1"/>
  <c r="CN126" i="1"/>
  <c r="CN125" i="1"/>
  <c r="CN124" i="1"/>
  <c r="CN123" i="1"/>
  <c r="CN122" i="1"/>
  <c r="CN121" i="1"/>
  <c r="CN120" i="1"/>
  <c r="CN119" i="1"/>
  <c r="CN118" i="1"/>
  <c r="CN117" i="1"/>
  <c r="CN116" i="1"/>
  <c r="CN115" i="1"/>
  <c r="CN114" i="1"/>
  <c r="CN113" i="1"/>
  <c r="CN112" i="1"/>
  <c r="CN111" i="1"/>
  <c r="CN110" i="1"/>
  <c r="CN109" i="1"/>
  <c r="CN108" i="1"/>
  <c r="CN107" i="1"/>
  <c r="CN106" i="1"/>
  <c r="CN105" i="1"/>
  <c r="CN104" i="1"/>
  <c r="CN103" i="1"/>
  <c r="CN102" i="1"/>
  <c r="CN101" i="1"/>
  <c r="CN100" i="1"/>
  <c r="CN99" i="1"/>
  <c r="CN98" i="1"/>
  <c r="CN97" i="1"/>
  <c r="CN96" i="1"/>
  <c r="CN95" i="1"/>
  <c r="CN94" i="1"/>
  <c r="CN93" i="1"/>
  <c r="CN92" i="1"/>
  <c r="CN91" i="1"/>
  <c r="CN90" i="1"/>
  <c r="CN89" i="1"/>
  <c r="CN88" i="1"/>
  <c r="CN87" i="1"/>
  <c r="CN86" i="1"/>
  <c r="CN85" i="1"/>
  <c r="CN84" i="1"/>
  <c r="CN83" i="1"/>
  <c r="CN82" i="1"/>
  <c r="CN81" i="1"/>
  <c r="CN80" i="1"/>
  <c r="CN79" i="1"/>
  <c r="CN78" i="1"/>
  <c r="CN77" i="1"/>
  <c r="CN76" i="1"/>
  <c r="CN75" i="1"/>
  <c r="CN74" i="1"/>
  <c r="CN73" i="1"/>
  <c r="CN72" i="1"/>
  <c r="CN71" i="1"/>
  <c r="CN70" i="1"/>
  <c r="CN69" i="1"/>
  <c r="CN68" i="1"/>
  <c r="CN67" i="1"/>
  <c r="CN66" i="1"/>
  <c r="CN65" i="1"/>
  <c r="CN64" i="1"/>
  <c r="CN63" i="1"/>
  <c r="CN62" i="1"/>
  <c r="CN61" i="1"/>
  <c r="CN60" i="1"/>
  <c r="CN59" i="1"/>
  <c r="CN58" i="1"/>
  <c r="CN57" i="1"/>
  <c r="CN56" i="1"/>
  <c r="CN55" i="1"/>
  <c r="CN54" i="1"/>
  <c r="CN53" i="1"/>
  <c r="CN52" i="1"/>
  <c r="CN51" i="1"/>
  <c r="CN50" i="1"/>
  <c r="CN49" i="1"/>
  <c r="CN48" i="1"/>
  <c r="CN47" i="1"/>
  <c r="CN46" i="1"/>
  <c r="CN45" i="1"/>
  <c r="CN44" i="1"/>
  <c r="CN43" i="1"/>
  <c r="CN42" i="1"/>
  <c r="CN41" i="1"/>
  <c r="CN40" i="1"/>
  <c r="CN39" i="1"/>
  <c r="CN38" i="1"/>
  <c r="CN37" i="1"/>
  <c r="CN36" i="1"/>
  <c r="CN35" i="1"/>
  <c r="CN34" i="1"/>
  <c r="CN33" i="1"/>
  <c r="CN32" i="1"/>
  <c r="CN31" i="1"/>
  <c r="CN30" i="1"/>
  <c r="CN29" i="1"/>
  <c r="CN28" i="1"/>
  <c r="CN27" i="1"/>
  <c r="CN26" i="1"/>
  <c r="CN25" i="1"/>
  <c r="CN24" i="1"/>
  <c r="CN23" i="1"/>
  <c r="CN22" i="1"/>
  <c r="CN21" i="1"/>
  <c r="CN20" i="1"/>
  <c r="CN19" i="1"/>
  <c r="CN18" i="1"/>
  <c r="CN17" i="1"/>
  <c r="CN16" i="1"/>
  <c r="CN15" i="1"/>
  <c r="CN14" i="1"/>
  <c r="CN13" i="1"/>
  <c r="CN12" i="1"/>
  <c r="CN11" i="1"/>
  <c r="CN10" i="1"/>
  <c r="CN9" i="1"/>
  <c r="CN8" i="1"/>
  <c r="CN7" i="1"/>
  <c r="CN6" i="1"/>
  <c r="CN5" i="1"/>
  <c r="CN4" i="1"/>
  <c r="CN3" i="1"/>
  <c r="CK173" i="1"/>
  <c r="CK172" i="1"/>
  <c r="CK171" i="1"/>
  <c r="CK170" i="1"/>
  <c r="CK169" i="1"/>
  <c r="CK168" i="1"/>
  <c r="CK167" i="1"/>
  <c r="CK166" i="1"/>
  <c r="CK165" i="1"/>
  <c r="CK164" i="1"/>
  <c r="CK163" i="1"/>
  <c r="CK162" i="1"/>
  <c r="CK161" i="1"/>
  <c r="CK160" i="1"/>
  <c r="CK159" i="1"/>
  <c r="CK158" i="1"/>
  <c r="CK157" i="1"/>
  <c r="CK156" i="1"/>
  <c r="CK155" i="1"/>
  <c r="CK154" i="1"/>
  <c r="CK153" i="1"/>
  <c r="CK152" i="1"/>
  <c r="CK151" i="1"/>
  <c r="CK150" i="1"/>
  <c r="CK149" i="1"/>
  <c r="CK148" i="1"/>
  <c r="CK147" i="1"/>
  <c r="CK146" i="1"/>
  <c r="CK145" i="1"/>
  <c r="CK144" i="1"/>
  <c r="CK143" i="1"/>
  <c r="CK142" i="1"/>
  <c r="CK141" i="1"/>
  <c r="CK140" i="1"/>
  <c r="CK139" i="1"/>
  <c r="CK138" i="1"/>
  <c r="CK137" i="1"/>
  <c r="CK136" i="1"/>
  <c r="CK135" i="1"/>
  <c r="CK134" i="1"/>
  <c r="CK133" i="1"/>
  <c r="CK132" i="1"/>
  <c r="CK131" i="1"/>
  <c r="CK130" i="1"/>
  <c r="CK129" i="1"/>
  <c r="CK128" i="1"/>
  <c r="CK127" i="1"/>
  <c r="CK126" i="1"/>
  <c r="CK125" i="1"/>
  <c r="CK124" i="1"/>
  <c r="CK123" i="1"/>
  <c r="CK122" i="1"/>
  <c r="CK121" i="1"/>
  <c r="CK120" i="1"/>
  <c r="CK119" i="1"/>
  <c r="CK118" i="1"/>
  <c r="CK117" i="1"/>
  <c r="CK116" i="1"/>
  <c r="CK115" i="1"/>
  <c r="CK114" i="1"/>
  <c r="CK113" i="1"/>
  <c r="CK112" i="1"/>
  <c r="CK111" i="1"/>
  <c r="CK110" i="1"/>
  <c r="CK109" i="1"/>
  <c r="CK108" i="1"/>
  <c r="CK107" i="1"/>
  <c r="CK106" i="1"/>
  <c r="CK105" i="1"/>
  <c r="CK104" i="1"/>
  <c r="CK103" i="1"/>
  <c r="CK102" i="1"/>
  <c r="CK101" i="1"/>
  <c r="CK100" i="1"/>
  <c r="CK99" i="1"/>
  <c r="CK98" i="1"/>
  <c r="CK97" i="1"/>
  <c r="CK96" i="1"/>
  <c r="CK95" i="1"/>
  <c r="CK94" i="1"/>
  <c r="CK93" i="1"/>
  <c r="CK92" i="1"/>
  <c r="CK91" i="1"/>
  <c r="CK90" i="1"/>
  <c r="CK89" i="1"/>
  <c r="CK88" i="1"/>
  <c r="CK87" i="1"/>
  <c r="CK86" i="1"/>
  <c r="CK85" i="1"/>
  <c r="CK84" i="1"/>
  <c r="CK83" i="1"/>
  <c r="CK82" i="1"/>
  <c r="CK81" i="1"/>
  <c r="CK80" i="1"/>
  <c r="CK79" i="1"/>
  <c r="CK78" i="1"/>
  <c r="CK77" i="1"/>
  <c r="CK76" i="1"/>
  <c r="CK75" i="1"/>
  <c r="CK74" i="1"/>
  <c r="CK73" i="1"/>
  <c r="CK72" i="1"/>
  <c r="CK71" i="1"/>
  <c r="CK70" i="1"/>
  <c r="CK69" i="1"/>
  <c r="CK68" i="1"/>
  <c r="CK67" i="1"/>
  <c r="CK66" i="1"/>
  <c r="CK65" i="1"/>
  <c r="CK64" i="1"/>
  <c r="CK63" i="1"/>
  <c r="CK62" i="1"/>
  <c r="CK61" i="1"/>
  <c r="CK60" i="1"/>
  <c r="CK59" i="1"/>
  <c r="CK58" i="1"/>
  <c r="CK57" i="1"/>
  <c r="CK56" i="1"/>
  <c r="CK55" i="1"/>
  <c r="CK54" i="1"/>
  <c r="CK53" i="1"/>
  <c r="CK52" i="1"/>
  <c r="CK51" i="1"/>
  <c r="CK50" i="1"/>
  <c r="CK49" i="1"/>
  <c r="CK48" i="1"/>
  <c r="CK47" i="1"/>
  <c r="CK46" i="1"/>
  <c r="CK45" i="1"/>
  <c r="CK44" i="1"/>
  <c r="CK43" i="1"/>
  <c r="CK42" i="1"/>
  <c r="CK41" i="1"/>
  <c r="CK40" i="1"/>
  <c r="CK39" i="1"/>
  <c r="CK38" i="1"/>
  <c r="CK37" i="1"/>
  <c r="CK36" i="1"/>
  <c r="CK35" i="1"/>
  <c r="CK34" i="1"/>
  <c r="CK33" i="1"/>
  <c r="CK32" i="1"/>
  <c r="CK31" i="1"/>
  <c r="CK30" i="1"/>
  <c r="CK29" i="1"/>
  <c r="CK28" i="1"/>
  <c r="CK27" i="1"/>
  <c r="CK26" i="1"/>
  <c r="CK25" i="1"/>
  <c r="CK24" i="1"/>
  <c r="CK23" i="1"/>
  <c r="CK22" i="1"/>
  <c r="CK21" i="1"/>
  <c r="CK20" i="1"/>
  <c r="CK19" i="1"/>
  <c r="CK18" i="1"/>
  <c r="CK17" i="1"/>
  <c r="CK16" i="1"/>
  <c r="CK15" i="1"/>
  <c r="CK14" i="1"/>
  <c r="CK13" i="1"/>
  <c r="CK12" i="1"/>
  <c r="CK11" i="1"/>
  <c r="CK10" i="1"/>
  <c r="CK9" i="1"/>
  <c r="CK8" i="1"/>
  <c r="CK7" i="1"/>
  <c r="CK6" i="1"/>
  <c r="CK5" i="1"/>
  <c r="CK4" i="1"/>
  <c r="CK3" i="1"/>
  <c r="CH173" i="1"/>
  <c r="CH172" i="1"/>
  <c r="CH171" i="1"/>
  <c r="CH170" i="1"/>
  <c r="CH169" i="1"/>
  <c r="CH168" i="1"/>
  <c r="CH167" i="1"/>
  <c r="CH166" i="1"/>
  <c r="CH165" i="1"/>
  <c r="CH164" i="1"/>
  <c r="CH163" i="1"/>
  <c r="CH162" i="1"/>
  <c r="CH161" i="1"/>
  <c r="CH160" i="1"/>
  <c r="CH159" i="1"/>
  <c r="CH158" i="1"/>
  <c r="CH157" i="1"/>
  <c r="CH156" i="1"/>
  <c r="CH155" i="1"/>
  <c r="CH154" i="1"/>
  <c r="CH153" i="1"/>
  <c r="CH152" i="1"/>
  <c r="CH151" i="1"/>
  <c r="CH150" i="1"/>
  <c r="CH149" i="1"/>
  <c r="CH148" i="1"/>
  <c r="CH147" i="1"/>
  <c r="CH146" i="1"/>
  <c r="CH145" i="1"/>
  <c r="CH144" i="1"/>
  <c r="CH143" i="1"/>
  <c r="CH142" i="1"/>
  <c r="CH141" i="1"/>
  <c r="CH140" i="1"/>
  <c r="CH139" i="1"/>
  <c r="CH138" i="1"/>
  <c r="CH137" i="1"/>
  <c r="CH136" i="1"/>
  <c r="CH135" i="1"/>
  <c r="CH134" i="1"/>
  <c r="CH133" i="1"/>
  <c r="CH132" i="1"/>
  <c r="CH131" i="1"/>
  <c r="CH130" i="1"/>
  <c r="CH129" i="1"/>
  <c r="CH128" i="1"/>
  <c r="CH127" i="1"/>
  <c r="CH126" i="1"/>
  <c r="CH125" i="1"/>
  <c r="CH124" i="1"/>
  <c r="CH123" i="1"/>
  <c r="CH122" i="1"/>
  <c r="CH121" i="1"/>
  <c r="CH120" i="1"/>
  <c r="CH119" i="1"/>
  <c r="CH118" i="1"/>
  <c r="CH117" i="1"/>
  <c r="CH116" i="1"/>
  <c r="CH115" i="1"/>
  <c r="CH114" i="1"/>
  <c r="CH113" i="1"/>
  <c r="CH112" i="1"/>
  <c r="CH111" i="1"/>
  <c r="CH110" i="1"/>
  <c r="CH109" i="1"/>
  <c r="CH108" i="1"/>
  <c r="CH107" i="1"/>
  <c r="CH106" i="1"/>
  <c r="CH105" i="1"/>
  <c r="CH104" i="1"/>
  <c r="CH103" i="1"/>
  <c r="CH102" i="1"/>
  <c r="CH101" i="1"/>
  <c r="CH100" i="1"/>
  <c r="CH99" i="1"/>
  <c r="CH98" i="1"/>
  <c r="CH97" i="1"/>
  <c r="CH96" i="1"/>
  <c r="CH95" i="1"/>
  <c r="CH94" i="1"/>
  <c r="CH93" i="1"/>
  <c r="CH92" i="1"/>
  <c r="CH91" i="1"/>
  <c r="CH90" i="1"/>
  <c r="CH89" i="1"/>
  <c r="CH88" i="1"/>
  <c r="CH87" i="1"/>
  <c r="CH86" i="1"/>
  <c r="CH85" i="1"/>
  <c r="CH84" i="1"/>
  <c r="CH83" i="1"/>
  <c r="CH82" i="1"/>
  <c r="CH81" i="1"/>
  <c r="CH80" i="1"/>
  <c r="CH79" i="1"/>
  <c r="CH78" i="1"/>
  <c r="CH77" i="1"/>
  <c r="CH76" i="1"/>
  <c r="CH75" i="1"/>
  <c r="CH74" i="1"/>
  <c r="CH73" i="1"/>
  <c r="CH72" i="1"/>
  <c r="CH71" i="1"/>
  <c r="CH70" i="1"/>
  <c r="CH69" i="1"/>
  <c r="CH68" i="1"/>
  <c r="CH67" i="1"/>
  <c r="CH66" i="1"/>
  <c r="CH65" i="1"/>
  <c r="CH64" i="1"/>
  <c r="CH63" i="1"/>
  <c r="CH62" i="1"/>
  <c r="CH61" i="1"/>
  <c r="CH60" i="1"/>
  <c r="CH59" i="1"/>
  <c r="CH58" i="1"/>
  <c r="CH57" i="1"/>
  <c r="CH56" i="1"/>
  <c r="CH55" i="1"/>
  <c r="CH54" i="1"/>
  <c r="CH53" i="1"/>
  <c r="CH52" i="1"/>
  <c r="CH51" i="1"/>
  <c r="CH50" i="1"/>
  <c r="CH49" i="1"/>
  <c r="CH48" i="1"/>
  <c r="CH47" i="1"/>
  <c r="CH46" i="1"/>
  <c r="CH45" i="1"/>
  <c r="CH44" i="1"/>
  <c r="CH43" i="1"/>
  <c r="CH42" i="1"/>
  <c r="CH41" i="1"/>
  <c r="CH40" i="1"/>
  <c r="CH39" i="1"/>
  <c r="CH38" i="1"/>
  <c r="CH37" i="1"/>
  <c r="CH36" i="1"/>
  <c r="CH35" i="1"/>
  <c r="CH34" i="1"/>
  <c r="CH33" i="1"/>
  <c r="CH32" i="1"/>
  <c r="CH31" i="1"/>
  <c r="CH30" i="1"/>
  <c r="CH29" i="1"/>
  <c r="CH28" i="1"/>
  <c r="CH27" i="1"/>
  <c r="CH26" i="1"/>
  <c r="CH25" i="1"/>
  <c r="CH24" i="1"/>
  <c r="CH23" i="1"/>
  <c r="CH22" i="1"/>
  <c r="CH21" i="1"/>
  <c r="CH20" i="1"/>
  <c r="CH19" i="1"/>
  <c r="CH18" i="1"/>
  <c r="CH17" i="1"/>
  <c r="CH16" i="1"/>
  <c r="CH15" i="1"/>
  <c r="CH14" i="1"/>
  <c r="CH13" i="1"/>
  <c r="CH12" i="1"/>
  <c r="CH11" i="1"/>
  <c r="CH10" i="1"/>
  <c r="CH9" i="1"/>
  <c r="CH8" i="1"/>
  <c r="CH7" i="1"/>
  <c r="CH6" i="1"/>
  <c r="CH5" i="1"/>
  <c r="CH4" i="1"/>
  <c r="CH3" i="1"/>
  <c r="CE173" i="1"/>
  <c r="CE172" i="1"/>
  <c r="CE171" i="1"/>
  <c r="CE170" i="1"/>
  <c r="CE169" i="1"/>
  <c r="CE168" i="1"/>
  <c r="CE167" i="1"/>
  <c r="CE166" i="1"/>
  <c r="CE165" i="1"/>
  <c r="CE164" i="1"/>
  <c r="CE163" i="1"/>
  <c r="CE162" i="1"/>
  <c r="CE161" i="1"/>
  <c r="CE160" i="1"/>
  <c r="CE159" i="1"/>
  <c r="CE158" i="1"/>
  <c r="CE157" i="1"/>
  <c r="CE156" i="1"/>
  <c r="CE155" i="1"/>
  <c r="CE154" i="1"/>
  <c r="CE153" i="1"/>
  <c r="CE152" i="1"/>
  <c r="CE151" i="1"/>
  <c r="CE150" i="1"/>
  <c r="CE149" i="1"/>
  <c r="CE148" i="1"/>
  <c r="CE147" i="1"/>
  <c r="CE146" i="1"/>
  <c r="CE145" i="1"/>
  <c r="CE144" i="1"/>
  <c r="CE143" i="1"/>
  <c r="CE142" i="1"/>
  <c r="CE141" i="1"/>
  <c r="CE140" i="1"/>
  <c r="CE139" i="1"/>
  <c r="CE138" i="1"/>
  <c r="CE137" i="1"/>
  <c r="CE136" i="1"/>
  <c r="CE135" i="1"/>
  <c r="CE134" i="1"/>
  <c r="CE133" i="1"/>
  <c r="CE132" i="1"/>
  <c r="CE131" i="1"/>
  <c r="CE130" i="1"/>
  <c r="CE129" i="1"/>
  <c r="CE128" i="1"/>
  <c r="CE127" i="1"/>
  <c r="CE126" i="1"/>
  <c r="CE125" i="1"/>
  <c r="CE124" i="1"/>
  <c r="CE123" i="1"/>
  <c r="CE122" i="1"/>
  <c r="CE121" i="1"/>
  <c r="CE120" i="1"/>
  <c r="CE119" i="1"/>
  <c r="CE118" i="1"/>
  <c r="CE117" i="1"/>
  <c r="CE116" i="1"/>
  <c r="CE115" i="1"/>
  <c r="CE114" i="1"/>
  <c r="CE113" i="1"/>
  <c r="CE112" i="1"/>
  <c r="CE111" i="1"/>
  <c r="CE110" i="1"/>
  <c r="CE109" i="1"/>
  <c r="CE108" i="1"/>
  <c r="CE107" i="1"/>
  <c r="CE106" i="1"/>
  <c r="CE105" i="1"/>
  <c r="CE104" i="1"/>
  <c r="CE103" i="1"/>
  <c r="CE102" i="1"/>
  <c r="CE101" i="1"/>
  <c r="CE100" i="1"/>
  <c r="CE99" i="1"/>
  <c r="CE98" i="1"/>
  <c r="CE97" i="1"/>
  <c r="CE96" i="1"/>
  <c r="CE95" i="1"/>
  <c r="CE94" i="1"/>
  <c r="CE93" i="1"/>
  <c r="CE92" i="1"/>
  <c r="CE91" i="1"/>
  <c r="CE90" i="1"/>
  <c r="CE89" i="1"/>
  <c r="CE88" i="1"/>
  <c r="CE87" i="1"/>
  <c r="CE86" i="1"/>
  <c r="CE85" i="1"/>
  <c r="CE84" i="1"/>
  <c r="CE83" i="1"/>
  <c r="CE82" i="1"/>
  <c r="CE81" i="1"/>
  <c r="CE80" i="1"/>
  <c r="CE79" i="1"/>
  <c r="CE78" i="1"/>
  <c r="CE77" i="1"/>
  <c r="CE76" i="1"/>
  <c r="CE75" i="1"/>
  <c r="CE74" i="1"/>
  <c r="CE73" i="1"/>
  <c r="CE72" i="1"/>
  <c r="CE71" i="1"/>
  <c r="CE70" i="1"/>
  <c r="CE69" i="1"/>
  <c r="CE68" i="1"/>
  <c r="CE67" i="1"/>
  <c r="CE66" i="1"/>
  <c r="CE65" i="1"/>
  <c r="CE64" i="1"/>
  <c r="CE63" i="1"/>
  <c r="CE62" i="1"/>
  <c r="CE61" i="1"/>
  <c r="CE60" i="1"/>
  <c r="CE59" i="1"/>
  <c r="CE58" i="1"/>
  <c r="CE57" i="1"/>
  <c r="CE56" i="1"/>
  <c r="CE55" i="1"/>
  <c r="CE54" i="1"/>
  <c r="CE53" i="1"/>
  <c r="CE52" i="1"/>
  <c r="CE51" i="1"/>
  <c r="CE50" i="1"/>
  <c r="CE49" i="1"/>
  <c r="CE48" i="1"/>
  <c r="CE47" i="1"/>
  <c r="CE46" i="1"/>
  <c r="CE45" i="1"/>
  <c r="CE44" i="1"/>
  <c r="CE43" i="1"/>
  <c r="CE42" i="1"/>
  <c r="CE41" i="1"/>
  <c r="CE40" i="1"/>
  <c r="CE39" i="1"/>
  <c r="CE38" i="1"/>
  <c r="CE37" i="1"/>
  <c r="CE36" i="1"/>
  <c r="CE35" i="1"/>
  <c r="CE34" i="1"/>
  <c r="CE33" i="1"/>
  <c r="CE32" i="1"/>
  <c r="CE31" i="1"/>
  <c r="CE30" i="1"/>
  <c r="CE29" i="1"/>
  <c r="CE28" i="1"/>
  <c r="CE27" i="1"/>
  <c r="CE26" i="1"/>
  <c r="CE25" i="1"/>
  <c r="CE24" i="1"/>
  <c r="CE23" i="1"/>
  <c r="CE22" i="1"/>
  <c r="CE21" i="1"/>
  <c r="CE20" i="1"/>
  <c r="CE19" i="1"/>
  <c r="CE18" i="1"/>
  <c r="CE17" i="1"/>
  <c r="CE16" i="1"/>
  <c r="CE15" i="1"/>
  <c r="CE14" i="1"/>
  <c r="CE13" i="1"/>
  <c r="CE12" i="1"/>
  <c r="CE11" i="1"/>
  <c r="CE10" i="1"/>
  <c r="CE9" i="1"/>
  <c r="CE8" i="1"/>
  <c r="CE7" i="1"/>
  <c r="CE6" i="1"/>
  <c r="CE5" i="1"/>
  <c r="CE4" i="1"/>
  <c r="CE3" i="1"/>
  <c r="CB173" i="1"/>
  <c r="CB172" i="1"/>
  <c r="CB171" i="1"/>
  <c r="CB170" i="1"/>
  <c r="CB169" i="1"/>
  <c r="CB168" i="1"/>
  <c r="CB167" i="1"/>
  <c r="CB166" i="1"/>
  <c r="CB165" i="1"/>
  <c r="CB164" i="1"/>
  <c r="CB163" i="1"/>
  <c r="CB162" i="1"/>
  <c r="CB161" i="1"/>
  <c r="CB160" i="1"/>
  <c r="CB159" i="1"/>
  <c r="CB158" i="1"/>
  <c r="CB157" i="1"/>
  <c r="CB156" i="1"/>
  <c r="CB155" i="1"/>
  <c r="CB154" i="1"/>
  <c r="CB153" i="1"/>
  <c r="CB152" i="1"/>
  <c r="CB151" i="1"/>
  <c r="CB150" i="1"/>
  <c r="CB149" i="1"/>
  <c r="CB148" i="1"/>
  <c r="CB147" i="1"/>
  <c r="CB146" i="1"/>
  <c r="CB145" i="1"/>
  <c r="CB144" i="1"/>
  <c r="CB143" i="1"/>
  <c r="CB142" i="1"/>
  <c r="CB141" i="1"/>
  <c r="CB140" i="1"/>
  <c r="CB139" i="1"/>
  <c r="CB138" i="1"/>
  <c r="CB137" i="1"/>
  <c r="CB136" i="1"/>
  <c r="CB135" i="1"/>
  <c r="CB134" i="1"/>
  <c r="CB133" i="1"/>
  <c r="CB132" i="1"/>
  <c r="CB131" i="1"/>
  <c r="CB130" i="1"/>
  <c r="CB129" i="1"/>
  <c r="CB128" i="1"/>
  <c r="CB127" i="1"/>
  <c r="CB126" i="1"/>
  <c r="CB125" i="1"/>
  <c r="CB124" i="1"/>
  <c r="CB123" i="1"/>
  <c r="CB122" i="1"/>
  <c r="CB121" i="1"/>
  <c r="CB120" i="1"/>
  <c r="CB119" i="1"/>
  <c r="CB118" i="1"/>
  <c r="CB117" i="1"/>
  <c r="CB116" i="1"/>
  <c r="CB115" i="1"/>
  <c r="CB114" i="1"/>
  <c r="CB113" i="1"/>
  <c r="CB112" i="1"/>
  <c r="CB111" i="1"/>
  <c r="CB110" i="1"/>
  <c r="CB109" i="1"/>
  <c r="CB108" i="1"/>
  <c r="CB107" i="1"/>
  <c r="CB106" i="1"/>
  <c r="CB105" i="1"/>
  <c r="CB104" i="1"/>
  <c r="CB103" i="1"/>
  <c r="CB102" i="1"/>
  <c r="CB101" i="1"/>
  <c r="CB100" i="1"/>
  <c r="CB99" i="1"/>
  <c r="CB98" i="1"/>
  <c r="CB97" i="1"/>
  <c r="CB96" i="1"/>
  <c r="CB95" i="1"/>
  <c r="CB94" i="1"/>
  <c r="CB93" i="1"/>
  <c r="CB92" i="1"/>
  <c r="CB91" i="1"/>
  <c r="CB90" i="1"/>
  <c r="CB89" i="1"/>
  <c r="CB88" i="1"/>
  <c r="CB87" i="1"/>
  <c r="CB86" i="1"/>
  <c r="CB85" i="1"/>
  <c r="CB84" i="1"/>
  <c r="CB83" i="1"/>
  <c r="CB82" i="1"/>
  <c r="CB81" i="1"/>
  <c r="CB80" i="1"/>
  <c r="CB79" i="1"/>
  <c r="CB78" i="1"/>
  <c r="CB77" i="1"/>
  <c r="CB76" i="1"/>
  <c r="CB75" i="1"/>
  <c r="CB74" i="1"/>
  <c r="CB73" i="1"/>
  <c r="CB72" i="1"/>
  <c r="CB71" i="1"/>
  <c r="CB70" i="1"/>
  <c r="CB69" i="1"/>
  <c r="CB68" i="1"/>
  <c r="CB67" i="1"/>
  <c r="CB66" i="1"/>
  <c r="CB65" i="1"/>
  <c r="CB64" i="1"/>
  <c r="CB63" i="1"/>
  <c r="CB62" i="1"/>
  <c r="CB61" i="1"/>
  <c r="CB60" i="1"/>
  <c r="CB59" i="1"/>
  <c r="CB58" i="1"/>
  <c r="CB57" i="1"/>
  <c r="CB56" i="1"/>
  <c r="CB55" i="1"/>
  <c r="CB54" i="1"/>
  <c r="CB53" i="1"/>
  <c r="CB52" i="1"/>
  <c r="CB51" i="1"/>
  <c r="CB50" i="1"/>
  <c r="CB49" i="1"/>
  <c r="CB48" i="1"/>
  <c r="CB47" i="1"/>
  <c r="CB46" i="1"/>
  <c r="CB45" i="1"/>
  <c r="CB44" i="1"/>
  <c r="CB43" i="1"/>
  <c r="CB42" i="1"/>
  <c r="CB41" i="1"/>
  <c r="CB40" i="1"/>
  <c r="CB39" i="1"/>
  <c r="CB38" i="1"/>
  <c r="CB37" i="1"/>
  <c r="CB36" i="1"/>
  <c r="CB35" i="1"/>
  <c r="CB34" i="1"/>
  <c r="CB33" i="1"/>
  <c r="CB32" i="1"/>
  <c r="CB31" i="1"/>
  <c r="CB30" i="1"/>
  <c r="CB29" i="1"/>
  <c r="CB28" i="1"/>
  <c r="CB27" i="1"/>
  <c r="CB26" i="1"/>
  <c r="CB25" i="1"/>
  <c r="CB24" i="1"/>
  <c r="CB23" i="1"/>
  <c r="CB22" i="1"/>
  <c r="CB21" i="1"/>
  <c r="CB20" i="1"/>
  <c r="CB19" i="1"/>
  <c r="CB18" i="1"/>
  <c r="CB17" i="1"/>
  <c r="CB16" i="1"/>
  <c r="CB15" i="1"/>
  <c r="CB14" i="1"/>
  <c r="CB13" i="1"/>
  <c r="CB12" i="1"/>
  <c r="CB11" i="1"/>
  <c r="CB10" i="1"/>
  <c r="CB9" i="1"/>
  <c r="CB8" i="1"/>
  <c r="CB7" i="1"/>
  <c r="CB6" i="1"/>
  <c r="CB5" i="1"/>
  <c r="CB4" i="1"/>
  <c r="CB3" i="1"/>
  <c r="BY173" i="1"/>
  <c r="BY172" i="1"/>
  <c r="BY171" i="1"/>
  <c r="BY170" i="1"/>
  <c r="BY169" i="1"/>
  <c r="BY168" i="1"/>
  <c r="BY167" i="1"/>
  <c r="BY166" i="1"/>
  <c r="BY165" i="1"/>
  <c r="BY164" i="1"/>
  <c r="BY163" i="1"/>
  <c r="BY162" i="1"/>
  <c r="BY161" i="1"/>
  <c r="BY160" i="1"/>
  <c r="BY159" i="1"/>
  <c r="BY158" i="1"/>
  <c r="BY157" i="1"/>
  <c r="BY156" i="1"/>
  <c r="BY155" i="1"/>
  <c r="BY154" i="1"/>
  <c r="BY153" i="1"/>
  <c r="BY152" i="1"/>
  <c r="BY151" i="1"/>
  <c r="BY150" i="1"/>
  <c r="BY149" i="1"/>
  <c r="BY148" i="1"/>
  <c r="BY147" i="1"/>
  <c r="BY146" i="1"/>
  <c r="BY145" i="1"/>
  <c r="BY144" i="1"/>
  <c r="BY143" i="1"/>
  <c r="BY142" i="1"/>
  <c r="BY141" i="1"/>
  <c r="BY140" i="1"/>
  <c r="BY139" i="1"/>
  <c r="BY138" i="1"/>
  <c r="BY137" i="1"/>
  <c r="BY136" i="1"/>
  <c r="BY135" i="1"/>
  <c r="BY134" i="1"/>
  <c r="BY133" i="1"/>
  <c r="BY132" i="1"/>
  <c r="BY131" i="1"/>
  <c r="BY130" i="1"/>
  <c r="BY129" i="1"/>
  <c r="BY128" i="1"/>
  <c r="BY127" i="1"/>
  <c r="BY126" i="1"/>
  <c r="BY125" i="1"/>
  <c r="BY124" i="1"/>
  <c r="BY123" i="1"/>
  <c r="BY122" i="1"/>
  <c r="BY121" i="1"/>
  <c r="BY120" i="1"/>
  <c r="BY119" i="1"/>
  <c r="BY118" i="1"/>
  <c r="BY117" i="1"/>
  <c r="BY116" i="1"/>
  <c r="BY115" i="1"/>
  <c r="BY114" i="1"/>
  <c r="BY113" i="1"/>
  <c r="BY112" i="1"/>
  <c r="BY111" i="1"/>
  <c r="BY110" i="1"/>
  <c r="BY109" i="1"/>
  <c r="BY108" i="1"/>
  <c r="BY107" i="1"/>
  <c r="BY106" i="1"/>
  <c r="BY105" i="1"/>
  <c r="BY104" i="1"/>
  <c r="BY103" i="1"/>
  <c r="BY102" i="1"/>
  <c r="BY101" i="1"/>
  <c r="BY100" i="1"/>
  <c r="BY99" i="1"/>
  <c r="BY98" i="1"/>
  <c r="BY97" i="1"/>
  <c r="BY96" i="1"/>
  <c r="BY95" i="1"/>
  <c r="BY94" i="1"/>
  <c r="BY93" i="1"/>
  <c r="BY92" i="1"/>
  <c r="BY91" i="1"/>
  <c r="BY90" i="1"/>
  <c r="BY89" i="1"/>
  <c r="BY88" i="1"/>
  <c r="BY87" i="1"/>
  <c r="BY86" i="1"/>
  <c r="BY85" i="1"/>
  <c r="BY84" i="1"/>
  <c r="BY83" i="1"/>
  <c r="BY82" i="1"/>
  <c r="BY81" i="1"/>
  <c r="BY80" i="1"/>
  <c r="BY79" i="1"/>
  <c r="BY78" i="1"/>
  <c r="BY77" i="1"/>
  <c r="BY76" i="1"/>
  <c r="BY75" i="1"/>
  <c r="BY74" i="1"/>
  <c r="BY73" i="1"/>
  <c r="BY72" i="1"/>
  <c r="BY71" i="1"/>
  <c r="BY70" i="1"/>
  <c r="BY69" i="1"/>
  <c r="BY68" i="1"/>
  <c r="BY67" i="1"/>
  <c r="BY66" i="1"/>
  <c r="BY65" i="1"/>
  <c r="BY64" i="1"/>
  <c r="BY63" i="1"/>
  <c r="BY62" i="1"/>
  <c r="BY61" i="1"/>
  <c r="BY60" i="1"/>
  <c r="BY59" i="1"/>
  <c r="BY58" i="1"/>
  <c r="BY57" i="1"/>
  <c r="BY56" i="1"/>
  <c r="BY55" i="1"/>
  <c r="BY54" i="1"/>
  <c r="BY53" i="1"/>
  <c r="BY52" i="1"/>
  <c r="BY51" i="1"/>
  <c r="BY50" i="1"/>
  <c r="BY49" i="1"/>
  <c r="BY48" i="1"/>
  <c r="BY47" i="1"/>
  <c r="BY46" i="1"/>
  <c r="BY45" i="1"/>
  <c r="BY44" i="1"/>
  <c r="BY43" i="1"/>
  <c r="BY42" i="1"/>
  <c r="BY41" i="1"/>
  <c r="BY40" i="1"/>
  <c r="BY39" i="1"/>
  <c r="BY38" i="1"/>
  <c r="BY37" i="1"/>
  <c r="BY36" i="1"/>
  <c r="BY35" i="1"/>
  <c r="BY34" i="1"/>
  <c r="BY33" i="1"/>
  <c r="BY32" i="1"/>
  <c r="BY31" i="1"/>
  <c r="BY30" i="1"/>
  <c r="BY29" i="1"/>
  <c r="BY28" i="1"/>
  <c r="BY27" i="1"/>
  <c r="BY26" i="1"/>
  <c r="BY25" i="1"/>
  <c r="BY24" i="1"/>
  <c r="BY23" i="1"/>
  <c r="BY22" i="1"/>
  <c r="BY21" i="1"/>
  <c r="BY20" i="1"/>
  <c r="BY19" i="1"/>
  <c r="BY18" i="1"/>
  <c r="BY17" i="1"/>
  <c r="BY16" i="1"/>
  <c r="BY15" i="1"/>
  <c r="BY14" i="1"/>
  <c r="BY13" i="1"/>
  <c r="BY12" i="1"/>
  <c r="BY11" i="1"/>
  <c r="BY9" i="1"/>
  <c r="BY8" i="1"/>
  <c r="BY7" i="1"/>
  <c r="BY6" i="1"/>
  <c r="BY5" i="1"/>
  <c r="BY4" i="1"/>
  <c r="BY3" i="1"/>
  <c r="BU173" i="1"/>
  <c r="BU172" i="1"/>
  <c r="BU171" i="1"/>
  <c r="BU170" i="1"/>
  <c r="BU169" i="1"/>
  <c r="BU167" i="1"/>
  <c r="BU166" i="1"/>
  <c r="BU165" i="1"/>
  <c r="BU164" i="1"/>
  <c r="BU163" i="1"/>
  <c r="BU162" i="1"/>
  <c r="BU161" i="1"/>
  <c r="BU160" i="1"/>
  <c r="BU159" i="1"/>
  <c r="BU158" i="1"/>
  <c r="BU157" i="1"/>
  <c r="BU156" i="1"/>
  <c r="BU155" i="1"/>
  <c r="BU154" i="1"/>
  <c r="BU153" i="1"/>
  <c r="BU152" i="1"/>
  <c r="BU151" i="1"/>
  <c r="BU150" i="1"/>
  <c r="BU149" i="1"/>
  <c r="BU148" i="1"/>
  <c r="BU147" i="1"/>
  <c r="BU146" i="1"/>
  <c r="BU145" i="1"/>
  <c r="BU144" i="1"/>
  <c r="BU143" i="1"/>
  <c r="BU142" i="1"/>
  <c r="BU141" i="1"/>
  <c r="BU139" i="1"/>
  <c r="BU138" i="1"/>
  <c r="BU137" i="1"/>
  <c r="BU136" i="1"/>
  <c r="BU135" i="1"/>
  <c r="BU134" i="1"/>
  <c r="BU133" i="1"/>
  <c r="BU132" i="1"/>
  <c r="BU131" i="1"/>
  <c r="BU130" i="1"/>
  <c r="BU129" i="1"/>
  <c r="BU128" i="1"/>
  <c r="BU124" i="1"/>
  <c r="BU123" i="1"/>
  <c r="BU122" i="1"/>
  <c r="BU118" i="1"/>
  <c r="BU117" i="1"/>
  <c r="BU116" i="1"/>
  <c r="BU114" i="1"/>
  <c r="BU113" i="1"/>
  <c r="BU112" i="1"/>
  <c r="BU111" i="1"/>
  <c r="BU110" i="1"/>
  <c r="BU109" i="1"/>
  <c r="BU108" i="1"/>
  <c r="BU106" i="1"/>
  <c r="BU105" i="1"/>
  <c r="BU104" i="1"/>
  <c r="BU103" i="1"/>
  <c r="BU100" i="1"/>
  <c r="BU99" i="1"/>
  <c r="BU98" i="1"/>
  <c r="BU97" i="1"/>
  <c r="BU96" i="1"/>
  <c r="BU95" i="1"/>
  <c r="BU94" i="1"/>
  <c r="BU93" i="1"/>
  <c r="BU92" i="1"/>
  <c r="BU91" i="1"/>
  <c r="BU90" i="1"/>
  <c r="BU89" i="1"/>
  <c r="BU88" i="1"/>
  <c r="BU86" i="1"/>
  <c r="BU85" i="1"/>
  <c r="BU84" i="1"/>
  <c r="BU82" i="1"/>
  <c r="BU81" i="1"/>
  <c r="BU80" i="1"/>
  <c r="BU79" i="1"/>
  <c r="BU78" i="1"/>
  <c r="BU77" i="1"/>
  <c r="BU76" i="1"/>
  <c r="BU75" i="1"/>
  <c r="BU74" i="1"/>
  <c r="BU73" i="1"/>
  <c r="BU72" i="1"/>
  <c r="BU71" i="1"/>
  <c r="BU70" i="1"/>
  <c r="BU69" i="1"/>
  <c r="BU68" i="1"/>
  <c r="BU67" i="1"/>
  <c r="BU66" i="1"/>
  <c r="BU65" i="1"/>
  <c r="BU64" i="1"/>
  <c r="BU63" i="1"/>
  <c r="BU62" i="1"/>
  <c r="BU61" i="1"/>
  <c r="BU60" i="1"/>
  <c r="BU59" i="1"/>
  <c r="BU58" i="1"/>
  <c r="BU57" i="1"/>
  <c r="BU56" i="1"/>
  <c r="BU55" i="1"/>
  <c r="BU54" i="1"/>
  <c r="BU53" i="1"/>
  <c r="BU52" i="1"/>
  <c r="BU51" i="1"/>
  <c r="BU50" i="1"/>
  <c r="BU49" i="1"/>
  <c r="BU48" i="1"/>
  <c r="BU47" i="1"/>
  <c r="BU46" i="1"/>
  <c r="BU45" i="1"/>
  <c r="BU44" i="1"/>
  <c r="BU43" i="1"/>
  <c r="BU42" i="1"/>
  <c r="BU41" i="1"/>
  <c r="BU40" i="1"/>
  <c r="BU39" i="1"/>
  <c r="BU38" i="1"/>
  <c r="BU37" i="1"/>
  <c r="BU36" i="1"/>
  <c r="BU35" i="1"/>
  <c r="BU34" i="1"/>
  <c r="BU33" i="1"/>
  <c r="BU32" i="1"/>
  <c r="BU31" i="1"/>
  <c r="BU30" i="1"/>
  <c r="BU29" i="1"/>
  <c r="BU28" i="1"/>
  <c r="BU27" i="1"/>
  <c r="BU26" i="1"/>
  <c r="BU25" i="1"/>
  <c r="BU24" i="1"/>
  <c r="BU23" i="1"/>
  <c r="BU22" i="1"/>
  <c r="BU21" i="1"/>
  <c r="BU20" i="1"/>
  <c r="BU19" i="1"/>
  <c r="BU17" i="1"/>
  <c r="BU16" i="1"/>
  <c r="BU15" i="1"/>
  <c r="BU14" i="1"/>
  <c r="BU13" i="1"/>
  <c r="BU12" i="1"/>
  <c r="BU11" i="1"/>
  <c r="BU9" i="1"/>
  <c r="BU8" i="1"/>
  <c r="BU7" i="1"/>
  <c r="BU6" i="1"/>
  <c r="BU5" i="1"/>
  <c r="BU3" i="1"/>
  <c r="BR173" i="1"/>
  <c r="BR172" i="1"/>
  <c r="BR171" i="1"/>
  <c r="BR170" i="1"/>
  <c r="BR169" i="1"/>
  <c r="BR167" i="1"/>
  <c r="BR166" i="1"/>
  <c r="BR165" i="1"/>
  <c r="BR164" i="1"/>
  <c r="BR163" i="1"/>
  <c r="BR162" i="1"/>
  <c r="BR161" i="1"/>
  <c r="BR160" i="1"/>
  <c r="BR159" i="1"/>
  <c r="BR158" i="1"/>
  <c r="BR157" i="1"/>
  <c r="BR156" i="1"/>
  <c r="BR155" i="1"/>
  <c r="BR154" i="1"/>
  <c r="BR153" i="1"/>
  <c r="BR152" i="1"/>
  <c r="BR151" i="1"/>
  <c r="BR150" i="1"/>
  <c r="BR149" i="1"/>
  <c r="BR148" i="1"/>
  <c r="BR147" i="1"/>
  <c r="BR146" i="1"/>
  <c r="BR145" i="1"/>
  <c r="BR144" i="1"/>
  <c r="BR143" i="1"/>
  <c r="BR142" i="1"/>
  <c r="BR141" i="1"/>
  <c r="BR139" i="1"/>
  <c r="BR138" i="1"/>
  <c r="BR137" i="1"/>
  <c r="BR136" i="1"/>
  <c r="BR135" i="1"/>
  <c r="BR134" i="1"/>
  <c r="BR133" i="1"/>
  <c r="BR132" i="1"/>
  <c r="BR131" i="1"/>
  <c r="BR130" i="1"/>
  <c r="BR129" i="1"/>
  <c r="BR128" i="1"/>
  <c r="BR124" i="1"/>
  <c r="BR123" i="1"/>
  <c r="BR122" i="1"/>
  <c r="BR118" i="1"/>
  <c r="BR117" i="1"/>
  <c r="BR116" i="1"/>
  <c r="BR114" i="1"/>
  <c r="BR113" i="1"/>
  <c r="BR112" i="1"/>
  <c r="BR111" i="1"/>
  <c r="BR110" i="1"/>
  <c r="BR109" i="1"/>
  <c r="BR108" i="1"/>
  <c r="BR106" i="1"/>
  <c r="BR105" i="1"/>
  <c r="BR104" i="1"/>
  <c r="BR103" i="1"/>
  <c r="BR100" i="1"/>
  <c r="BR99" i="1"/>
  <c r="BR98" i="1"/>
  <c r="BR97" i="1"/>
  <c r="BR96" i="1"/>
  <c r="BR95" i="1"/>
  <c r="BR94" i="1"/>
  <c r="BR93" i="1"/>
  <c r="BR92" i="1"/>
  <c r="BR91" i="1"/>
  <c r="BR89" i="1"/>
  <c r="BR88" i="1"/>
  <c r="BR86" i="1"/>
  <c r="BR85" i="1"/>
  <c r="BR84" i="1"/>
  <c r="BR82" i="1"/>
  <c r="BR81" i="1"/>
  <c r="BR80" i="1"/>
  <c r="BR79" i="1"/>
  <c r="BR78" i="1"/>
  <c r="BR77" i="1"/>
  <c r="BR76" i="1"/>
  <c r="BR75" i="1"/>
  <c r="BR74" i="1"/>
  <c r="BR73" i="1"/>
  <c r="BR72" i="1"/>
  <c r="BR71" i="1"/>
  <c r="BR70" i="1"/>
  <c r="BR69" i="1"/>
  <c r="BR68" i="1"/>
  <c r="BR67" i="1"/>
  <c r="BR66" i="1"/>
  <c r="BR63" i="1"/>
  <c r="BR62" i="1"/>
  <c r="BR61" i="1"/>
  <c r="BR60" i="1"/>
  <c r="BR59" i="1"/>
  <c r="BR58" i="1"/>
  <c r="BR57" i="1"/>
  <c r="BR56" i="1"/>
  <c r="BR55" i="1"/>
  <c r="BR54" i="1"/>
  <c r="BR53" i="1"/>
  <c r="BR52" i="1"/>
  <c r="BR51" i="1"/>
  <c r="BR50" i="1"/>
  <c r="BR49" i="1"/>
  <c r="BR47" i="1"/>
  <c r="BR46" i="1"/>
  <c r="BR45" i="1"/>
  <c r="BR44" i="1"/>
  <c r="BR43" i="1"/>
  <c r="BR42" i="1"/>
  <c r="BR41" i="1"/>
  <c r="BR40" i="1"/>
  <c r="BR39" i="1"/>
  <c r="BR38" i="1"/>
  <c r="BR37" i="1"/>
  <c r="BR36" i="1"/>
  <c r="BR35" i="1"/>
  <c r="BR34" i="1"/>
  <c r="BR33" i="1"/>
  <c r="BR32" i="1"/>
  <c r="BR31" i="1"/>
  <c r="BR30" i="1"/>
  <c r="BR29" i="1"/>
  <c r="BR28" i="1"/>
  <c r="BR27" i="1"/>
  <c r="BR26" i="1"/>
  <c r="BR25" i="1"/>
  <c r="BR24" i="1"/>
  <c r="BR23" i="1"/>
  <c r="BR22" i="1"/>
  <c r="BR21" i="1"/>
  <c r="BR20" i="1"/>
  <c r="BR19" i="1"/>
  <c r="BR17" i="1"/>
  <c r="BR15" i="1"/>
  <c r="BR14" i="1"/>
  <c r="BR13" i="1"/>
  <c r="BR12" i="1"/>
  <c r="BR11" i="1"/>
  <c r="BR9" i="1"/>
  <c r="BR8" i="1"/>
  <c r="BR7" i="1"/>
  <c r="BR6" i="1"/>
  <c r="BR5" i="1"/>
  <c r="BR4" i="1"/>
  <c r="BR3" i="1"/>
  <c r="BO173" i="1"/>
  <c r="BO172" i="1"/>
  <c r="BO171" i="1"/>
  <c r="BO170" i="1"/>
  <c r="BO169" i="1"/>
  <c r="BO167" i="1"/>
  <c r="BO166" i="1"/>
  <c r="BO165" i="1"/>
  <c r="BO164" i="1"/>
  <c r="BO163" i="1"/>
  <c r="BO162" i="1"/>
  <c r="BO161" i="1"/>
  <c r="BO160" i="1"/>
  <c r="BO159" i="1"/>
  <c r="BO158" i="1"/>
  <c r="BO157" i="1"/>
  <c r="BO156" i="1"/>
  <c r="BO155" i="1"/>
  <c r="BO154" i="1"/>
  <c r="BO153" i="1"/>
  <c r="BO152" i="1"/>
  <c r="BO151" i="1"/>
  <c r="BO150" i="1"/>
  <c r="BO149" i="1"/>
  <c r="BO148" i="1"/>
  <c r="BO147" i="1"/>
  <c r="BO146" i="1"/>
  <c r="BO145" i="1"/>
  <c r="BO144" i="1"/>
  <c r="BO143" i="1"/>
  <c r="BO142" i="1"/>
  <c r="BO141" i="1"/>
  <c r="BO139" i="1"/>
  <c r="BO138" i="1"/>
  <c r="BO137" i="1"/>
  <c r="BO136" i="1"/>
  <c r="BO135" i="1"/>
  <c r="BO134" i="1"/>
  <c r="BO133" i="1"/>
  <c r="BO132" i="1"/>
  <c r="BO131" i="1"/>
  <c r="BO130" i="1"/>
  <c r="BO129" i="1"/>
  <c r="BO128" i="1"/>
  <c r="BO124" i="1"/>
  <c r="BO123" i="1"/>
  <c r="BO122" i="1"/>
  <c r="BO118" i="1"/>
  <c r="BO117" i="1"/>
  <c r="BO116" i="1"/>
  <c r="BO114" i="1"/>
  <c r="BO113" i="1"/>
  <c r="BO112" i="1"/>
  <c r="BO111" i="1"/>
  <c r="BO110" i="1"/>
  <c r="BO109" i="1"/>
  <c r="BO108" i="1"/>
  <c r="BO106" i="1"/>
  <c r="BO105" i="1"/>
  <c r="BO104" i="1"/>
  <c r="BO103" i="1"/>
  <c r="BO100" i="1"/>
  <c r="BO99" i="1"/>
  <c r="BO98" i="1"/>
  <c r="BO96" i="1"/>
  <c r="BO95" i="1"/>
  <c r="BO94" i="1"/>
  <c r="BO93" i="1"/>
  <c r="BO92" i="1"/>
  <c r="BO91" i="1"/>
  <c r="BO89" i="1"/>
  <c r="BO88" i="1"/>
  <c r="BO86" i="1"/>
  <c r="BO85" i="1"/>
  <c r="BO84" i="1"/>
  <c r="BO82" i="1"/>
  <c r="BO81" i="1"/>
  <c r="BO80" i="1"/>
  <c r="BO79" i="1"/>
  <c r="BO78" i="1"/>
  <c r="BO77" i="1"/>
  <c r="BO76" i="1"/>
  <c r="BO75" i="1"/>
  <c r="BO74" i="1"/>
  <c r="BO73" i="1"/>
  <c r="BO72" i="1"/>
  <c r="BO71" i="1"/>
  <c r="BO70" i="1"/>
  <c r="BO69" i="1"/>
  <c r="BO68" i="1"/>
  <c r="BO67" i="1"/>
  <c r="BO66" i="1"/>
  <c r="BO65" i="1"/>
  <c r="BO64" i="1"/>
  <c r="BO63" i="1"/>
  <c r="BO62" i="1"/>
  <c r="BO61" i="1"/>
  <c r="BO60" i="1"/>
  <c r="BO59" i="1"/>
  <c r="BO58" i="1"/>
  <c r="BO57" i="1"/>
  <c r="BO56" i="1"/>
  <c r="BO55" i="1"/>
  <c r="BO54" i="1"/>
  <c r="BO53" i="1"/>
  <c r="BO52" i="1"/>
  <c r="BO51" i="1"/>
  <c r="BO49" i="1"/>
  <c r="BO47" i="1"/>
  <c r="BO46" i="1"/>
  <c r="BO45" i="1"/>
  <c r="BO44" i="1"/>
  <c r="BO43" i="1"/>
  <c r="BO42" i="1"/>
  <c r="BO41" i="1"/>
  <c r="BO40" i="1"/>
  <c r="BO39" i="1"/>
  <c r="BO38" i="1"/>
  <c r="BO37" i="1"/>
  <c r="BO36" i="1"/>
  <c r="BO35" i="1"/>
  <c r="BO34" i="1"/>
  <c r="BO33" i="1"/>
  <c r="BO32" i="1"/>
  <c r="BO31" i="1"/>
  <c r="BO30" i="1"/>
  <c r="BO29" i="1"/>
  <c r="BO28" i="1"/>
  <c r="BO27" i="1"/>
  <c r="BO26" i="1"/>
  <c r="BO25" i="1"/>
  <c r="BO24" i="1"/>
  <c r="BO23" i="1"/>
  <c r="BO22" i="1"/>
  <c r="BO21" i="1"/>
  <c r="BO20" i="1"/>
  <c r="BO19" i="1"/>
  <c r="BO17" i="1"/>
  <c r="BO15" i="1"/>
  <c r="BO14" i="1"/>
  <c r="BO13" i="1"/>
  <c r="BO12" i="1"/>
  <c r="BO11" i="1"/>
  <c r="BO9" i="1"/>
  <c r="BO8" i="1"/>
  <c r="BO7" i="1"/>
  <c r="BO6" i="1"/>
  <c r="BO5" i="1"/>
  <c r="BO4" i="1"/>
  <c r="BO3" i="1"/>
  <c r="BL173" i="1"/>
  <c r="BL172" i="1"/>
  <c r="BL171" i="1"/>
  <c r="BL170" i="1"/>
  <c r="BL169" i="1"/>
  <c r="BL168" i="1"/>
  <c r="BL167" i="1"/>
  <c r="BL166" i="1"/>
  <c r="BL165" i="1"/>
  <c r="BL164" i="1"/>
  <c r="BL163" i="1"/>
  <c r="BL162" i="1"/>
  <c r="BL161" i="1"/>
  <c r="BL160" i="1"/>
  <c r="BL159" i="1"/>
  <c r="BL158" i="1"/>
  <c r="BL157" i="1"/>
  <c r="BL156" i="1"/>
  <c r="BL155" i="1"/>
  <c r="BL154" i="1"/>
  <c r="BL153" i="1"/>
  <c r="BL152" i="1"/>
  <c r="BL151" i="1"/>
  <c r="BL150" i="1"/>
  <c r="BL149" i="1"/>
  <c r="BL148" i="1"/>
  <c r="BL147" i="1"/>
  <c r="BL146" i="1"/>
  <c r="BL145" i="1"/>
  <c r="BL142" i="1"/>
  <c r="BL141" i="1"/>
  <c r="BL140" i="1"/>
  <c r="BL139" i="1"/>
  <c r="BL138" i="1"/>
  <c r="BL137" i="1"/>
  <c r="BL136" i="1"/>
  <c r="BL135" i="1"/>
  <c r="BL134" i="1"/>
  <c r="BL133" i="1"/>
  <c r="BL132" i="1"/>
  <c r="BL131" i="1"/>
  <c r="BL130" i="1"/>
  <c r="BL129" i="1"/>
  <c r="BL128" i="1"/>
  <c r="BL127" i="1"/>
  <c r="BL126" i="1"/>
  <c r="BL125" i="1"/>
  <c r="BL124" i="1"/>
  <c r="BL123" i="1"/>
  <c r="BL122" i="1"/>
  <c r="BL121" i="1"/>
  <c r="BL120" i="1"/>
  <c r="BL119" i="1"/>
  <c r="BL118" i="1"/>
  <c r="BL117" i="1"/>
  <c r="BL116" i="1"/>
  <c r="BL114" i="1"/>
  <c r="BL113" i="1"/>
  <c r="BL112" i="1"/>
  <c r="BL111" i="1"/>
  <c r="BL110" i="1"/>
  <c r="BL109" i="1"/>
  <c r="BL108" i="1"/>
  <c r="BL107" i="1"/>
  <c r="BL106" i="1"/>
  <c r="BL105" i="1"/>
  <c r="BL104" i="1"/>
  <c r="BL103" i="1"/>
  <c r="BL102" i="1"/>
  <c r="BL101" i="1"/>
  <c r="BL100" i="1"/>
  <c r="BL99" i="1"/>
  <c r="BL98" i="1"/>
  <c r="BL97" i="1"/>
  <c r="BL96" i="1"/>
  <c r="BL95" i="1"/>
  <c r="BL94" i="1"/>
  <c r="BL93" i="1"/>
  <c r="BL92" i="1"/>
  <c r="BL91" i="1"/>
  <c r="BL90" i="1"/>
  <c r="BL89" i="1"/>
  <c r="BL88" i="1"/>
  <c r="BL87" i="1"/>
  <c r="BL86" i="1"/>
  <c r="BL85" i="1"/>
  <c r="BL84" i="1"/>
  <c r="BL83" i="1"/>
  <c r="BL82" i="1"/>
  <c r="BL81" i="1"/>
  <c r="BL80" i="1"/>
  <c r="BL79" i="1"/>
  <c r="BL78" i="1"/>
  <c r="BL77" i="1"/>
  <c r="BL76" i="1"/>
  <c r="BL75" i="1"/>
  <c r="BL74" i="1"/>
  <c r="BL73" i="1"/>
  <c r="BL72" i="1"/>
  <c r="BL71" i="1"/>
  <c r="BL70" i="1"/>
  <c r="BL69" i="1"/>
  <c r="BL68" i="1"/>
  <c r="BL67" i="1"/>
  <c r="BL66" i="1"/>
  <c r="BL65" i="1"/>
  <c r="BL64" i="1"/>
  <c r="BL63" i="1"/>
  <c r="BL62" i="1"/>
  <c r="BL61" i="1"/>
  <c r="BL60" i="1"/>
  <c r="BL59" i="1"/>
  <c r="BL58" i="1"/>
  <c r="BL57" i="1"/>
  <c r="BL56" i="1"/>
  <c r="BL55" i="1"/>
  <c r="BL54" i="1"/>
  <c r="BL53" i="1"/>
  <c r="BL52" i="1"/>
  <c r="BL51" i="1"/>
  <c r="BL49" i="1"/>
  <c r="BL48" i="1"/>
  <c r="BL47" i="1"/>
  <c r="BL46" i="1"/>
  <c r="BL45" i="1"/>
  <c r="BL44" i="1"/>
  <c r="BL43" i="1"/>
  <c r="BL42" i="1"/>
  <c r="BL41" i="1"/>
  <c r="BL39" i="1"/>
  <c r="BL38" i="1"/>
  <c r="BL37" i="1"/>
  <c r="BL36" i="1"/>
  <c r="BL35" i="1"/>
  <c r="BL34" i="1"/>
  <c r="BL33" i="1"/>
  <c r="BL32" i="1"/>
  <c r="BL31" i="1"/>
  <c r="BL30" i="1"/>
  <c r="BL29" i="1"/>
  <c r="BL28" i="1"/>
  <c r="BL27" i="1"/>
  <c r="BL26" i="1"/>
  <c r="BL25" i="1"/>
  <c r="BL24" i="1"/>
  <c r="BL23" i="1"/>
  <c r="BL22" i="1"/>
  <c r="BL21" i="1"/>
  <c r="BL20" i="1"/>
  <c r="BL19" i="1"/>
  <c r="BL17" i="1"/>
  <c r="BL16" i="1"/>
  <c r="BL15" i="1"/>
  <c r="BL14" i="1"/>
  <c r="BL13" i="1"/>
  <c r="BL12" i="1"/>
  <c r="BL11" i="1"/>
  <c r="BL10" i="1"/>
  <c r="BL9" i="1"/>
  <c r="BL8" i="1"/>
  <c r="BL7" i="1"/>
  <c r="BL6" i="1"/>
  <c r="BL5" i="1"/>
  <c r="BL4" i="1"/>
  <c r="BL3" i="1"/>
  <c r="BI173" i="1"/>
  <c r="BI172" i="1"/>
  <c r="BI171" i="1"/>
  <c r="BI170" i="1"/>
  <c r="BI169" i="1"/>
  <c r="BI168" i="1"/>
  <c r="BI167" i="1"/>
  <c r="BI166" i="1"/>
  <c r="BI165" i="1"/>
  <c r="BI164" i="1"/>
  <c r="BI163" i="1"/>
  <c r="BI162" i="1"/>
  <c r="BI161" i="1"/>
  <c r="BI160" i="1"/>
  <c r="BI159" i="1"/>
  <c r="BI158" i="1"/>
  <c r="BI157" i="1"/>
  <c r="BI156" i="1"/>
  <c r="BI155" i="1"/>
  <c r="BI154" i="1"/>
  <c r="BI153" i="1"/>
  <c r="BI152" i="1"/>
  <c r="BI151" i="1"/>
  <c r="BI150" i="1"/>
  <c r="BI149" i="1"/>
  <c r="BI148" i="1"/>
  <c r="BI147" i="1"/>
  <c r="BI146" i="1"/>
  <c r="BI145" i="1"/>
  <c r="BI144" i="1"/>
  <c r="BI143" i="1"/>
  <c r="BI142" i="1"/>
  <c r="BI141" i="1"/>
  <c r="BI140" i="1"/>
  <c r="BI139" i="1"/>
  <c r="BI138" i="1"/>
  <c r="BI137" i="1"/>
  <c r="BI136" i="1"/>
  <c r="BI135" i="1"/>
  <c r="BI134" i="1"/>
  <c r="BI133" i="1"/>
  <c r="BI132" i="1"/>
  <c r="BI131" i="1"/>
  <c r="BI130" i="1"/>
  <c r="BI129" i="1"/>
  <c r="BI128" i="1"/>
  <c r="BI127" i="1"/>
  <c r="BI126" i="1"/>
  <c r="BI125" i="1"/>
  <c r="BI124" i="1"/>
  <c r="BI123" i="1"/>
  <c r="BI122" i="1"/>
  <c r="BI121" i="1"/>
  <c r="BI120" i="1"/>
  <c r="BI119" i="1"/>
  <c r="BI118" i="1"/>
  <c r="BI117" i="1"/>
  <c r="BI116" i="1"/>
  <c r="BI115" i="1"/>
  <c r="BI114" i="1"/>
  <c r="BI113" i="1"/>
  <c r="BI112" i="1"/>
  <c r="BI111" i="1"/>
  <c r="BI110" i="1"/>
  <c r="BI109" i="1"/>
  <c r="BI108" i="1"/>
  <c r="BI107" i="1"/>
  <c r="BI106" i="1"/>
  <c r="BI105" i="1"/>
  <c r="BI104" i="1"/>
  <c r="BI103" i="1"/>
  <c r="BI102" i="1"/>
  <c r="BI101" i="1"/>
  <c r="BI100" i="1"/>
  <c r="BI99" i="1"/>
  <c r="BI98" i="1"/>
  <c r="BI97" i="1"/>
  <c r="BI96" i="1"/>
  <c r="BI95" i="1"/>
  <c r="BI94" i="1"/>
  <c r="BI93" i="1"/>
  <c r="BI92" i="1"/>
  <c r="BI91" i="1"/>
  <c r="BI90" i="1"/>
  <c r="BI89" i="1"/>
  <c r="BI88" i="1"/>
  <c r="BI87" i="1"/>
  <c r="BI86" i="1"/>
  <c r="BI85" i="1"/>
  <c r="BI84" i="1"/>
  <c r="BI83" i="1"/>
  <c r="BI82" i="1"/>
  <c r="BI81" i="1"/>
  <c r="BI80" i="1"/>
  <c r="BI79" i="1"/>
  <c r="BI78" i="1"/>
  <c r="BI77" i="1"/>
  <c r="BI76" i="1"/>
  <c r="BI75" i="1"/>
  <c r="BI74" i="1"/>
  <c r="BI73" i="1"/>
  <c r="BI72" i="1"/>
  <c r="BI71" i="1"/>
  <c r="BI70" i="1"/>
  <c r="BI69" i="1"/>
  <c r="BI68" i="1"/>
  <c r="BI67" i="1"/>
  <c r="BI65" i="1"/>
  <c r="BI64" i="1"/>
  <c r="BI63" i="1"/>
  <c r="BI62" i="1"/>
  <c r="BI61" i="1"/>
  <c r="BI60" i="1"/>
  <c r="BI59" i="1"/>
  <c r="BI58" i="1"/>
  <c r="BI57" i="1"/>
  <c r="BI56" i="1"/>
  <c r="BI55" i="1"/>
  <c r="BI54" i="1"/>
  <c r="BI53" i="1"/>
  <c r="BI52" i="1"/>
  <c r="BI51" i="1"/>
  <c r="BI50" i="1"/>
  <c r="BI49" i="1"/>
  <c r="BI47" i="1"/>
  <c r="BI46" i="1"/>
  <c r="BI45" i="1"/>
  <c r="BI44" i="1"/>
  <c r="BI43" i="1"/>
  <c r="BI42" i="1"/>
  <c r="BI41" i="1"/>
  <c r="BI40" i="1"/>
  <c r="BI39" i="1"/>
  <c r="BI38" i="1"/>
  <c r="BI37" i="1"/>
  <c r="BI36" i="1"/>
  <c r="BI35" i="1"/>
  <c r="BI34" i="1"/>
  <c r="BI33" i="1"/>
  <c r="BI32" i="1"/>
  <c r="BI31" i="1"/>
  <c r="BI30" i="1"/>
  <c r="BI29" i="1"/>
  <c r="BI28" i="1"/>
  <c r="BI27" i="1"/>
  <c r="BI26" i="1"/>
  <c r="BI25" i="1"/>
  <c r="BI24" i="1"/>
  <c r="BI23" i="1"/>
  <c r="BI22" i="1"/>
  <c r="BI21" i="1"/>
  <c r="BI20" i="1"/>
  <c r="BI19" i="1"/>
  <c r="BI18" i="1"/>
  <c r="BI17" i="1"/>
  <c r="BI15" i="1"/>
  <c r="BI14" i="1"/>
  <c r="BI13" i="1"/>
  <c r="BI12" i="1"/>
  <c r="BI11" i="1"/>
  <c r="BI10" i="1"/>
  <c r="BI9" i="1"/>
  <c r="BI8" i="1"/>
  <c r="BI7" i="1"/>
  <c r="BI6" i="1"/>
  <c r="BI5" i="1"/>
  <c r="BI4" i="1"/>
  <c r="BI3" i="1"/>
  <c r="BF173" i="1"/>
  <c r="BF172" i="1"/>
  <c r="BF171" i="1"/>
  <c r="BF170" i="1"/>
  <c r="BF169" i="1"/>
  <c r="BF168" i="1"/>
  <c r="BF167" i="1"/>
  <c r="BF166" i="1"/>
  <c r="BF165" i="1"/>
  <c r="BF164" i="1"/>
  <c r="BF163" i="1"/>
  <c r="BF162" i="1"/>
  <c r="BF161" i="1"/>
  <c r="BF160" i="1"/>
  <c r="BF159" i="1"/>
  <c r="BF158" i="1"/>
  <c r="BF157" i="1"/>
  <c r="BF156" i="1"/>
  <c r="BF155" i="1"/>
  <c r="BF154" i="1"/>
  <c r="BF153" i="1"/>
  <c r="BF152" i="1"/>
  <c r="BF151" i="1"/>
  <c r="BF150" i="1"/>
  <c r="BF149" i="1"/>
  <c r="BF148" i="1"/>
  <c r="BF147" i="1"/>
  <c r="BF146" i="1"/>
  <c r="BF145" i="1"/>
  <c r="BF144" i="1"/>
  <c r="BF143" i="1"/>
  <c r="BF140" i="1"/>
  <c r="BF139" i="1"/>
  <c r="BF138" i="1"/>
  <c r="BF137" i="1"/>
  <c r="BF136" i="1"/>
  <c r="BF135" i="1"/>
  <c r="BF134" i="1"/>
  <c r="BF133" i="1"/>
  <c r="BF132" i="1"/>
  <c r="BF131" i="1"/>
  <c r="BF130" i="1"/>
  <c r="BF129" i="1"/>
  <c r="BF128" i="1"/>
  <c r="BF127" i="1"/>
  <c r="BF126" i="1"/>
  <c r="BF125" i="1"/>
  <c r="BF124" i="1"/>
  <c r="BF123" i="1"/>
  <c r="BF122" i="1"/>
  <c r="BF121" i="1"/>
  <c r="BF120" i="1"/>
  <c r="BF119" i="1"/>
  <c r="BF118" i="1"/>
  <c r="BF117" i="1"/>
  <c r="BF116" i="1"/>
  <c r="BF115" i="1"/>
  <c r="BF114" i="1"/>
  <c r="BF113" i="1"/>
  <c r="BF112" i="1"/>
  <c r="BF111" i="1"/>
  <c r="BF110" i="1"/>
  <c r="BF109" i="1"/>
  <c r="BF108" i="1"/>
  <c r="BF107" i="1"/>
  <c r="BF106" i="1"/>
  <c r="BF105" i="1"/>
  <c r="BF104" i="1"/>
  <c r="BF103" i="1"/>
  <c r="BF102" i="1"/>
  <c r="BF101" i="1"/>
  <c r="BF100" i="1"/>
  <c r="BF99" i="1"/>
  <c r="BF98" i="1"/>
  <c r="BF96" i="1"/>
  <c r="BF95" i="1"/>
  <c r="BF94" i="1"/>
  <c r="BF93" i="1"/>
  <c r="BF92" i="1"/>
  <c r="BF91" i="1"/>
  <c r="BF90" i="1"/>
  <c r="BF89" i="1"/>
  <c r="BF88" i="1"/>
  <c r="BF87" i="1"/>
  <c r="BF86" i="1"/>
  <c r="BF85" i="1"/>
  <c r="BF84" i="1"/>
  <c r="BF83" i="1"/>
  <c r="BF82" i="1"/>
  <c r="BF81" i="1"/>
  <c r="BF80" i="1"/>
  <c r="BF79" i="1"/>
  <c r="BF78" i="1"/>
  <c r="BF77" i="1"/>
  <c r="BF76" i="1"/>
  <c r="BF75" i="1"/>
  <c r="BF74" i="1"/>
  <c r="BF73" i="1"/>
  <c r="BF72" i="1"/>
  <c r="BF71" i="1"/>
  <c r="BF70" i="1"/>
  <c r="BF69" i="1"/>
  <c r="BF68" i="1"/>
  <c r="BF67" i="1"/>
  <c r="BF65" i="1"/>
  <c r="BF64" i="1"/>
  <c r="BF63" i="1"/>
  <c r="BF62" i="1"/>
  <c r="BF61" i="1"/>
  <c r="BF60" i="1"/>
  <c r="BF59" i="1"/>
  <c r="BF58" i="1"/>
  <c r="BF57" i="1"/>
  <c r="BF56" i="1"/>
  <c r="BF55" i="1"/>
  <c r="BF54" i="1"/>
  <c r="BF53" i="1"/>
  <c r="BF52" i="1"/>
  <c r="BF51" i="1"/>
  <c r="BF49" i="1"/>
  <c r="BF47" i="1"/>
  <c r="BF46" i="1"/>
  <c r="BF45" i="1"/>
  <c r="BF44" i="1"/>
  <c r="BF43" i="1"/>
  <c r="BF42" i="1"/>
  <c r="BF41" i="1"/>
  <c r="BF38" i="1"/>
  <c r="BF37" i="1"/>
  <c r="BF36" i="1"/>
  <c r="BF35" i="1"/>
  <c r="BF34" i="1"/>
  <c r="BF33" i="1"/>
  <c r="BF32" i="1"/>
  <c r="BF31" i="1"/>
  <c r="BF30" i="1"/>
  <c r="BF29" i="1"/>
  <c r="BF28" i="1"/>
  <c r="BF27" i="1"/>
  <c r="BF26" i="1"/>
  <c r="BF25" i="1"/>
  <c r="BF24" i="1"/>
  <c r="BF23" i="1"/>
  <c r="BF22" i="1"/>
  <c r="BF21" i="1"/>
  <c r="BF20" i="1"/>
  <c r="BF19" i="1"/>
  <c r="BF18" i="1"/>
  <c r="BF17" i="1"/>
  <c r="BF16" i="1"/>
  <c r="BF15" i="1"/>
  <c r="BF14" i="1"/>
  <c r="BF13" i="1"/>
  <c r="BF12" i="1"/>
  <c r="BF11" i="1"/>
  <c r="BF10" i="1"/>
  <c r="BF9" i="1"/>
  <c r="BF8" i="1"/>
  <c r="BF7" i="1"/>
  <c r="BF6" i="1"/>
  <c r="BF5" i="1"/>
  <c r="BF4" i="1"/>
  <c r="BF3" i="1"/>
  <c r="BC173" i="1"/>
  <c r="BC172" i="1"/>
  <c r="BC171" i="1"/>
  <c r="BC170" i="1"/>
  <c r="BC169" i="1"/>
  <c r="BC168" i="1"/>
  <c r="BC167" i="1"/>
  <c r="BC166" i="1"/>
  <c r="BC165" i="1"/>
  <c r="BC164" i="1"/>
  <c r="BC163" i="1"/>
  <c r="BC162" i="1"/>
  <c r="BC161" i="1"/>
  <c r="BC160" i="1"/>
  <c r="BC159" i="1"/>
  <c r="BC158" i="1"/>
  <c r="BC157" i="1"/>
  <c r="BC156" i="1"/>
  <c r="BC155" i="1"/>
  <c r="BC154" i="1"/>
  <c r="BC153" i="1"/>
  <c r="BC152" i="1"/>
  <c r="BC151" i="1"/>
  <c r="BC150" i="1"/>
  <c r="BC149" i="1"/>
  <c r="BC148" i="1"/>
  <c r="BC147" i="1"/>
  <c r="BC146" i="1"/>
  <c r="BC145" i="1"/>
  <c r="BC144" i="1"/>
  <c r="BC143" i="1"/>
  <c r="BC140" i="1"/>
  <c r="BC139" i="1"/>
  <c r="BC138" i="1"/>
  <c r="BC137" i="1"/>
  <c r="BC136" i="1"/>
  <c r="BC135" i="1"/>
  <c r="BC134" i="1"/>
  <c r="BC133" i="1"/>
  <c r="BC132" i="1"/>
  <c r="BC131" i="1"/>
  <c r="BC130" i="1"/>
  <c r="BC129" i="1"/>
  <c r="BC128" i="1"/>
  <c r="BC127" i="1"/>
  <c r="BC126" i="1"/>
  <c r="BC125" i="1"/>
  <c r="BC124" i="1"/>
  <c r="BC123" i="1"/>
  <c r="BC122" i="1"/>
  <c r="BC121" i="1"/>
  <c r="BC120" i="1"/>
  <c r="BC119" i="1"/>
  <c r="BC118" i="1"/>
  <c r="BC117" i="1"/>
  <c r="BC116" i="1"/>
  <c r="BC115" i="1"/>
  <c r="BC114" i="1"/>
  <c r="BC113" i="1"/>
  <c r="BC112" i="1"/>
  <c r="BC111" i="1"/>
  <c r="BC110" i="1"/>
  <c r="BC109" i="1"/>
  <c r="BC108" i="1"/>
  <c r="BC107" i="1"/>
  <c r="BC106" i="1"/>
  <c r="BC105" i="1"/>
  <c r="BC104" i="1"/>
  <c r="BC103" i="1"/>
  <c r="BC102" i="1"/>
  <c r="BC101" i="1"/>
  <c r="BC100" i="1"/>
  <c r="BC99" i="1"/>
  <c r="BC98" i="1"/>
  <c r="BC96" i="1"/>
  <c r="BC95" i="1"/>
  <c r="BC94" i="1"/>
  <c r="BC93" i="1"/>
  <c r="BC92" i="1"/>
  <c r="BC91" i="1"/>
  <c r="BC90" i="1"/>
  <c r="BC89" i="1"/>
  <c r="BC88" i="1"/>
  <c r="BC87" i="1"/>
  <c r="BC86" i="1"/>
  <c r="BC85" i="1"/>
  <c r="BC84" i="1"/>
  <c r="BC83" i="1"/>
  <c r="BC82" i="1"/>
  <c r="BC81" i="1"/>
  <c r="BC80" i="1"/>
  <c r="BC79" i="1"/>
  <c r="BC78" i="1"/>
  <c r="BC77" i="1"/>
  <c r="BC76" i="1"/>
  <c r="BC75" i="1"/>
  <c r="BC74" i="1"/>
  <c r="BC73" i="1"/>
  <c r="BC72" i="1"/>
  <c r="BC71" i="1"/>
  <c r="BC70" i="1"/>
  <c r="BC69" i="1"/>
  <c r="BC68" i="1"/>
  <c r="BC67" i="1"/>
  <c r="BC66" i="1"/>
  <c r="BC65" i="1"/>
  <c r="BC64" i="1"/>
  <c r="BC63" i="1"/>
  <c r="BC62" i="1"/>
  <c r="BC61" i="1"/>
  <c r="BC60" i="1"/>
  <c r="BC59" i="1"/>
  <c r="BC58" i="1"/>
  <c r="BC57" i="1"/>
  <c r="BC56" i="1"/>
  <c r="BC55" i="1"/>
  <c r="BC54" i="1"/>
  <c r="BC53" i="1"/>
  <c r="BC52" i="1"/>
  <c r="BC51" i="1"/>
  <c r="BC50" i="1"/>
  <c r="BC49" i="1"/>
  <c r="BC47" i="1"/>
  <c r="BC46" i="1"/>
  <c r="BC45" i="1"/>
  <c r="BC44" i="1"/>
  <c r="BC43" i="1"/>
  <c r="BC42" i="1"/>
  <c r="BC41" i="1"/>
  <c r="BC40" i="1"/>
  <c r="BC39" i="1"/>
  <c r="BC38" i="1"/>
  <c r="BC37" i="1"/>
  <c r="BC36" i="1"/>
  <c r="BC35" i="1"/>
  <c r="BC34" i="1"/>
  <c r="BC33" i="1"/>
  <c r="BC32" i="1"/>
  <c r="BC31" i="1"/>
  <c r="BC30" i="1"/>
  <c r="BC29" i="1"/>
  <c r="BC28" i="1"/>
  <c r="BC27" i="1"/>
  <c r="BC26" i="1"/>
  <c r="BC25" i="1"/>
  <c r="BC24" i="1"/>
  <c r="BC23" i="1"/>
  <c r="BC22" i="1"/>
  <c r="BC21" i="1"/>
  <c r="BC20" i="1"/>
  <c r="BC19" i="1"/>
  <c r="BC18" i="1"/>
  <c r="BC17" i="1"/>
  <c r="BC16" i="1"/>
  <c r="BC15" i="1"/>
  <c r="BC14" i="1"/>
  <c r="BC13" i="1"/>
  <c r="BC12" i="1"/>
  <c r="BC11" i="1"/>
  <c r="BC10" i="1"/>
  <c r="BC9" i="1"/>
  <c r="BC8" i="1"/>
  <c r="BC7" i="1"/>
  <c r="BC6" i="1"/>
  <c r="BC5" i="1"/>
  <c r="BC4" i="1"/>
  <c r="BC3" i="1"/>
  <c r="AZ173" i="1"/>
  <c r="AZ172" i="1"/>
  <c r="AZ171" i="1"/>
  <c r="AZ170" i="1"/>
  <c r="AZ169" i="1"/>
  <c r="AZ168" i="1"/>
  <c r="AZ167" i="1"/>
  <c r="AZ166" i="1"/>
  <c r="AZ165" i="1"/>
  <c r="AZ164" i="1"/>
  <c r="AZ163" i="1"/>
  <c r="AZ162" i="1"/>
  <c r="AZ161" i="1"/>
  <c r="AZ160" i="1"/>
  <c r="AZ159" i="1"/>
  <c r="AZ158" i="1"/>
  <c r="AZ157" i="1"/>
  <c r="AZ156" i="1"/>
  <c r="AZ155" i="1"/>
  <c r="AZ154" i="1"/>
  <c r="AZ153" i="1"/>
  <c r="AZ152" i="1"/>
  <c r="AZ151" i="1"/>
  <c r="AZ150" i="1"/>
  <c r="AZ149" i="1"/>
  <c r="AZ148" i="1"/>
  <c r="AZ147" i="1"/>
  <c r="AZ146" i="1"/>
  <c r="AZ145" i="1"/>
  <c r="AZ144" i="1"/>
  <c r="AZ143" i="1"/>
  <c r="AZ142" i="1"/>
  <c r="AZ141" i="1"/>
  <c r="AZ137" i="1"/>
  <c r="AZ136" i="1"/>
  <c r="AZ135" i="1"/>
  <c r="AZ134" i="1"/>
  <c r="AZ133" i="1"/>
  <c r="AZ132" i="1"/>
  <c r="AZ131" i="1"/>
  <c r="AZ130" i="1"/>
  <c r="AZ129" i="1"/>
  <c r="AZ128" i="1"/>
  <c r="AZ127" i="1"/>
  <c r="AZ126" i="1"/>
  <c r="AZ125" i="1"/>
  <c r="AZ124" i="1"/>
  <c r="AZ123" i="1"/>
  <c r="AZ122" i="1"/>
  <c r="AZ121" i="1"/>
  <c r="AZ120" i="1"/>
  <c r="AZ119" i="1"/>
  <c r="AZ118" i="1"/>
  <c r="AZ117" i="1"/>
  <c r="AZ116" i="1"/>
  <c r="AZ115" i="1"/>
  <c r="AZ114" i="1"/>
  <c r="AZ113" i="1"/>
  <c r="AZ112" i="1"/>
  <c r="AZ111" i="1"/>
  <c r="AZ110" i="1"/>
  <c r="AZ109" i="1"/>
  <c r="AZ108" i="1"/>
  <c r="AZ107" i="1"/>
  <c r="AZ106" i="1"/>
  <c r="AZ105" i="1"/>
  <c r="AZ104" i="1"/>
  <c r="AZ103" i="1"/>
  <c r="AZ102" i="1"/>
  <c r="AZ101" i="1"/>
  <c r="AZ100" i="1"/>
  <c r="AZ99" i="1"/>
  <c r="AZ98" i="1"/>
  <c r="AZ97" i="1"/>
  <c r="AZ96" i="1"/>
  <c r="AZ95" i="1"/>
  <c r="AZ94" i="1"/>
  <c r="AZ93" i="1"/>
  <c r="AZ92" i="1"/>
  <c r="AZ91" i="1"/>
  <c r="AZ90" i="1"/>
  <c r="AZ89" i="1"/>
  <c r="AZ88" i="1"/>
  <c r="AZ87" i="1"/>
  <c r="AZ86" i="1"/>
  <c r="AZ85" i="1"/>
  <c r="AZ84" i="1"/>
  <c r="AZ83" i="1"/>
  <c r="AZ82" i="1"/>
  <c r="AZ81" i="1"/>
  <c r="AZ80" i="1"/>
  <c r="AZ79" i="1"/>
  <c r="AZ78" i="1"/>
  <c r="AZ77" i="1"/>
  <c r="AZ76" i="1"/>
  <c r="AZ75" i="1"/>
  <c r="AZ74" i="1"/>
  <c r="AZ73" i="1"/>
  <c r="AZ72" i="1"/>
  <c r="AZ71" i="1"/>
  <c r="AZ70" i="1"/>
  <c r="AZ69" i="1"/>
  <c r="AZ68" i="1"/>
  <c r="AZ67" i="1"/>
  <c r="AZ66" i="1"/>
  <c r="AZ65" i="1"/>
  <c r="AZ64" i="1"/>
  <c r="AZ63" i="1"/>
  <c r="AZ62" i="1"/>
  <c r="AZ61" i="1"/>
  <c r="AZ60" i="1"/>
  <c r="AZ59" i="1"/>
  <c r="AZ58" i="1"/>
  <c r="AZ57" i="1"/>
  <c r="AZ56" i="1"/>
  <c r="AZ55" i="1"/>
  <c r="AZ54" i="1"/>
  <c r="AZ53" i="1"/>
  <c r="AZ52" i="1"/>
  <c r="AZ51" i="1"/>
  <c r="AZ50" i="1"/>
  <c r="AZ49" i="1"/>
  <c r="AZ47" i="1"/>
  <c r="AZ46" i="1"/>
  <c r="AZ45" i="1"/>
  <c r="AZ44" i="1"/>
  <c r="AZ43" i="1"/>
  <c r="AZ42" i="1"/>
  <c r="AZ41" i="1"/>
  <c r="AZ40" i="1"/>
  <c r="AZ39" i="1"/>
  <c r="AZ38" i="1"/>
  <c r="AZ37" i="1"/>
  <c r="AZ36" i="1"/>
  <c r="AZ35" i="1"/>
  <c r="AZ34" i="1"/>
  <c r="AZ33" i="1"/>
  <c r="AZ32" i="1"/>
  <c r="AZ31" i="1"/>
  <c r="AZ30" i="1"/>
  <c r="AZ29" i="1"/>
  <c r="AZ28" i="1"/>
  <c r="AZ27" i="1"/>
  <c r="AZ26" i="1"/>
  <c r="AZ25" i="1"/>
  <c r="AZ24" i="1"/>
  <c r="AZ23" i="1"/>
  <c r="AZ22" i="1"/>
  <c r="AZ21" i="1"/>
  <c r="AZ20" i="1"/>
  <c r="AZ19" i="1"/>
  <c r="AZ17" i="1"/>
  <c r="AZ16" i="1"/>
  <c r="AZ15" i="1"/>
  <c r="AZ14" i="1"/>
  <c r="AZ13" i="1"/>
  <c r="AZ12" i="1"/>
  <c r="AZ11" i="1"/>
  <c r="AZ10" i="1"/>
  <c r="AZ9" i="1"/>
  <c r="AZ8" i="1"/>
  <c r="AZ7" i="1"/>
  <c r="AZ6" i="1"/>
  <c r="AZ5" i="1"/>
  <c r="AZ4" i="1"/>
  <c r="AZ3" i="1"/>
  <c r="AW173" i="1"/>
  <c r="AW172" i="1"/>
  <c r="AW171" i="1"/>
  <c r="AW170" i="1"/>
  <c r="AW169" i="1"/>
  <c r="AW168" i="1"/>
  <c r="AW167" i="1"/>
  <c r="AW166" i="1"/>
  <c r="AW165" i="1"/>
  <c r="AW164" i="1"/>
  <c r="AW163" i="1"/>
  <c r="AW162" i="1"/>
  <c r="AW161" i="1"/>
  <c r="AW160" i="1"/>
  <c r="AW159" i="1"/>
  <c r="AW158" i="1"/>
  <c r="AW157" i="1"/>
  <c r="AW156" i="1"/>
  <c r="AW155" i="1"/>
  <c r="AW154" i="1"/>
  <c r="AW153" i="1"/>
  <c r="AW152" i="1"/>
  <c r="AW151" i="1"/>
  <c r="AW150" i="1"/>
  <c r="AW149" i="1"/>
  <c r="AW148" i="1"/>
  <c r="AW147" i="1"/>
  <c r="AW146" i="1"/>
  <c r="AW145" i="1"/>
  <c r="AW144" i="1"/>
  <c r="AW143" i="1"/>
  <c r="AW142" i="1"/>
  <c r="AW141" i="1"/>
  <c r="AW140" i="1"/>
  <c r="AW139" i="1"/>
  <c r="AW138" i="1"/>
  <c r="AW137" i="1"/>
  <c r="AW136" i="1"/>
  <c r="AW135" i="1"/>
  <c r="AW134" i="1"/>
  <c r="AW133" i="1"/>
  <c r="AW132" i="1"/>
  <c r="AW131" i="1"/>
  <c r="AW130" i="1"/>
  <c r="AW129" i="1"/>
  <c r="AW128" i="1"/>
  <c r="AW127" i="1"/>
  <c r="AW126" i="1"/>
  <c r="AW125" i="1"/>
  <c r="AW124" i="1"/>
  <c r="AW123" i="1"/>
  <c r="AW122" i="1"/>
  <c r="AW121" i="1"/>
  <c r="AW120" i="1"/>
  <c r="AW119" i="1"/>
  <c r="AW118" i="1"/>
  <c r="AW117" i="1"/>
  <c r="AW116" i="1"/>
  <c r="AW115" i="1"/>
  <c r="AW114" i="1"/>
  <c r="AW113" i="1"/>
  <c r="AW112" i="1"/>
  <c r="AW111" i="1"/>
  <c r="AW110" i="1"/>
  <c r="AW109" i="1"/>
  <c r="AW108" i="1"/>
  <c r="AW107" i="1"/>
  <c r="AW106" i="1"/>
  <c r="AW105" i="1"/>
  <c r="AW104" i="1"/>
  <c r="AW103" i="1"/>
  <c r="AW102" i="1"/>
  <c r="AW101" i="1"/>
  <c r="AW100" i="1"/>
  <c r="AW99" i="1"/>
  <c r="AW98" i="1"/>
  <c r="AW97" i="1"/>
  <c r="AW96" i="1"/>
  <c r="AW95" i="1"/>
  <c r="AW94" i="1"/>
  <c r="AW93" i="1"/>
  <c r="AW92" i="1"/>
  <c r="AW91" i="1"/>
  <c r="AW90" i="1"/>
  <c r="AW89" i="1"/>
  <c r="AW88" i="1"/>
  <c r="AW87" i="1"/>
  <c r="AW86" i="1"/>
  <c r="AW85" i="1"/>
  <c r="AW84" i="1"/>
  <c r="AW83" i="1"/>
  <c r="AW82" i="1"/>
  <c r="AW81" i="1"/>
  <c r="AW80" i="1"/>
  <c r="AW79" i="1"/>
  <c r="AW78" i="1"/>
  <c r="AW77" i="1"/>
  <c r="AW76" i="1"/>
  <c r="AW75" i="1"/>
  <c r="AW74" i="1"/>
  <c r="AW73" i="1"/>
  <c r="AW72" i="1"/>
  <c r="AW71" i="1"/>
  <c r="AW70" i="1"/>
  <c r="AW69" i="1"/>
  <c r="AW68" i="1"/>
  <c r="AW67" i="1"/>
  <c r="AW66" i="1"/>
  <c r="AW65" i="1"/>
  <c r="AW64" i="1"/>
  <c r="AW63" i="1"/>
  <c r="AW62" i="1"/>
  <c r="AW61" i="1"/>
  <c r="AW60" i="1"/>
  <c r="AW59" i="1"/>
  <c r="AW58" i="1"/>
  <c r="AW57" i="1"/>
  <c r="AW56" i="1"/>
  <c r="AW55" i="1"/>
  <c r="AW53" i="1"/>
  <c r="AW52" i="1"/>
  <c r="AW51" i="1"/>
  <c r="AW50" i="1"/>
  <c r="AW49" i="1"/>
  <c r="AW47" i="1"/>
  <c r="AW46" i="1"/>
  <c r="AW45" i="1"/>
  <c r="AW44" i="1"/>
  <c r="AW43" i="1"/>
  <c r="AW42" i="1"/>
  <c r="AW41" i="1"/>
  <c r="AW40" i="1"/>
  <c r="AW39" i="1"/>
  <c r="AW38" i="1"/>
  <c r="AW37" i="1"/>
  <c r="AW36" i="1"/>
  <c r="AW35" i="1"/>
  <c r="AW34" i="1"/>
  <c r="AW33" i="1"/>
  <c r="AW32" i="1"/>
  <c r="AW31" i="1"/>
  <c r="AW30" i="1"/>
  <c r="AW29" i="1"/>
  <c r="AW28" i="1"/>
  <c r="AW27" i="1"/>
  <c r="AW26" i="1"/>
  <c r="AW25" i="1"/>
  <c r="AW24" i="1"/>
  <c r="AW23" i="1"/>
  <c r="AW22" i="1"/>
  <c r="AW21" i="1"/>
  <c r="AW20" i="1"/>
  <c r="AW19" i="1"/>
  <c r="AW18" i="1"/>
  <c r="AW17" i="1"/>
  <c r="AW16" i="1"/>
  <c r="AW15" i="1"/>
  <c r="AW14" i="1"/>
  <c r="AW13" i="1"/>
  <c r="AW12" i="1"/>
  <c r="AW11" i="1"/>
  <c r="AW10" i="1"/>
  <c r="AW9" i="1"/>
  <c r="AW8" i="1"/>
  <c r="AW7" i="1"/>
  <c r="AW6" i="1"/>
  <c r="AW5" i="1"/>
  <c r="AW4" i="1"/>
  <c r="AW3" i="1"/>
  <c r="AT173" i="1"/>
  <c r="AT172" i="1"/>
  <c r="AT171" i="1"/>
  <c r="AT170" i="1"/>
  <c r="AT169" i="1"/>
  <c r="AT168" i="1"/>
  <c r="AT167" i="1"/>
  <c r="AT166" i="1"/>
  <c r="AT165" i="1"/>
  <c r="AT164" i="1"/>
  <c r="AT163" i="1"/>
  <c r="AT162" i="1"/>
  <c r="AT161" i="1"/>
  <c r="AT160" i="1"/>
  <c r="AT159" i="1"/>
  <c r="AT158" i="1"/>
  <c r="AT157" i="1"/>
  <c r="AT156" i="1"/>
  <c r="AT155" i="1"/>
  <c r="AT154" i="1"/>
  <c r="AT153" i="1"/>
  <c r="AT152" i="1"/>
  <c r="AT151" i="1"/>
  <c r="AT150" i="1"/>
  <c r="AT149" i="1"/>
  <c r="AT148" i="1"/>
  <c r="AT147" i="1"/>
  <c r="AT146" i="1"/>
  <c r="AT145" i="1"/>
  <c r="AT144" i="1"/>
  <c r="AT143" i="1"/>
  <c r="AT142" i="1"/>
  <c r="AT141" i="1"/>
  <c r="AT140" i="1"/>
  <c r="AT139" i="1"/>
  <c r="AT138" i="1"/>
  <c r="AT137" i="1"/>
  <c r="AT136" i="1"/>
  <c r="AT135" i="1"/>
  <c r="AT134" i="1"/>
  <c r="AT133" i="1"/>
  <c r="AT132" i="1"/>
  <c r="AT131" i="1"/>
  <c r="AT130" i="1"/>
  <c r="AT129" i="1"/>
  <c r="AT128" i="1"/>
  <c r="AT127" i="1"/>
  <c r="AT126" i="1"/>
  <c r="AT125" i="1"/>
  <c r="AT124" i="1"/>
  <c r="AT123" i="1"/>
  <c r="AT122" i="1"/>
  <c r="AT121" i="1"/>
  <c r="AT120" i="1"/>
  <c r="AT119" i="1"/>
  <c r="AT118" i="1"/>
  <c r="AT117" i="1"/>
  <c r="AT116" i="1"/>
  <c r="AT115" i="1"/>
  <c r="AT114" i="1"/>
  <c r="AT113" i="1"/>
  <c r="AT112" i="1"/>
  <c r="AT111" i="1"/>
  <c r="AT110" i="1"/>
  <c r="AT109" i="1"/>
  <c r="AT108" i="1"/>
  <c r="AT107" i="1"/>
  <c r="AT106" i="1"/>
  <c r="AT105" i="1"/>
  <c r="AT104" i="1"/>
  <c r="AT103" i="1"/>
  <c r="AT102" i="1"/>
  <c r="AT101" i="1"/>
  <c r="AT100" i="1"/>
  <c r="AT99" i="1"/>
  <c r="AT98" i="1"/>
  <c r="AT97" i="1"/>
  <c r="AT96" i="1"/>
  <c r="AT95" i="1"/>
  <c r="AT94" i="1"/>
  <c r="AT93" i="1"/>
  <c r="AT92" i="1"/>
  <c r="AT91" i="1"/>
  <c r="AT90" i="1"/>
  <c r="AT89" i="1"/>
  <c r="AT88" i="1"/>
  <c r="AT87" i="1"/>
  <c r="AT86" i="1"/>
  <c r="AT85" i="1"/>
  <c r="AT84" i="1"/>
  <c r="AT83" i="1"/>
  <c r="AT82" i="1"/>
  <c r="AT81" i="1"/>
  <c r="AT80" i="1"/>
  <c r="AT79" i="1"/>
  <c r="AT78" i="1"/>
  <c r="AT77" i="1"/>
  <c r="AT76" i="1"/>
  <c r="AT75" i="1"/>
  <c r="AT74" i="1"/>
  <c r="AT73" i="1"/>
  <c r="AT72" i="1"/>
  <c r="AT71" i="1"/>
  <c r="AT70" i="1"/>
  <c r="AT69" i="1"/>
  <c r="AT68" i="1"/>
  <c r="AT67" i="1"/>
  <c r="AT66" i="1"/>
  <c r="AT65" i="1"/>
  <c r="AT64" i="1"/>
  <c r="AT63" i="1"/>
  <c r="AT62" i="1"/>
  <c r="AT61" i="1"/>
  <c r="AT60" i="1"/>
  <c r="AT59" i="1"/>
  <c r="AT58" i="1"/>
  <c r="AT57" i="1"/>
  <c r="AT56" i="1"/>
  <c r="AT55" i="1"/>
  <c r="AT53" i="1"/>
  <c r="AT52" i="1"/>
  <c r="AT51" i="1"/>
  <c r="AT50" i="1"/>
  <c r="AT49" i="1"/>
  <c r="AT47" i="1"/>
  <c r="AT46" i="1"/>
  <c r="AT45" i="1"/>
  <c r="AT44" i="1"/>
  <c r="AT43" i="1"/>
  <c r="AT42" i="1"/>
  <c r="AT41" i="1"/>
  <c r="AT40" i="1"/>
  <c r="AT39" i="1"/>
  <c r="AT38" i="1"/>
  <c r="AT37" i="1"/>
  <c r="AT36" i="1"/>
  <c r="AT35" i="1"/>
  <c r="AT34" i="1"/>
  <c r="AT33" i="1"/>
  <c r="AT32" i="1"/>
  <c r="AT31" i="1"/>
  <c r="AT30" i="1"/>
  <c r="AT29" i="1"/>
  <c r="AT28" i="1"/>
  <c r="AT27" i="1"/>
  <c r="AT26" i="1"/>
  <c r="AT25" i="1"/>
  <c r="AT24" i="1"/>
  <c r="AT23" i="1"/>
  <c r="AT22" i="1"/>
  <c r="AT21" i="1"/>
  <c r="AT20" i="1"/>
  <c r="AT19" i="1"/>
  <c r="AT18" i="1"/>
  <c r="AT17" i="1"/>
  <c r="AT16" i="1"/>
  <c r="AT15" i="1"/>
  <c r="AT14" i="1"/>
  <c r="AT13" i="1"/>
  <c r="AT12" i="1"/>
  <c r="AT11" i="1"/>
  <c r="AT10" i="1"/>
  <c r="AT9" i="1"/>
  <c r="AT8" i="1"/>
  <c r="AT7" i="1"/>
  <c r="AT6" i="1"/>
  <c r="AT5" i="1"/>
  <c r="AT4" i="1"/>
  <c r="AT3" i="1"/>
  <c r="AQ173" i="1"/>
  <c r="AQ172" i="1"/>
  <c r="AQ171" i="1"/>
  <c r="AQ170" i="1"/>
  <c r="AQ169" i="1"/>
  <c r="AQ168" i="1"/>
  <c r="AQ167" i="1"/>
  <c r="AQ166" i="1"/>
  <c r="AQ165" i="1"/>
  <c r="AQ164" i="1"/>
  <c r="AQ163" i="1"/>
  <c r="AQ162" i="1"/>
  <c r="AQ161" i="1"/>
  <c r="AQ160" i="1"/>
  <c r="AQ159" i="1"/>
  <c r="AQ158" i="1"/>
  <c r="AQ157" i="1"/>
  <c r="AQ156" i="1"/>
  <c r="AQ155" i="1"/>
  <c r="AQ154" i="1"/>
  <c r="AQ153" i="1"/>
  <c r="AQ152" i="1"/>
  <c r="AQ151" i="1"/>
  <c r="AQ150" i="1"/>
  <c r="AQ149" i="1"/>
  <c r="AQ148" i="1"/>
  <c r="AQ147" i="1"/>
  <c r="AQ146" i="1"/>
  <c r="AQ145" i="1"/>
  <c r="AQ144" i="1"/>
  <c r="AQ143" i="1"/>
  <c r="AQ142" i="1"/>
  <c r="AQ141" i="1"/>
  <c r="AQ140" i="1"/>
  <c r="AQ139" i="1"/>
  <c r="AQ138" i="1"/>
  <c r="AQ137" i="1"/>
  <c r="AQ136" i="1"/>
  <c r="AQ135" i="1"/>
  <c r="AQ134" i="1"/>
  <c r="AQ133" i="1"/>
  <c r="AQ132" i="1"/>
  <c r="AQ131" i="1"/>
  <c r="AQ130" i="1"/>
  <c r="AQ129" i="1"/>
  <c r="AQ128" i="1"/>
  <c r="AQ127" i="1"/>
  <c r="AQ126" i="1"/>
  <c r="AQ125" i="1"/>
  <c r="AQ124" i="1"/>
  <c r="AQ123" i="1"/>
  <c r="AQ122" i="1"/>
  <c r="AQ121" i="1"/>
  <c r="AQ120" i="1"/>
  <c r="AQ119" i="1"/>
  <c r="AQ118" i="1"/>
  <c r="AQ117" i="1"/>
  <c r="AQ116" i="1"/>
  <c r="AQ115" i="1"/>
  <c r="AQ114" i="1"/>
  <c r="AQ113" i="1"/>
  <c r="AQ112" i="1"/>
  <c r="AQ111" i="1"/>
  <c r="AQ110" i="1"/>
  <c r="AQ109" i="1"/>
  <c r="AQ108" i="1"/>
  <c r="AQ107" i="1"/>
  <c r="AQ106" i="1"/>
  <c r="AQ105" i="1"/>
  <c r="AQ104" i="1"/>
  <c r="AQ103" i="1"/>
  <c r="AQ102" i="1"/>
  <c r="AQ101" i="1"/>
  <c r="AQ100" i="1"/>
  <c r="AQ99" i="1"/>
  <c r="AQ98" i="1"/>
  <c r="AQ97" i="1"/>
  <c r="AQ96" i="1"/>
  <c r="AQ95" i="1"/>
  <c r="AQ94" i="1"/>
  <c r="AQ93" i="1"/>
  <c r="AQ92" i="1"/>
  <c r="AQ91" i="1"/>
  <c r="AQ90" i="1"/>
  <c r="AQ89" i="1"/>
  <c r="AQ88" i="1"/>
  <c r="AQ87" i="1"/>
  <c r="AQ86" i="1"/>
  <c r="AQ85" i="1"/>
  <c r="AQ84" i="1"/>
  <c r="AQ83" i="1"/>
  <c r="AQ82" i="1"/>
  <c r="AQ81" i="1"/>
  <c r="AQ80" i="1"/>
  <c r="AQ79" i="1"/>
  <c r="AQ78" i="1"/>
  <c r="AQ77" i="1"/>
  <c r="AQ76" i="1"/>
  <c r="AQ75" i="1"/>
  <c r="AQ74" i="1"/>
  <c r="AQ73" i="1"/>
  <c r="AQ72" i="1"/>
  <c r="AQ71" i="1"/>
  <c r="AQ70" i="1"/>
  <c r="AQ69" i="1"/>
  <c r="AQ68" i="1"/>
  <c r="AQ67" i="1"/>
  <c r="AQ66" i="1"/>
  <c r="AQ65" i="1"/>
  <c r="AQ64" i="1"/>
  <c r="AQ63" i="1"/>
  <c r="AQ62" i="1"/>
  <c r="AQ61" i="1"/>
  <c r="AQ60" i="1"/>
  <c r="AQ59" i="1"/>
  <c r="AQ58" i="1"/>
  <c r="AQ57" i="1"/>
  <c r="AQ56" i="1"/>
  <c r="AQ55" i="1"/>
  <c r="AQ54" i="1"/>
  <c r="AQ53" i="1"/>
  <c r="AQ52" i="1"/>
  <c r="AQ51" i="1"/>
  <c r="AQ50" i="1"/>
  <c r="AQ49" i="1"/>
  <c r="AQ48" i="1"/>
  <c r="AQ47" i="1"/>
  <c r="AQ46" i="1"/>
  <c r="AQ45" i="1"/>
  <c r="AQ44" i="1"/>
  <c r="AQ43" i="1"/>
  <c r="AQ42" i="1"/>
  <c r="AQ41" i="1"/>
  <c r="AQ40" i="1"/>
  <c r="AQ39" i="1"/>
  <c r="AQ38" i="1"/>
  <c r="AQ37" i="1"/>
  <c r="AQ36" i="1"/>
  <c r="AQ35" i="1"/>
  <c r="AQ34" i="1"/>
  <c r="AQ33" i="1"/>
  <c r="AQ32" i="1"/>
  <c r="AQ31" i="1"/>
  <c r="AQ30" i="1"/>
  <c r="AQ29" i="1"/>
  <c r="AQ28" i="1"/>
  <c r="AQ27" i="1"/>
  <c r="AQ26" i="1"/>
  <c r="AQ25" i="1"/>
  <c r="AQ24" i="1"/>
  <c r="AQ23" i="1"/>
  <c r="AQ22" i="1"/>
  <c r="AQ21" i="1"/>
  <c r="AQ20" i="1"/>
  <c r="AQ19" i="1"/>
  <c r="AQ18" i="1"/>
  <c r="AQ17" i="1"/>
  <c r="AQ16" i="1"/>
  <c r="AQ15" i="1"/>
  <c r="AQ14" i="1"/>
  <c r="AQ13" i="1"/>
  <c r="AQ12" i="1"/>
  <c r="AQ11" i="1"/>
  <c r="AQ10" i="1"/>
  <c r="AQ9" i="1"/>
  <c r="AQ8" i="1"/>
  <c r="AQ7" i="1"/>
  <c r="AQ6" i="1"/>
  <c r="AQ5" i="1"/>
  <c r="AQ4" i="1"/>
  <c r="AQ3" i="1"/>
  <c r="AN173" i="1"/>
  <c r="AN172" i="1"/>
  <c r="AN171" i="1"/>
  <c r="AN170" i="1"/>
  <c r="AN169" i="1"/>
  <c r="AN168" i="1"/>
  <c r="AN167" i="1"/>
  <c r="AN166" i="1"/>
  <c r="AN165" i="1"/>
  <c r="AN164" i="1"/>
  <c r="AN163" i="1"/>
  <c r="AN162" i="1"/>
  <c r="AN161" i="1"/>
  <c r="AN160" i="1"/>
  <c r="AN159" i="1"/>
  <c r="AN158" i="1"/>
  <c r="AN157" i="1"/>
  <c r="AN156" i="1"/>
  <c r="AN155" i="1"/>
  <c r="AN154" i="1"/>
  <c r="AN153" i="1"/>
  <c r="AN152" i="1"/>
  <c r="AN151" i="1"/>
  <c r="AN150" i="1"/>
  <c r="AN149" i="1"/>
  <c r="AN148" i="1"/>
  <c r="AN147" i="1"/>
  <c r="AN146" i="1"/>
  <c r="AN145" i="1"/>
  <c r="AN144" i="1"/>
  <c r="AN143" i="1"/>
  <c r="AN142" i="1"/>
  <c r="AN141" i="1"/>
  <c r="AN140" i="1"/>
  <c r="AN139" i="1"/>
  <c r="AN138" i="1"/>
  <c r="AN137" i="1"/>
  <c r="AN136" i="1"/>
  <c r="AN135" i="1"/>
  <c r="AN134" i="1"/>
  <c r="AN133" i="1"/>
  <c r="AN132" i="1"/>
  <c r="AN131" i="1"/>
  <c r="AN130" i="1"/>
  <c r="AN129" i="1"/>
  <c r="AN128" i="1"/>
  <c r="AN127" i="1"/>
  <c r="AN126" i="1"/>
  <c r="AN125" i="1"/>
  <c r="AN124" i="1"/>
  <c r="AN123" i="1"/>
  <c r="AN122" i="1"/>
  <c r="AN121" i="1"/>
  <c r="AN120" i="1"/>
  <c r="AN119" i="1"/>
  <c r="AN118" i="1"/>
  <c r="AN117" i="1"/>
  <c r="AN116" i="1"/>
  <c r="AN115" i="1"/>
  <c r="AN114" i="1"/>
  <c r="AN113" i="1"/>
  <c r="AN112" i="1"/>
  <c r="AN111" i="1"/>
  <c r="AN110" i="1"/>
  <c r="AN109" i="1"/>
  <c r="AN108" i="1"/>
  <c r="AN107" i="1"/>
  <c r="AN106" i="1"/>
  <c r="AN105" i="1"/>
  <c r="AN104" i="1"/>
  <c r="AN103" i="1"/>
  <c r="AN102" i="1"/>
  <c r="AN101" i="1"/>
  <c r="AN100" i="1"/>
  <c r="AN99" i="1"/>
  <c r="AN98" i="1"/>
  <c r="AN97" i="1"/>
  <c r="AN96" i="1"/>
  <c r="AN95" i="1"/>
  <c r="AN94" i="1"/>
  <c r="AN93" i="1"/>
  <c r="AN92" i="1"/>
  <c r="AN91" i="1"/>
  <c r="AN90" i="1"/>
  <c r="AN89" i="1"/>
  <c r="AN88" i="1"/>
  <c r="AN87" i="1"/>
  <c r="AN86" i="1"/>
  <c r="AN85" i="1"/>
  <c r="AN84" i="1"/>
  <c r="AN83" i="1"/>
  <c r="AN82" i="1"/>
  <c r="AN81" i="1"/>
  <c r="AN80" i="1"/>
  <c r="AN79" i="1"/>
  <c r="AN78" i="1"/>
  <c r="AN77" i="1"/>
  <c r="AN76" i="1"/>
  <c r="AN75" i="1"/>
  <c r="AN74" i="1"/>
  <c r="AN73" i="1"/>
  <c r="AN72" i="1"/>
  <c r="AN71" i="1"/>
  <c r="AN70" i="1"/>
  <c r="AN69" i="1"/>
  <c r="AN68" i="1"/>
  <c r="AN67" i="1"/>
  <c r="AN66" i="1"/>
  <c r="AN65" i="1"/>
  <c r="AN64" i="1"/>
  <c r="AN63" i="1"/>
  <c r="AN62" i="1"/>
  <c r="AN61" i="1"/>
  <c r="AN60" i="1"/>
  <c r="AN59" i="1"/>
  <c r="AN58" i="1"/>
  <c r="AN57" i="1"/>
  <c r="AN56" i="1"/>
  <c r="AN55" i="1"/>
  <c r="AN54" i="1"/>
  <c r="AN53" i="1"/>
  <c r="AN52" i="1"/>
  <c r="AN51" i="1"/>
  <c r="AN50" i="1"/>
  <c r="AN49" i="1"/>
  <c r="AN48" i="1"/>
  <c r="AN47" i="1"/>
  <c r="AN46" i="1"/>
  <c r="AN45" i="1"/>
  <c r="AN44" i="1"/>
  <c r="AN43" i="1"/>
  <c r="AN42" i="1"/>
  <c r="AN41" i="1"/>
  <c r="AN40" i="1"/>
  <c r="AN39" i="1"/>
  <c r="AN38" i="1"/>
  <c r="AN37" i="1"/>
  <c r="AN36" i="1"/>
  <c r="AN35" i="1"/>
  <c r="AN34" i="1"/>
  <c r="AN33" i="1"/>
  <c r="AN32" i="1"/>
  <c r="AN31" i="1"/>
  <c r="AN30" i="1"/>
  <c r="AN29" i="1"/>
  <c r="AN28" i="1"/>
  <c r="AN27" i="1"/>
  <c r="AN26" i="1"/>
  <c r="AN25" i="1"/>
  <c r="AN24" i="1"/>
  <c r="AN23" i="1"/>
  <c r="AN22" i="1"/>
  <c r="AN21" i="1"/>
  <c r="AN20" i="1"/>
  <c r="AN19" i="1"/>
  <c r="AN18" i="1"/>
  <c r="AN17" i="1"/>
  <c r="AN16" i="1"/>
  <c r="AN15" i="1"/>
  <c r="AN14" i="1"/>
  <c r="AN13" i="1"/>
  <c r="AN12" i="1"/>
  <c r="AN11" i="1"/>
  <c r="AN10" i="1"/>
  <c r="AN9" i="1"/>
  <c r="AN8" i="1"/>
  <c r="AN7" i="1"/>
  <c r="AN6" i="1"/>
  <c r="AN5" i="1"/>
  <c r="AN4" i="1"/>
  <c r="AN3" i="1"/>
  <c r="AK173" i="1"/>
  <c r="AK172" i="1"/>
  <c r="AK171" i="1"/>
  <c r="AK170" i="1"/>
  <c r="AK169" i="1"/>
  <c r="AK168" i="1"/>
  <c r="AK167" i="1"/>
  <c r="AK166" i="1"/>
  <c r="AK165" i="1"/>
  <c r="AK164" i="1"/>
  <c r="AK163" i="1"/>
  <c r="AK162" i="1"/>
  <c r="AK161" i="1"/>
  <c r="AK160" i="1"/>
  <c r="AK159" i="1"/>
  <c r="AK158" i="1"/>
  <c r="AK157" i="1"/>
  <c r="AK156" i="1"/>
  <c r="AK155" i="1"/>
  <c r="AK154" i="1"/>
  <c r="AK153" i="1"/>
  <c r="AK152" i="1"/>
  <c r="AK151" i="1"/>
  <c r="AK150" i="1"/>
  <c r="AK149" i="1"/>
  <c r="AK148" i="1"/>
  <c r="AK147" i="1"/>
  <c r="AK146" i="1"/>
  <c r="AK145" i="1"/>
  <c r="AK144" i="1"/>
  <c r="AK143" i="1"/>
  <c r="AK142" i="1"/>
  <c r="AK141" i="1"/>
  <c r="AK140" i="1"/>
  <c r="AK139" i="1"/>
  <c r="AK138" i="1"/>
  <c r="AK137" i="1"/>
  <c r="AK136" i="1"/>
  <c r="AK135" i="1"/>
  <c r="AK134" i="1"/>
  <c r="AK133" i="1"/>
  <c r="AK132" i="1"/>
  <c r="AK131" i="1"/>
  <c r="AK130" i="1"/>
  <c r="AK129" i="1"/>
  <c r="AK128" i="1"/>
  <c r="AK127" i="1"/>
  <c r="AK126" i="1"/>
  <c r="AK125" i="1"/>
  <c r="AK124" i="1"/>
  <c r="AK123" i="1"/>
  <c r="AK122" i="1"/>
  <c r="AK121" i="1"/>
  <c r="AK120" i="1"/>
  <c r="AK119" i="1"/>
  <c r="AK118" i="1"/>
  <c r="AK117" i="1"/>
  <c r="AK116" i="1"/>
  <c r="AK115" i="1"/>
  <c r="AK114" i="1"/>
  <c r="AK113" i="1"/>
  <c r="AK112" i="1"/>
  <c r="AK111" i="1"/>
  <c r="AK110" i="1"/>
  <c r="AK109" i="1"/>
  <c r="AK108" i="1"/>
  <c r="AK107" i="1"/>
  <c r="AK106" i="1"/>
  <c r="AK105" i="1"/>
  <c r="AK104" i="1"/>
  <c r="AK103" i="1"/>
  <c r="AK102" i="1"/>
  <c r="AK101" i="1"/>
  <c r="AK100" i="1"/>
  <c r="AK99" i="1"/>
  <c r="AK98" i="1"/>
  <c r="AK97" i="1"/>
  <c r="AK96" i="1"/>
  <c r="AK95" i="1"/>
  <c r="AK94" i="1"/>
  <c r="AK93" i="1"/>
  <c r="AK92" i="1"/>
  <c r="AK91" i="1"/>
  <c r="AK90" i="1"/>
  <c r="AK89" i="1"/>
  <c r="AK88" i="1"/>
  <c r="AK87" i="1"/>
  <c r="AK86" i="1"/>
  <c r="AK85" i="1"/>
  <c r="AK84" i="1"/>
  <c r="AK83" i="1"/>
  <c r="AK82" i="1"/>
  <c r="AK81" i="1"/>
  <c r="AK80" i="1"/>
  <c r="AK79" i="1"/>
  <c r="AK78" i="1"/>
  <c r="AK77" i="1"/>
  <c r="AK76" i="1"/>
  <c r="AK75" i="1"/>
  <c r="AK74" i="1"/>
  <c r="AK73" i="1"/>
  <c r="AK72" i="1"/>
  <c r="AK71" i="1"/>
  <c r="AK70" i="1"/>
  <c r="AK69" i="1"/>
  <c r="AK68" i="1"/>
  <c r="AK67" i="1"/>
  <c r="AK66" i="1"/>
  <c r="AK65" i="1"/>
  <c r="AK64" i="1"/>
  <c r="AK63" i="1"/>
  <c r="AK62" i="1"/>
  <c r="AK61" i="1"/>
  <c r="AK60" i="1"/>
  <c r="AK59" i="1"/>
  <c r="AK58" i="1"/>
  <c r="AK57" i="1"/>
  <c r="AK56" i="1"/>
  <c r="AK55" i="1"/>
  <c r="AK54" i="1"/>
  <c r="AK53" i="1"/>
  <c r="AK52" i="1"/>
  <c r="AK51" i="1"/>
  <c r="AK50" i="1"/>
  <c r="AK49" i="1"/>
  <c r="AK48" i="1"/>
  <c r="AK47" i="1"/>
  <c r="AK46" i="1"/>
  <c r="AK45" i="1"/>
  <c r="AK44" i="1"/>
  <c r="AK43" i="1"/>
  <c r="AK42" i="1"/>
  <c r="AK41" i="1"/>
  <c r="AK40" i="1"/>
  <c r="AK39" i="1"/>
  <c r="AK38" i="1"/>
  <c r="AK37" i="1"/>
  <c r="AK36" i="1"/>
  <c r="AK35" i="1"/>
  <c r="AK34" i="1"/>
  <c r="AK33" i="1"/>
  <c r="AK32" i="1"/>
  <c r="AK31" i="1"/>
  <c r="AK30" i="1"/>
  <c r="AK29" i="1"/>
  <c r="AK28" i="1"/>
  <c r="AK27" i="1"/>
  <c r="AK26" i="1"/>
  <c r="AK25" i="1"/>
  <c r="AK24" i="1"/>
  <c r="AK23" i="1"/>
  <c r="AK22" i="1"/>
  <c r="AK21" i="1"/>
  <c r="AK20" i="1"/>
  <c r="AK19" i="1"/>
  <c r="AK18" i="1"/>
  <c r="AK17" i="1"/>
  <c r="AK16" i="1"/>
  <c r="AK15" i="1"/>
  <c r="AK14" i="1"/>
  <c r="AK13" i="1"/>
  <c r="AK12" i="1"/>
  <c r="AK11" i="1"/>
  <c r="AK10" i="1"/>
  <c r="AK9" i="1"/>
  <c r="AK8" i="1"/>
  <c r="AK7" i="1"/>
  <c r="AK6" i="1"/>
  <c r="AK5" i="1"/>
  <c r="AK4" i="1"/>
  <c r="AK3" i="1"/>
  <c r="AH173" i="1"/>
  <c r="AH172" i="1"/>
  <c r="AH171" i="1"/>
  <c r="AH170" i="1"/>
  <c r="AH169" i="1"/>
  <c r="AH168" i="1"/>
  <c r="AH167" i="1"/>
  <c r="AH166" i="1"/>
  <c r="AH165" i="1"/>
  <c r="AH164" i="1"/>
  <c r="AH163" i="1"/>
  <c r="AH162" i="1"/>
  <c r="AH161" i="1"/>
  <c r="AH160" i="1"/>
  <c r="AH159" i="1"/>
  <c r="AH158" i="1"/>
  <c r="AH157" i="1"/>
  <c r="AH156" i="1"/>
  <c r="AH155" i="1"/>
  <c r="AH154" i="1"/>
  <c r="AH153" i="1"/>
  <c r="AH152" i="1"/>
  <c r="AH151" i="1"/>
  <c r="AH150" i="1"/>
  <c r="AH149" i="1"/>
  <c r="AH148" i="1"/>
  <c r="AH147" i="1"/>
  <c r="AH146" i="1"/>
  <c r="AH145" i="1"/>
  <c r="AH144" i="1"/>
  <c r="AH143" i="1"/>
  <c r="AH142" i="1"/>
  <c r="AH141" i="1"/>
  <c r="AH140" i="1"/>
  <c r="AH139" i="1"/>
  <c r="AH138" i="1"/>
  <c r="AH137" i="1"/>
  <c r="AH136" i="1"/>
  <c r="AH135" i="1"/>
  <c r="AH134" i="1"/>
  <c r="AH133" i="1"/>
  <c r="AH132" i="1"/>
  <c r="AH131" i="1"/>
  <c r="AH130" i="1"/>
  <c r="AH129" i="1"/>
  <c r="AH128" i="1"/>
  <c r="AH127" i="1"/>
  <c r="AH126" i="1"/>
  <c r="AH125" i="1"/>
  <c r="AH124" i="1"/>
  <c r="AH123" i="1"/>
  <c r="AH122" i="1"/>
  <c r="AH121" i="1"/>
  <c r="AH120" i="1"/>
  <c r="AH119" i="1"/>
  <c r="AH118" i="1"/>
  <c r="AH117" i="1"/>
  <c r="AH116" i="1"/>
  <c r="AH115" i="1"/>
  <c r="AH114" i="1"/>
  <c r="AH113" i="1"/>
  <c r="AH112" i="1"/>
  <c r="AH111" i="1"/>
  <c r="AH110" i="1"/>
  <c r="AH109" i="1"/>
  <c r="AH108" i="1"/>
  <c r="AH107" i="1"/>
  <c r="AH106" i="1"/>
  <c r="AH105" i="1"/>
  <c r="AH104" i="1"/>
  <c r="AH103" i="1"/>
  <c r="AH102" i="1"/>
  <c r="AH101" i="1"/>
  <c r="AH100" i="1"/>
  <c r="AH99" i="1"/>
  <c r="AH98" i="1"/>
  <c r="AH97" i="1"/>
  <c r="AH96" i="1"/>
  <c r="AH95" i="1"/>
  <c r="AH94" i="1"/>
  <c r="AH93" i="1"/>
  <c r="AH92" i="1"/>
  <c r="AH91" i="1"/>
  <c r="AH90" i="1"/>
  <c r="AH89" i="1"/>
  <c r="AH88" i="1"/>
  <c r="AH87" i="1"/>
  <c r="AH86" i="1"/>
  <c r="AH85" i="1"/>
  <c r="AH84" i="1"/>
  <c r="AH83" i="1"/>
  <c r="AH82" i="1"/>
  <c r="AH81" i="1"/>
  <c r="AH80" i="1"/>
  <c r="AH79" i="1"/>
  <c r="AH78" i="1"/>
  <c r="AH77" i="1"/>
  <c r="AH76" i="1"/>
  <c r="AH75" i="1"/>
  <c r="AH74" i="1"/>
  <c r="AH73" i="1"/>
  <c r="AH72" i="1"/>
  <c r="AH71" i="1"/>
  <c r="AH70" i="1"/>
  <c r="AH69" i="1"/>
  <c r="AH68" i="1"/>
  <c r="AH67" i="1"/>
  <c r="AH66" i="1"/>
  <c r="AH65" i="1"/>
  <c r="AH64" i="1"/>
  <c r="AH63" i="1"/>
  <c r="AH62" i="1"/>
  <c r="AH61" i="1"/>
  <c r="AH60" i="1"/>
  <c r="AH59" i="1"/>
  <c r="AH58" i="1"/>
  <c r="AH57" i="1"/>
  <c r="AH56" i="1"/>
  <c r="AH55" i="1"/>
  <c r="AH54" i="1"/>
  <c r="AH53" i="1"/>
  <c r="AH52" i="1"/>
  <c r="AH51" i="1"/>
  <c r="AH50" i="1"/>
  <c r="AH49" i="1"/>
  <c r="AH48" i="1"/>
  <c r="AH47" i="1"/>
  <c r="AH46" i="1"/>
  <c r="AH45" i="1"/>
  <c r="AH44" i="1"/>
  <c r="AH43" i="1"/>
  <c r="AH42" i="1"/>
  <c r="AH41" i="1"/>
  <c r="AH40" i="1"/>
  <c r="AH39" i="1"/>
  <c r="AH38" i="1"/>
  <c r="AH37" i="1"/>
  <c r="AH36" i="1"/>
  <c r="AH35" i="1"/>
  <c r="AH34" i="1"/>
  <c r="AH33" i="1"/>
  <c r="AH32" i="1"/>
  <c r="AH31" i="1"/>
  <c r="AH30" i="1"/>
  <c r="AH29" i="1"/>
  <c r="AH28" i="1"/>
  <c r="AH27" i="1"/>
  <c r="AH26" i="1"/>
  <c r="AH25" i="1"/>
  <c r="AH24" i="1"/>
  <c r="AH23" i="1"/>
  <c r="AH22" i="1"/>
  <c r="AH21" i="1"/>
  <c r="AH20" i="1"/>
  <c r="AH19" i="1"/>
  <c r="AH18" i="1"/>
  <c r="AH17" i="1"/>
  <c r="AH16" i="1"/>
  <c r="AH15" i="1"/>
  <c r="AH14" i="1"/>
  <c r="AH13" i="1"/>
  <c r="AH12" i="1"/>
  <c r="AH11" i="1"/>
  <c r="AH10" i="1"/>
  <c r="AH9" i="1"/>
  <c r="AH8" i="1"/>
  <c r="AH7" i="1"/>
  <c r="AH6" i="1"/>
  <c r="AH5" i="1"/>
  <c r="AH4" i="1"/>
  <c r="AH3" i="1"/>
  <c r="AE173" i="1"/>
  <c r="AE172" i="1"/>
  <c r="AE171" i="1"/>
  <c r="AE170" i="1"/>
  <c r="AE169" i="1"/>
  <c r="AE168" i="1"/>
  <c r="AE167" i="1"/>
  <c r="AE166" i="1"/>
  <c r="AE165" i="1"/>
  <c r="AE164" i="1"/>
  <c r="AE163" i="1"/>
  <c r="AE162" i="1"/>
  <c r="AE161" i="1"/>
  <c r="AE160" i="1"/>
  <c r="AE159" i="1"/>
  <c r="AE158" i="1"/>
  <c r="AE157" i="1"/>
  <c r="AE156" i="1"/>
  <c r="AE155" i="1"/>
  <c r="AE154" i="1"/>
  <c r="AE153" i="1"/>
  <c r="AE152" i="1"/>
  <c r="AE151" i="1"/>
  <c r="AE150" i="1"/>
  <c r="AE149" i="1"/>
  <c r="AE148" i="1"/>
  <c r="AE147" i="1"/>
  <c r="AE146" i="1"/>
  <c r="AE145" i="1"/>
  <c r="AE144" i="1"/>
  <c r="AE143" i="1"/>
  <c r="AE142" i="1"/>
  <c r="AE141" i="1"/>
  <c r="AE140" i="1"/>
  <c r="AE139" i="1"/>
  <c r="AE138" i="1"/>
  <c r="AE137" i="1"/>
  <c r="AE136" i="1"/>
  <c r="AE135" i="1"/>
  <c r="AE134" i="1"/>
  <c r="AE133" i="1"/>
  <c r="AE132" i="1"/>
  <c r="AE131" i="1"/>
  <c r="AE130" i="1"/>
  <c r="AE129" i="1"/>
  <c r="AE128" i="1"/>
  <c r="AE127" i="1"/>
  <c r="AE126" i="1"/>
  <c r="AE125" i="1"/>
  <c r="AE124" i="1"/>
  <c r="AE123" i="1"/>
  <c r="AE122" i="1"/>
  <c r="AE121" i="1"/>
  <c r="AE120" i="1"/>
  <c r="AE119" i="1"/>
  <c r="AE118" i="1"/>
  <c r="AE117" i="1"/>
  <c r="AE116" i="1"/>
  <c r="AE115" i="1"/>
  <c r="AE114" i="1"/>
  <c r="AE113" i="1"/>
  <c r="AE112" i="1"/>
  <c r="AE111" i="1"/>
  <c r="AE110" i="1"/>
  <c r="AE109" i="1"/>
  <c r="AE108" i="1"/>
  <c r="AE107" i="1"/>
  <c r="AE106" i="1"/>
  <c r="AE105" i="1"/>
  <c r="AE104" i="1"/>
  <c r="AE103" i="1"/>
  <c r="AE102" i="1"/>
  <c r="AE101" i="1"/>
  <c r="AE100" i="1"/>
  <c r="AE99" i="1"/>
  <c r="AE98" i="1"/>
  <c r="AE97" i="1"/>
  <c r="AE96" i="1"/>
  <c r="AE95" i="1"/>
  <c r="AE94" i="1"/>
  <c r="AE93" i="1"/>
  <c r="AE92" i="1"/>
  <c r="AE91" i="1"/>
  <c r="AE90" i="1"/>
  <c r="AE89" i="1"/>
  <c r="AE88" i="1"/>
  <c r="AE87" i="1"/>
  <c r="AE86" i="1"/>
  <c r="AE85" i="1"/>
  <c r="AE84" i="1"/>
  <c r="AE83" i="1"/>
  <c r="AE82" i="1"/>
  <c r="AE81" i="1"/>
  <c r="AE80" i="1"/>
  <c r="AE79" i="1"/>
  <c r="AE78" i="1"/>
  <c r="AE77" i="1"/>
  <c r="AE76" i="1"/>
  <c r="AE75" i="1"/>
  <c r="AE74" i="1"/>
  <c r="AE73" i="1"/>
  <c r="AE72" i="1"/>
  <c r="AE71" i="1"/>
  <c r="AE70" i="1"/>
  <c r="AE69" i="1"/>
  <c r="AE68" i="1"/>
  <c r="AE67" i="1"/>
  <c r="AE66" i="1"/>
  <c r="AE65" i="1"/>
  <c r="AE64" i="1"/>
  <c r="AE63" i="1"/>
  <c r="AE62" i="1"/>
  <c r="AE61" i="1"/>
  <c r="AE60" i="1"/>
  <c r="AE59" i="1"/>
  <c r="AE58" i="1"/>
  <c r="AE57" i="1"/>
  <c r="AE56" i="1"/>
  <c r="AE55" i="1"/>
  <c r="AE54" i="1"/>
  <c r="AE53" i="1"/>
  <c r="AE52" i="1"/>
  <c r="AE51" i="1"/>
  <c r="AE50" i="1"/>
  <c r="AE49" i="1"/>
  <c r="AE48" i="1"/>
  <c r="AE47" i="1"/>
  <c r="AE46" i="1"/>
  <c r="AE45" i="1"/>
  <c r="AE44" i="1"/>
  <c r="AE43" i="1"/>
  <c r="AE42" i="1"/>
  <c r="AE41" i="1"/>
  <c r="AE40" i="1"/>
  <c r="AE39" i="1"/>
  <c r="AE38" i="1"/>
  <c r="AE37" i="1"/>
  <c r="AE36" i="1"/>
  <c r="AE35" i="1"/>
  <c r="AE34" i="1"/>
  <c r="AE33" i="1"/>
  <c r="AE32" i="1"/>
  <c r="AE31" i="1"/>
  <c r="AE30" i="1"/>
  <c r="AE29" i="1"/>
  <c r="AE28" i="1"/>
  <c r="AE27" i="1"/>
  <c r="AE26" i="1"/>
  <c r="AE25" i="1"/>
  <c r="AE24" i="1"/>
  <c r="AE23" i="1"/>
  <c r="AE22" i="1"/>
  <c r="AE21" i="1"/>
  <c r="AE20" i="1"/>
  <c r="AE19" i="1"/>
  <c r="AE18" i="1"/>
  <c r="AE17" i="1"/>
  <c r="AE16" i="1"/>
  <c r="AE15" i="1"/>
  <c r="AE14" i="1"/>
  <c r="AE13" i="1"/>
  <c r="AE12" i="1"/>
  <c r="AE11" i="1"/>
  <c r="AE10" i="1"/>
  <c r="AE9" i="1"/>
  <c r="AE8" i="1"/>
  <c r="AE7" i="1"/>
  <c r="AE6" i="1"/>
  <c r="AE5" i="1"/>
  <c r="AE4" i="1"/>
  <c r="AE3" i="1"/>
  <c r="AB173" i="1"/>
  <c r="AB172" i="1"/>
  <c r="AB171" i="1"/>
  <c r="AB170" i="1"/>
  <c r="AB169" i="1"/>
  <c r="AB168" i="1"/>
  <c r="AB167" i="1"/>
  <c r="AB166" i="1"/>
  <c r="AB165" i="1"/>
  <c r="AB164" i="1"/>
  <c r="AB163" i="1"/>
  <c r="AB162" i="1"/>
  <c r="AB161" i="1"/>
  <c r="AB160" i="1"/>
  <c r="AB159" i="1"/>
  <c r="AB158" i="1"/>
  <c r="AB157" i="1"/>
  <c r="AB156" i="1"/>
  <c r="AB155" i="1"/>
  <c r="AB154" i="1"/>
  <c r="AB153" i="1"/>
  <c r="AB152" i="1"/>
  <c r="AB151" i="1"/>
  <c r="AB150" i="1"/>
  <c r="AB149" i="1"/>
  <c r="AB148" i="1"/>
  <c r="AB147" i="1"/>
  <c r="AB146" i="1"/>
  <c r="AB145" i="1"/>
  <c r="AB144" i="1"/>
  <c r="AB143" i="1"/>
  <c r="AB142" i="1"/>
  <c r="AB141" i="1"/>
  <c r="AB140" i="1"/>
  <c r="AB139" i="1"/>
  <c r="AB138" i="1"/>
  <c r="AB137" i="1"/>
  <c r="AB136" i="1"/>
  <c r="AB135" i="1"/>
  <c r="AB134" i="1"/>
  <c r="AB133" i="1"/>
  <c r="AB132" i="1"/>
  <c r="AB131" i="1"/>
  <c r="AB130" i="1"/>
  <c r="AB129" i="1"/>
  <c r="AB128" i="1"/>
  <c r="AB127" i="1"/>
  <c r="AB126" i="1"/>
  <c r="AB125" i="1"/>
  <c r="AB124" i="1"/>
  <c r="AB123" i="1"/>
  <c r="AB122" i="1"/>
  <c r="AB121" i="1"/>
  <c r="AB120" i="1"/>
  <c r="AB119" i="1"/>
  <c r="AB118" i="1"/>
  <c r="AB117" i="1"/>
  <c r="AB116" i="1"/>
  <c r="AB115" i="1"/>
  <c r="AB114" i="1"/>
  <c r="AB113" i="1"/>
  <c r="AB112" i="1"/>
  <c r="AB111" i="1"/>
  <c r="AB110" i="1"/>
  <c r="AB109" i="1"/>
  <c r="AB108" i="1"/>
  <c r="AB107" i="1"/>
  <c r="AB106" i="1"/>
  <c r="AB105" i="1"/>
  <c r="AB104" i="1"/>
  <c r="AB103" i="1"/>
  <c r="AB102" i="1"/>
  <c r="AB101" i="1"/>
  <c r="AB100" i="1"/>
  <c r="AB99" i="1"/>
  <c r="AB98" i="1"/>
  <c r="AB97" i="1"/>
  <c r="AB96" i="1"/>
  <c r="AB95" i="1"/>
  <c r="AB94" i="1"/>
  <c r="AB93" i="1"/>
  <c r="AB92" i="1"/>
  <c r="AB91" i="1"/>
  <c r="AB90" i="1"/>
  <c r="AB89" i="1"/>
  <c r="AB88" i="1"/>
  <c r="AB87" i="1"/>
  <c r="AB86" i="1"/>
  <c r="AB85" i="1"/>
  <c r="AB84" i="1"/>
  <c r="AB83" i="1"/>
  <c r="AB82" i="1"/>
  <c r="AB81" i="1"/>
  <c r="AB80" i="1"/>
  <c r="AB79" i="1"/>
  <c r="AB78" i="1"/>
  <c r="AB77" i="1"/>
  <c r="AB76" i="1"/>
  <c r="AB75" i="1"/>
  <c r="AB74" i="1"/>
  <c r="AB73" i="1"/>
  <c r="AB72" i="1"/>
  <c r="AB71" i="1"/>
  <c r="AB70" i="1"/>
  <c r="AB69" i="1"/>
  <c r="AB68" i="1"/>
  <c r="AB67" i="1"/>
  <c r="AB66" i="1"/>
  <c r="AB65" i="1"/>
  <c r="AB64" i="1"/>
  <c r="AB63" i="1"/>
  <c r="AB62" i="1"/>
  <c r="AB61" i="1"/>
  <c r="AB60" i="1"/>
  <c r="AB59" i="1"/>
  <c r="AB58" i="1"/>
  <c r="AB57" i="1"/>
  <c r="AB56" i="1"/>
  <c r="AB55" i="1"/>
  <c r="AB54" i="1"/>
  <c r="AB53" i="1"/>
  <c r="AB52" i="1"/>
  <c r="AB51" i="1"/>
  <c r="AB50" i="1"/>
  <c r="AB49" i="1"/>
  <c r="AB48" i="1"/>
  <c r="AB47" i="1"/>
  <c r="AB46" i="1"/>
  <c r="AB45" i="1"/>
  <c r="AB44" i="1"/>
  <c r="AB43" i="1"/>
  <c r="AB42" i="1"/>
  <c r="AB41" i="1"/>
  <c r="AB40" i="1"/>
  <c r="AB39" i="1"/>
  <c r="AB38" i="1"/>
  <c r="AB37" i="1"/>
  <c r="AB36" i="1"/>
  <c r="AB35" i="1"/>
  <c r="AB34" i="1"/>
  <c r="AB33" i="1"/>
  <c r="AB32" i="1"/>
  <c r="AB31" i="1"/>
  <c r="AB30" i="1"/>
  <c r="AB29" i="1"/>
  <c r="AB28" i="1"/>
  <c r="AB27" i="1"/>
  <c r="AB26" i="1"/>
  <c r="AB25" i="1"/>
  <c r="AB24" i="1"/>
  <c r="AB23" i="1"/>
  <c r="AB22" i="1"/>
  <c r="AB21" i="1"/>
  <c r="AB20" i="1"/>
  <c r="AB19" i="1"/>
  <c r="AB18" i="1"/>
  <c r="AB17" i="1"/>
  <c r="AB16" i="1"/>
  <c r="AB15" i="1"/>
  <c r="AB14" i="1"/>
  <c r="AB13" i="1"/>
  <c r="AB12" i="1"/>
  <c r="AB11" i="1"/>
  <c r="AB10" i="1"/>
  <c r="AB9" i="1"/>
  <c r="AB8" i="1"/>
  <c r="AB7" i="1"/>
  <c r="AB6" i="1"/>
  <c r="AB5" i="1"/>
  <c r="AB4" i="1"/>
  <c r="AB3" i="1"/>
  <c r="Y173" i="1"/>
  <c r="Y172" i="1"/>
  <c r="Y171" i="1"/>
  <c r="Y170" i="1"/>
  <c r="Y169" i="1"/>
  <c r="Y168" i="1"/>
  <c r="Y167" i="1"/>
  <c r="Y166" i="1"/>
  <c r="Y165" i="1"/>
  <c r="Y164" i="1"/>
  <c r="Y163" i="1"/>
  <c r="Y162" i="1"/>
  <c r="Y161" i="1"/>
  <c r="Y160" i="1"/>
  <c r="Y159" i="1"/>
  <c r="Y158" i="1"/>
  <c r="Y157" i="1"/>
  <c r="Y156" i="1"/>
  <c r="Y155" i="1"/>
  <c r="Y154" i="1"/>
  <c r="Y153" i="1"/>
  <c r="Y152" i="1"/>
  <c r="Y151" i="1"/>
  <c r="Y150" i="1"/>
  <c r="Y149" i="1"/>
  <c r="Y148" i="1"/>
  <c r="Y147" i="1"/>
  <c r="Y146" i="1"/>
  <c r="Y145" i="1"/>
  <c r="Y144" i="1"/>
  <c r="Y143" i="1"/>
  <c r="Y142" i="1"/>
  <c r="Y141" i="1"/>
  <c r="Y140" i="1"/>
  <c r="Y139" i="1"/>
  <c r="Y138" i="1"/>
  <c r="Y137" i="1"/>
  <c r="Y136" i="1"/>
  <c r="Y135" i="1"/>
  <c r="Y134" i="1"/>
  <c r="Y133" i="1"/>
  <c r="Y132" i="1"/>
  <c r="Y131" i="1"/>
  <c r="Y130" i="1"/>
  <c r="Y129" i="1"/>
  <c r="Y128" i="1"/>
  <c r="Y127" i="1"/>
  <c r="Y126" i="1"/>
  <c r="Y125" i="1"/>
  <c r="Y124" i="1"/>
  <c r="Y123" i="1"/>
  <c r="Y122" i="1"/>
  <c r="Y121" i="1"/>
  <c r="Y120" i="1"/>
  <c r="Y119" i="1"/>
  <c r="Y118" i="1"/>
  <c r="Y117" i="1"/>
  <c r="Y116" i="1"/>
  <c r="Y115" i="1"/>
  <c r="Y114" i="1"/>
  <c r="Y113" i="1"/>
  <c r="Y112" i="1"/>
  <c r="Y111" i="1"/>
  <c r="Y110" i="1"/>
  <c r="Y109" i="1"/>
  <c r="Y108" i="1"/>
  <c r="Y107" i="1"/>
  <c r="Y106" i="1"/>
  <c r="Y105" i="1"/>
  <c r="Y104" i="1"/>
  <c r="Y103" i="1"/>
  <c r="Y102" i="1"/>
  <c r="Y101" i="1"/>
  <c r="Y100" i="1"/>
  <c r="Y99" i="1"/>
  <c r="Y98" i="1"/>
  <c r="Y97" i="1"/>
  <c r="Y96" i="1"/>
  <c r="Y95" i="1"/>
  <c r="Y94" i="1"/>
  <c r="Y93" i="1"/>
  <c r="Y92" i="1"/>
  <c r="Y91" i="1"/>
  <c r="Y90" i="1"/>
  <c r="Y89" i="1"/>
  <c r="Y88" i="1"/>
  <c r="Y87" i="1"/>
  <c r="Y86" i="1"/>
  <c r="Y85" i="1"/>
  <c r="Y84" i="1"/>
  <c r="Y83" i="1"/>
  <c r="Y82" i="1"/>
  <c r="Y81" i="1"/>
  <c r="Y80" i="1"/>
  <c r="Y79" i="1"/>
  <c r="Y78" i="1"/>
  <c r="Y77" i="1"/>
  <c r="Y76" i="1"/>
  <c r="Y75" i="1"/>
  <c r="Y74" i="1"/>
  <c r="Y73" i="1"/>
  <c r="Y72" i="1"/>
  <c r="Y71" i="1"/>
  <c r="Y70" i="1"/>
  <c r="Y69" i="1"/>
  <c r="Y68" i="1"/>
  <c r="Y67" i="1"/>
  <c r="Y66" i="1"/>
  <c r="Y65" i="1"/>
  <c r="Y64" i="1"/>
  <c r="Y63" i="1"/>
  <c r="Y62" i="1"/>
  <c r="Y61" i="1"/>
  <c r="Y60" i="1"/>
  <c r="Y59" i="1"/>
  <c r="Y58" i="1"/>
  <c r="Y57" i="1"/>
  <c r="Y56" i="1"/>
  <c r="Y55" i="1"/>
  <c r="Y54" i="1"/>
  <c r="Y53" i="1"/>
  <c r="Y52" i="1"/>
  <c r="Y51" i="1"/>
  <c r="Y50" i="1"/>
  <c r="Y49" i="1"/>
  <c r="Y48" i="1"/>
  <c r="Y47" i="1"/>
  <c r="Y46" i="1"/>
  <c r="Y45" i="1"/>
  <c r="Y44" i="1"/>
  <c r="Y43" i="1"/>
  <c r="Y42" i="1"/>
  <c r="Y41" i="1"/>
  <c r="Y40" i="1"/>
  <c r="Y39" i="1"/>
  <c r="Y38" i="1"/>
  <c r="Y37" i="1"/>
  <c r="Y36" i="1"/>
  <c r="Y35" i="1"/>
  <c r="Y34" i="1"/>
  <c r="Y33" i="1"/>
  <c r="Y32" i="1"/>
  <c r="Y31" i="1"/>
  <c r="Y30" i="1"/>
  <c r="Y29" i="1"/>
  <c r="Y28" i="1"/>
  <c r="Y27" i="1"/>
  <c r="Y26" i="1"/>
  <c r="Y25" i="1"/>
  <c r="Y24" i="1"/>
  <c r="Y23" i="1"/>
  <c r="Y22" i="1"/>
  <c r="Y21" i="1"/>
  <c r="Y20" i="1"/>
  <c r="Y19" i="1"/>
  <c r="Y18" i="1"/>
  <c r="Y17" i="1"/>
  <c r="Y16" i="1"/>
  <c r="Y15" i="1"/>
  <c r="Y14" i="1"/>
  <c r="Y13" i="1"/>
  <c r="Y12" i="1"/>
  <c r="Y11" i="1"/>
  <c r="Y10" i="1"/>
  <c r="Y9" i="1"/>
  <c r="Y8" i="1"/>
  <c r="Y7" i="1"/>
  <c r="Y6" i="1"/>
  <c r="Y5" i="1"/>
  <c r="Y4" i="1"/>
  <c r="Y3" i="1"/>
  <c r="V173" i="1"/>
  <c r="V172" i="1"/>
  <c r="V171" i="1"/>
  <c r="V170" i="1"/>
  <c r="V169" i="1"/>
  <c r="V168" i="1"/>
  <c r="V167" i="1"/>
  <c r="V166" i="1"/>
  <c r="V165" i="1"/>
  <c r="V164" i="1"/>
  <c r="V163" i="1"/>
  <c r="V162" i="1"/>
  <c r="V161" i="1"/>
  <c r="V160" i="1"/>
  <c r="V159" i="1"/>
  <c r="V158" i="1"/>
  <c r="V157" i="1"/>
  <c r="V156" i="1"/>
  <c r="V155" i="1"/>
  <c r="V154" i="1"/>
  <c r="V153" i="1"/>
  <c r="V152" i="1"/>
  <c r="V151" i="1"/>
  <c r="V150" i="1"/>
  <c r="V149" i="1"/>
  <c r="V148" i="1"/>
  <c r="V147" i="1"/>
  <c r="V146" i="1"/>
  <c r="V145" i="1"/>
  <c r="V144" i="1"/>
  <c r="V143" i="1"/>
  <c r="V142" i="1"/>
  <c r="V141" i="1"/>
  <c r="V140" i="1"/>
  <c r="V139" i="1"/>
  <c r="V138" i="1"/>
  <c r="V137" i="1"/>
  <c r="V136" i="1"/>
  <c r="V135" i="1"/>
  <c r="V134" i="1"/>
  <c r="V133" i="1"/>
  <c r="V132" i="1"/>
  <c r="V131" i="1"/>
  <c r="V130" i="1"/>
  <c r="V129" i="1"/>
  <c r="V128" i="1"/>
  <c r="V127" i="1"/>
  <c r="V126" i="1"/>
  <c r="V125" i="1"/>
  <c r="V124" i="1"/>
  <c r="V123" i="1"/>
  <c r="V122" i="1"/>
  <c r="V121" i="1"/>
  <c r="V120" i="1"/>
  <c r="V119" i="1"/>
  <c r="V118" i="1"/>
  <c r="V117" i="1"/>
  <c r="V116" i="1"/>
  <c r="V115" i="1"/>
  <c r="V114" i="1"/>
  <c r="V113" i="1"/>
  <c r="V112" i="1"/>
  <c r="V111" i="1"/>
  <c r="V110" i="1"/>
  <c r="V109" i="1"/>
  <c r="V108" i="1"/>
  <c r="V107" i="1"/>
  <c r="V106" i="1"/>
  <c r="V105" i="1"/>
  <c r="V104" i="1"/>
  <c r="V103" i="1"/>
  <c r="V102" i="1"/>
  <c r="V101" i="1"/>
  <c r="V100" i="1"/>
  <c r="V99" i="1"/>
  <c r="V98" i="1"/>
  <c r="V97" i="1"/>
  <c r="V96" i="1"/>
  <c r="V95" i="1"/>
  <c r="V94" i="1"/>
  <c r="V93" i="1"/>
  <c r="V92" i="1"/>
  <c r="V91" i="1"/>
  <c r="V90" i="1"/>
  <c r="V89" i="1"/>
  <c r="V88" i="1"/>
  <c r="V87" i="1"/>
  <c r="V86" i="1"/>
  <c r="V85" i="1"/>
  <c r="V84" i="1"/>
  <c r="V83" i="1"/>
  <c r="V82" i="1"/>
  <c r="V81" i="1"/>
  <c r="V80" i="1"/>
  <c r="V79" i="1"/>
  <c r="V78" i="1"/>
  <c r="V77" i="1"/>
  <c r="V76" i="1"/>
  <c r="V75" i="1"/>
  <c r="V74" i="1"/>
  <c r="V73" i="1"/>
  <c r="V72" i="1"/>
  <c r="V71" i="1"/>
  <c r="V70" i="1"/>
  <c r="V69" i="1"/>
  <c r="V68" i="1"/>
  <c r="V67" i="1"/>
  <c r="V66" i="1"/>
  <c r="V65" i="1"/>
  <c r="V64" i="1"/>
  <c r="V63" i="1"/>
  <c r="V62" i="1"/>
  <c r="V61" i="1"/>
  <c r="V60" i="1"/>
  <c r="V59" i="1"/>
  <c r="V58" i="1"/>
  <c r="V57" i="1"/>
  <c r="V56" i="1"/>
  <c r="V55" i="1"/>
  <c r="V54" i="1"/>
  <c r="V53" i="1"/>
  <c r="V52" i="1"/>
  <c r="V51" i="1"/>
  <c r="V50" i="1"/>
  <c r="V49" i="1"/>
  <c r="V48" i="1"/>
  <c r="V47" i="1"/>
  <c r="V46" i="1"/>
  <c r="V45" i="1"/>
  <c r="V44" i="1"/>
  <c r="V43" i="1"/>
  <c r="V42" i="1"/>
  <c r="V41" i="1"/>
  <c r="V40" i="1"/>
  <c r="V39" i="1"/>
  <c r="V38" i="1"/>
  <c r="V37" i="1"/>
  <c r="V36" i="1"/>
  <c r="V35" i="1"/>
  <c r="V34" i="1"/>
  <c r="V33" i="1"/>
  <c r="V32" i="1"/>
  <c r="V31" i="1"/>
  <c r="V30" i="1"/>
  <c r="V29" i="1"/>
  <c r="V28" i="1"/>
  <c r="V27" i="1"/>
  <c r="V26" i="1"/>
  <c r="V25" i="1"/>
  <c r="V24" i="1"/>
  <c r="V23" i="1"/>
  <c r="V22" i="1"/>
  <c r="V21" i="1"/>
  <c r="V20" i="1"/>
  <c r="V19" i="1"/>
  <c r="V18" i="1"/>
  <c r="V17" i="1"/>
  <c r="V16" i="1"/>
  <c r="V15" i="1"/>
  <c r="V14" i="1"/>
  <c r="V13" i="1"/>
  <c r="V12" i="1"/>
  <c r="V11" i="1"/>
  <c r="V10" i="1"/>
  <c r="V9" i="1"/>
  <c r="V8" i="1"/>
  <c r="V7" i="1"/>
  <c r="V6" i="1"/>
  <c r="V5" i="1"/>
  <c r="V4" i="1"/>
  <c r="V3" i="1"/>
  <c r="S173" i="1"/>
  <c r="S172" i="1"/>
  <c r="S171" i="1"/>
  <c r="S170" i="1"/>
  <c r="S169" i="1"/>
  <c r="S168" i="1"/>
  <c r="S167" i="1"/>
  <c r="S166" i="1"/>
  <c r="S165" i="1"/>
  <c r="S164" i="1"/>
  <c r="S163" i="1"/>
  <c r="S162" i="1"/>
  <c r="S161" i="1"/>
  <c r="S160" i="1"/>
  <c r="S159" i="1"/>
  <c r="S158" i="1"/>
  <c r="S157" i="1"/>
  <c r="S156" i="1"/>
  <c r="S155" i="1"/>
  <c r="S154" i="1"/>
  <c r="S153" i="1"/>
  <c r="S152" i="1"/>
  <c r="S151" i="1"/>
  <c r="S150" i="1"/>
  <c r="S149" i="1"/>
  <c r="S148" i="1"/>
  <c r="S147" i="1"/>
  <c r="S146" i="1"/>
  <c r="S145" i="1"/>
  <c r="S144" i="1"/>
  <c r="S143" i="1"/>
  <c r="S142" i="1"/>
  <c r="S141" i="1"/>
  <c r="S140" i="1"/>
  <c r="S139" i="1"/>
  <c r="S138" i="1"/>
  <c r="S137" i="1"/>
  <c r="S136" i="1"/>
  <c r="S135" i="1"/>
  <c r="S134" i="1"/>
  <c r="S133" i="1"/>
  <c r="S132" i="1"/>
  <c r="S131" i="1"/>
  <c r="S130" i="1"/>
  <c r="S129" i="1"/>
  <c r="S128" i="1"/>
  <c r="S127" i="1"/>
  <c r="S126" i="1"/>
  <c r="S125" i="1"/>
  <c r="S124" i="1"/>
  <c r="S123" i="1"/>
  <c r="S122" i="1"/>
  <c r="S121" i="1"/>
  <c r="S120" i="1"/>
  <c r="S119" i="1"/>
  <c r="S118" i="1"/>
  <c r="S117" i="1"/>
  <c r="S116" i="1"/>
  <c r="S115" i="1"/>
  <c r="S114" i="1"/>
  <c r="S113" i="1"/>
  <c r="S112" i="1"/>
  <c r="S111" i="1"/>
  <c r="S110" i="1"/>
  <c r="S109" i="1"/>
  <c r="S108" i="1"/>
  <c r="S107" i="1"/>
  <c r="S106" i="1"/>
  <c r="S105" i="1"/>
  <c r="S104" i="1"/>
  <c r="S103" i="1"/>
  <c r="S102" i="1"/>
  <c r="S101" i="1"/>
  <c r="S100" i="1"/>
  <c r="S99" i="1"/>
  <c r="S98" i="1"/>
  <c r="S97" i="1"/>
  <c r="S96" i="1"/>
  <c r="S95" i="1"/>
  <c r="S94" i="1"/>
  <c r="S93" i="1"/>
  <c r="S92" i="1"/>
  <c r="S91" i="1"/>
  <c r="S90" i="1"/>
  <c r="S89" i="1"/>
  <c r="S88" i="1"/>
  <c r="S87" i="1"/>
  <c r="S86" i="1"/>
  <c r="S85" i="1"/>
  <c r="S84" i="1"/>
  <c r="S83" i="1"/>
  <c r="S82" i="1"/>
  <c r="S81" i="1"/>
  <c r="S80" i="1"/>
  <c r="S79" i="1"/>
  <c r="S78" i="1"/>
  <c r="S77" i="1"/>
  <c r="S76" i="1"/>
  <c r="S75" i="1"/>
  <c r="S74" i="1"/>
  <c r="S73" i="1"/>
  <c r="S72" i="1"/>
  <c r="S71" i="1"/>
  <c r="S70" i="1"/>
  <c r="S69" i="1"/>
  <c r="S68" i="1"/>
  <c r="S67" i="1"/>
  <c r="S66" i="1"/>
  <c r="S65" i="1"/>
  <c r="S64" i="1"/>
  <c r="S63" i="1"/>
  <c r="S62" i="1"/>
  <c r="S61" i="1"/>
  <c r="S60" i="1"/>
  <c r="S59" i="1"/>
  <c r="S58" i="1"/>
  <c r="S57" i="1"/>
  <c r="S56" i="1"/>
  <c r="S55" i="1"/>
  <c r="S54" i="1"/>
  <c r="S53" i="1"/>
  <c r="S52" i="1"/>
  <c r="S51" i="1"/>
  <c r="S50" i="1"/>
  <c r="S49" i="1"/>
  <c r="S48" i="1"/>
  <c r="S47" i="1"/>
  <c r="S46" i="1"/>
  <c r="S45" i="1"/>
  <c r="S44" i="1"/>
  <c r="S43" i="1"/>
  <c r="S42" i="1"/>
  <c r="S41" i="1"/>
  <c r="S40" i="1"/>
  <c r="S39" i="1"/>
  <c r="S38" i="1"/>
  <c r="S37" i="1"/>
  <c r="S36" i="1"/>
  <c r="S35" i="1"/>
  <c r="S34" i="1"/>
  <c r="S33" i="1"/>
  <c r="S32" i="1"/>
  <c r="S31" i="1"/>
  <c r="S30" i="1"/>
  <c r="S29" i="1"/>
  <c r="S28" i="1"/>
  <c r="S27" i="1"/>
  <c r="S26" i="1"/>
  <c r="S25" i="1"/>
  <c r="S24" i="1"/>
  <c r="S23" i="1"/>
  <c r="S22" i="1"/>
  <c r="S21" i="1"/>
  <c r="S20" i="1"/>
  <c r="S19" i="1"/>
  <c r="S18" i="1"/>
  <c r="S17" i="1"/>
  <c r="S16" i="1"/>
  <c r="S15" i="1"/>
  <c r="S14" i="1"/>
  <c r="S13" i="1"/>
  <c r="S12" i="1"/>
  <c r="S11" i="1"/>
  <c r="S10" i="1"/>
  <c r="S9" i="1"/>
  <c r="S8" i="1"/>
  <c r="S7" i="1"/>
  <c r="S6" i="1"/>
  <c r="S5" i="1"/>
  <c r="S4" i="1"/>
  <c r="S3" i="1"/>
  <c r="P173" i="1"/>
  <c r="P172" i="1"/>
  <c r="P171" i="1"/>
  <c r="P170" i="1"/>
  <c r="P169" i="1"/>
  <c r="P168" i="1"/>
  <c r="P167" i="1"/>
  <c r="P166" i="1"/>
  <c r="P165" i="1"/>
  <c r="P164" i="1"/>
  <c r="P163" i="1"/>
  <c r="P162" i="1"/>
  <c r="P161" i="1"/>
  <c r="P160" i="1"/>
  <c r="P159" i="1"/>
  <c r="P158" i="1"/>
  <c r="P157" i="1"/>
  <c r="P156" i="1"/>
  <c r="P155" i="1"/>
  <c r="P154" i="1"/>
  <c r="P153" i="1"/>
  <c r="P152" i="1"/>
  <c r="P151" i="1"/>
  <c r="P150" i="1"/>
  <c r="P149" i="1"/>
  <c r="P148" i="1"/>
  <c r="P147" i="1"/>
  <c r="P146" i="1"/>
  <c r="P145" i="1"/>
  <c r="P144" i="1"/>
  <c r="P143" i="1"/>
  <c r="P142" i="1"/>
  <c r="P141" i="1"/>
  <c r="P140" i="1"/>
  <c r="P139" i="1"/>
  <c r="P138" i="1"/>
  <c r="P137" i="1"/>
  <c r="P136" i="1"/>
  <c r="P135" i="1"/>
  <c r="P134" i="1"/>
  <c r="P133" i="1"/>
  <c r="P132" i="1"/>
  <c r="P131" i="1"/>
  <c r="P130" i="1"/>
  <c r="P129" i="1"/>
  <c r="P128" i="1"/>
  <c r="P127" i="1"/>
  <c r="P126" i="1"/>
  <c r="P125" i="1"/>
  <c r="P124" i="1"/>
  <c r="P123" i="1"/>
  <c r="P122" i="1"/>
  <c r="P121" i="1"/>
  <c r="P120" i="1"/>
  <c r="P119" i="1"/>
  <c r="P118" i="1"/>
  <c r="P117" i="1"/>
  <c r="P116" i="1"/>
  <c r="P115" i="1"/>
  <c r="P114" i="1"/>
  <c r="P113" i="1"/>
  <c r="P112" i="1"/>
  <c r="P111" i="1"/>
  <c r="P110" i="1"/>
  <c r="P109" i="1"/>
  <c r="P108" i="1"/>
  <c r="P107" i="1"/>
  <c r="P106" i="1"/>
  <c r="P105" i="1"/>
  <c r="P104" i="1"/>
  <c r="P103" i="1"/>
  <c r="P102" i="1"/>
  <c r="P101" i="1"/>
  <c r="P100" i="1"/>
  <c r="P99" i="1"/>
  <c r="P98" i="1"/>
  <c r="P97" i="1"/>
  <c r="P96" i="1"/>
  <c r="P95" i="1"/>
  <c r="P94" i="1"/>
  <c r="P93" i="1"/>
  <c r="P92" i="1"/>
  <c r="P91" i="1"/>
  <c r="P90" i="1"/>
  <c r="P89" i="1"/>
  <c r="P88" i="1"/>
  <c r="P87" i="1"/>
  <c r="P86" i="1"/>
  <c r="P85" i="1"/>
  <c r="P84" i="1"/>
  <c r="P83" i="1"/>
  <c r="P82" i="1"/>
  <c r="P81" i="1"/>
  <c r="P80" i="1"/>
  <c r="P79" i="1"/>
  <c r="P78" i="1"/>
  <c r="P77" i="1"/>
  <c r="P76" i="1"/>
  <c r="P75" i="1"/>
  <c r="P74" i="1"/>
  <c r="P73" i="1"/>
  <c r="P72" i="1"/>
  <c r="P71" i="1"/>
  <c r="P70" i="1"/>
  <c r="P69" i="1"/>
  <c r="P68" i="1"/>
  <c r="P67" i="1"/>
  <c r="P66" i="1"/>
  <c r="P65" i="1"/>
  <c r="P64" i="1"/>
  <c r="P63" i="1"/>
  <c r="P62" i="1"/>
  <c r="P61" i="1"/>
  <c r="P60" i="1"/>
  <c r="P59" i="1"/>
  <c r="P58" i="1"/>
  <c r="P57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P9" i="1"/>
  <c r="P8" i="1"/>
  <c r="P7" i="1"/>
  <c r="P6" i="1"/>
  <c r="P5" i="1"/>
  <c r="P4" i="1"/>
  <c r="P3" i="1"/>
  <c r="M173" i="1"/>
  <c r="M172" i="1"/>
  <c r="M171" i="1"/>
  <c r="M170" i="1"/>
  <c r="M169" i="1"/>
  <c r="M168" i="1"/>
  <c r="M167" i="1"/>
  <c r="M166" i="1"/>
  <c r="M165" i="1"/>
  <c r="M164" i="1"/>
  <c r="M163" i="1"/>
  <c r="M162" i="1"/>
  <c r="M161" i="1"/>
  <c r="M160" i="1"/>
  <c r="M159" i="1"/>
  <c r="M158" i="1"/>
  <c r="M157" i="1"/>
  <c r="M156" i="1"/>
  <c r="M155" i="1"/>
  <c r="M154" i="1"/>
  <c r="M153" i="1"/>
  <c r="M152" i="1"/>
  <c r="M151" i="1"/>
  <c r="M150" i="1"/>
  <c r="M149" i="1"/>
  <c r="M148" i="1"/>
  <c r="M147" i="1"/>
  <c r="M146" i="1"/>
  <c r="M145" i="1"/>
  <c r="M144" i="1"/>
  <c r="M143" i="1"/>
  <c r="M142" i="1"/>
  <c r="M141" i="1"/>
  <c r="M140" i="1"/>
  <c r="M139" i="1"/>
  <c r="M138" i="1"/>
  <c r="M137" i="1"/>
  <c r="M136" i="1"/>
  <c r="M135" i="1"/>
  <c r="M134" i="1"/>
  <c r="M133" i="1"/>
  <c r="M132" i="1"/>
  <c r="M131" i="1"/>
  <c r="M130" i="1"/>
  <c r="M129" i="1"/>
  <c r="M128" i="1"/>
  <c r="M127" i="1"/>
  <c r="M126" i="1"/>
  <c r="M125" i="1"/>
  <c r="M124" i="1"/>
  <c r="M123" i="1"/>
  <c r="M122" i="1"/>
  <c r="M121" i="1"/>
  <c r="M120" i="1"/>
  <c r="M119" i="1"/>
  <c r="M118" i="1"/>
  <c r="M117" i="1"/>
  <c r="M116" i="1"/>
  <c r="M115" i="1"/>
  <c r="M114" i="1"/>
  <c r="M113" i="1"/>
  <c r="M112" i="1"/>
  <c r="M111" i="1"/>
  <c r="M110" i="1"/>
  <c r="M109" i="1"/>
  <c r="M108" i="1"/>
  <c r="M107" i="1"/>
  <c r="M106" i="1"/>
  <c r="M105" i="1"/>
  <c r="M104" i="1"/>
  <c r="M103" i="1"/>
  <c r="M102" i="1"/>
  <c r="M101" i="1"/>
  <c r="M100" i="1"/>
  <c r="M99" i="1"/>
  <c r="M98" i="1"/>
  <c r="M97" i="1"/>
  <c r="M96" i="1"/>
  <c r="M95" i="1"/>
  <c r="M94" i="1"/>
  <c r="M93" i="1"/>
  <c r="M92" i="1"/>
  <c r="M91" i="1"/>
  <c r="M90" i="1"/>
  <c r="M89" i="1"/>
  <c r="M88" i="1"/>
  <c r="M87" i="1"/>
  <c r="M86" i="1"/>
  <c r="M85" i="1"/>
  <c r="M84" i="1"/>
  <c r="M83" i="1"/>
  <c r="M82" i="1"/>
  <c r="M81" i="1"/>
  <c r="M80" i="1"/>
  <c r="M79" i="1"/>
  <c r="M78" i="1"/>
  <c r="M77" i="1"/>
  <c r="M76" i="1"/>
  <c r="M75" i="1"/>
  <c r="M74" i="1"/>
  <c r="M73" i="1"/>
  <c r="M72" i="1"/>
  <c r="M71" i="1"/>
  <c r="M70" i="1"/>
  <c r="M69" i="1"/>
  <c r="M68" i="1"/>
  <c r="M67" i="1"/>
  <c r="M66" i="1"/>
  <c r="M65" i="1"/>
  <c r="M64" i="1"/>
  <c r="M63" i="1"/>
  <c r="M62" i="1"/>
  <c r="M61" i="1"/>
  <c r="M60" i="1"/>
  <c r="M59" i="1"/>
  <c r="M58" i="1"/>
  <c r="M57" i="1"/>
  <c r="M56" i="1"/>
  <c r="M55" i="1"/>
  <c r="M54" i="1"/>
  <c r="M53" i="1"/>
  <c r="M52" i="1"/>
  <c r="M51" i="1"/>
  <c r="M50" i="1"/>
  <c r="M49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M7" i="1"/>
  <c r="M6" i="1"/>
  <c r="M5" i="1"/>
  <c r="M4" i="1"/>
  <c r="M3" i="1"/>
  <c r="J173" i="1"/>
  <c r="J172" i="1"/>
  <c r="J171" i="1"/>
  <c r="J170" i="1"/>
  <c r="J169" i="1"/>
  <c r="J168" i="1"/>
  <c r="J167" i="1"/>
  <c r="J166" i="1"/>
  <c r="J165" i="1"/>
  <c r="J164" i="1"/>
  <c r="J163" i="1"/>
  <c r="J162" i="1"/>
  <c r="J161" i="1"/>
  <c r="J160" i="1"/>
  <c r="J159" i="1"/>
  <c r="J158" i="1"/>
  <c r="J157" i="1"/>
  <c r="J156" i="1"/>
  <c r="J155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4" i="1"/>
  <c r="J3" i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D180" i="1" l="1"/>
  <c r="E176" i="1" s="1"/>
  <c r="D179" i="1"/>
  <c r="H176" i="1" s="1"/>
  <c r="D184" i="23"/>
  <c r="I75" i="23" s="1"/>
  <c r="D185" i="23"/>
  <c r="E75" i="23" s="1"/>
  <c r="AI176" i="1"/>
  <c r="AF176" i="1"/>
  <c r="AC176" i="1"/>
  <c r="AU75" i="23"/>
  <c r="AQ75" i="23"/>
  <c r="AM75" i="23"/>
  <c r="BB9" i="23"/>
  <c r="BD9" i="23" s="1"/>
  <c r="BB8" i="23"/>
  <c r="BD8" i="23" s="1"/>
  <c r="BB7" i="23"/>
  <c r="BD7" i="23" s="1"/>
  <c r="BB6" i="23"/>
  <c r="BD6" i="23" s="1"/>
  <c r="BB5" i="23"/>
  <c r="BD5" i="23" s="1"/>
  <c r="AX9" i="23"/>
  <c r="AZ9" i="23" s="1"/>
  <c r="AX8" i="23"/>
  <c r="AZ8" i="23" s="1"/>
  <c r="AX7" i="23"/>
  <c r="AZ7" i="23" s="1"/>
  <c r="AX6" i="23"/>
  <c r="AZ6" i="23" s="1"/>
  <c r="AX5" i="23"/>
  <c r="AZ5" i="23" s="1"/>
  <c r="AT9" i="23"/>
  <c r="AV9" i="23" s="1"/>
  <c r="AT8" i="23"/>
  <c r="AV8" i="23" s="1"/>
  <c r="AT7" i="23"/>
  <c r="AV7" i="23" s="1"/>
  <c r="AT6" i="23"/>
  <c r="AV6" i="23" s="1"/>
  <c r="AT5" i="23"/>
  <c r="AV5" i="23" s="1"/>
  <c r="AP9" i="23"/>
  <c r="AR9" i="23" s="1"/>
  <c r="AP8" i="23"/>
  <c r="AR8" i="23" s="1"/>
  <c r="AP7" i="23"/>
  <c r="AR7" i="23" s="1"/>
  <c r="AP6" i="23"/>
  <c r="AR6" i="23" s="1"/>
  <c r="AP5" i="23"/>
  <c r="AR5" i="23" s="1"/>
  <c r="AU54" i="1"/>
  <c r="AW54" i="1" s="1"/>
  <c r="AR54" i="1"/>
  <c r="AT54" i="1" s="1"/>
  <c r="Q75" i="23"/>
  <c r="M75" i="23"/>
  <c r="N176" i="1"/>
  <c r="K176" i="1"/>
  <c r="X37" i="23"/>
  <c r="W37" i="23"/>
  <c r="U37" i="23"/>
  <c r="V37" i="23" s="1"/>
  <c r="Y75" i="23"/>
  <c r="Q176" i="1"/>
  <c r="T176" i="1"/>
  <c r="AB75" i="23"/>
  <c r="AE43" i="23"/>
  <c r="AF43" i="23" s="1"/>
  <c r="AE14" i="23"/>
  <c r="AE11" i="23"/>
  <c r="AE75" i="23"/>
  <c r="W176" i="1"/>
  <c r="Z176" i="1"/>
  <c r="AI75" i="23"/>
  <c r="Y37" i="23" l="1"/>
  <c r="BK144" i="1"/>
  <c r="BJ144" i="1"/>
  <c r="BK143" i="1"/>
  <c r="BJ143" i="1"/>
  <c r="BE142" i="1"/>
  <c r="BD142" i="1"/>
  <c r="BB142" i="1"/>
  <c r="BA142" i="1"/>
  <c r="BE141" i="1"/>
  <c r="BD141" i="1"/>
  <c r="BB141" i="1"/>
  <c r="BA141" i="1"/>
  <c r="BE66" i="1"/>
  <c r="BD66" i="1"/>
  <c r="BF5" i="23"/>
  <c r="BH5" i="23" s="1"/>
  <c r="BN16" i="23"/>
  <c r="BP16" i="23" s="1"/>
  <c r="BN8" i="23"/>
  <c r="BP8" i="23" s="1"/>
  <c r="BN6" i="23"/>
  <c r="BP6" i="23" s="1"/>
  <c r="BN5" i="23"/>
  <c r="BP5" i="23" s="1"/>
  <c r="BJ22" i="23"/>
  <c r="BL22" i="23" s="1"/>
  <c r="BJ19" i="23"/>
  <c r="BL19" i="23" s="1"/>
  <c r="BJ18" i="23"/>
  <c r="BL18" i="23" s="1"/>
  <c r="BJ16" i="23"/>
  <c r="BL16" i="23" s="1"/>
  <c r="BJ15" i="23"/>
  <c r="BL15" i="23" s="1"/>
  <c r="BJ9" i="23"/>
  <c r="BL9" i="23" s="1"/>
  <c r="BJ7" i="23"/>
  <c r="BL7" i="23" s="1"/>
  <c r="BJ10" i="23"/>
  <c r="BL10" i="23" s="1"/>
  <c r="BJ8" i="23"/>
  <c r="BL8" i="23" s="1"/>
  <c r="BJ6" i="23"/>
  <c r="BL6" i="23" s="1"/>
  <c r="BJ5" i="23"/>
  <c r="BL5" i="23" s="1"/>
  <c r="BF7" i="23"/>
  <c r="BH7" i="23" s="1"/>
  <c r="BF8" i="23"/>
  <c r="BH8" i="23" s="1"/>
  <c r="BF22" i="23"/>
  <c r="BH22" i="23" s="1"/>
  <c r="BF19" i="23"/>
  <c r="BH19" i="23" s="1"/>
  <c r="BF18" i="23"/>
  <c r="BH18" i="23" s="1"/>
  <c r="BF16" i="23"/>
  <c r="BH16" i="23" s="1"/>
  <c r="BF15" i="23"/>
  <c r="BH15" i="23" s="1"/>
  <c r="BF9" i="23"/>
  <c r="BH9" i="23" s="1"/>
  <c r="BF10" i="23"/>
  <c r="BH10" i="23" s="1"/>
  <c r="BF6" i="23"/>
  <c r="BH6" i="23" s="1"/>
  <c r="BG75" i="23"/>
  <c r="BK75" i="23"/>
  <c r="BA176" i="1"/>
  <c r="BD39" i="1"/>
  <c r="BF39" i="1" s="1"/>
  <c r="BE50" i="1"/>
  <c r="BD50" i="1"/>
  <c r="AS48" i="1"/>
  <c r="AR48" i="1"/>
  <c r="AV48" i="1"/>
  <c r="AU48" i="1"/>
  <c r="AY48" i="1"/>
  <c r="AX48" i="1"/>
  <c r="BB48" i="1"/>
  <c r="BA48" i="1"/>
  <c r="BE48" i="1"/>
  <c r="BD48" i="1"/>
  <c r="BK50" i="1"/>
  <c r="BJ50" i="1"/>
  <c r="BK40" i="1"/>
  <c r="BJ40" i="1"/>
  <c r="BE40" i="1"/>
  <c r="BD40" i="1"/>
  <c r="BE97" i="1"/>
  <c r="BD97" i="1"/>
  <c r="BB97" i="1"/>
  <c r="BA97" i="1"/>
  <c r="BF97" i="1" l="1"/>
  <c r="BL40" i="1"/>
  <c r="BF48" i="1"/>
  <c r="AZ48" i="1"/>
  <c r="AT48" i="1"/>
  <c r="BC141" i="1"/>
  <c r="BC142" i="1"/>
  <c r="BL143" i="1"/>
  <c r="BC97" i="1"/>
  <c r="BF40" i="1"/>
  <c r="BC48" i="1"/>
  <c r="AW48" i="1"/>
  <c r="BF50" i="1"/>
  <c r="BF66" i="1"/>
  <c r="BF141" i="1"/>
  <c r="BF142" i="1"/>
  <c r="BL144" i="1"/>
  <c r="BL50" i="1"/>
  <c r="BH48" i="1"/>
  <c r="BG48" i="1"/>
  <c r="BH66" i="1"/>
  <c r="BG66" i="1"/>
  <c r="BG16" i="1"/>
  <c r="BI16" i="1" s="1"/>
  <c r="BN50" i="1"/>
  <c r="BM50" i="1"/>
  <c r="BN97" i="1"/>
  <c r="BM97" i="1"/>
  <c r="BN48" i="1"/>
  <c r="BM48" i="1"/>
  <c r="BN90" i="1"/>
  <c r="BM90" i="1"/>
  <c r="BM16" i="1"/>
  <c r="BO16" i="1" s="1"/>
  <c r="BJ115" i="1"/>
  <c r="BL115" i="1" s="1"/>
  <c r="BJ18" i="1"/>
  <c r="BL18" i="1" s="1"/>
  <c r="BQ48" i="1"/>
  <c r="BP48" i="1"/>
  <c r="BQ64" i="1"/>
  <c r="BP64" i="1"/>
  <c r="BP65" i="1"/>
  <c r="BR65" i="1" s="1"/>
  <c r="BQ16" i="1"/>
  <c r="BP16" i="1"/>
  <c r="BQ90" i="1"/>
  <c r="BP90" i="1"/>
  <c r="BS10" i="1"/>
  <c r="BU10" i="1" s="1"/>
  <c r="BP10" i="1"/>
  <c r="BR10" i="1" s="1"/>
  <c r="BM10" i="1"/>
  <c r="BO10" i="1" s="1"/>
  <c r="BM168" i="1"/>
  <c r="BO168" i="1" s="1"/>
  <c r="BN140" i="1"/>
  <c r="BM140" i="1"/>
  <c r="BN127" i="1"/>
  <c r="BM127" i="1"/>
  <c r="BN126" i="1"/>
  <c r="BM126" i="1"/>
  <c r="BN125" i="1"/>
  <c r="BM125" i="1"/>
  <c r="BN121" i="1"/>
  <c r="BM121" i="1"/>
  <c r="BN120" i="1"/>
  <c r="BM120" i="1"/>
  <c r="BN119" i="1"/>
  <c r="BM119" i="1"/>
  <c r="BN115" i="1"/>
  <c r="BM115" i="1"/>
  <c r="BN107" i="1"/>
  <c r="BM107" i="1"/>
  <c r="BN102" i="1"/>
  <c r="BM102" i="1"/>
  <c r="BN101" i="1"/>
  <c r="BM101" i="1"/>
  <c r="BN87" i="1"/>
  <c r="BN83" i="1"/>
  <c r="BM83" i="1"/>
  <c r="BN18" i="1"/>
  <c r="BM18" i="1"/>
  <c r="BO75" i="23"/>
  <c r="BS75" i="23"/>
  <c r="BD176" i="1"/>
  <c r="BG176" i="1"/>
  <c r="BJ176" i="1"/>
  <c r="BM176" i="1"/>
  <c r="BP168" i="1"/>
  <c r="BR168" i="1" s="1"/>
  <c r="BQ140" i="1"/>
  <c r="BP140" i="1"/>
  <c r="BQ127" i="1"/>
  <c r="BP127" i="1"/>
  <c r="BQ126" i="1"/>
  <c r="BP126" i="1"/>
  <c r="BQ125" i="1"/>
  <c r="BP125" i="1"/>
  <c r="BQ121" i="1"/>
  <c r="BP121" i="1"/>
  <c r="BQ120" i="1"/>
  <c r="BP120" i="1"/>
  <c r="BQ119" i="1"/>
  <c r="BP119" i="1"/>
  <c r="BQ115" i="1"/>
  <c r="BP115" i="1"/>
  <c r="BP102" i="1"/>
  <c r="BS102" i="1"/>
  <c r="BQ107" i="1"/>
  <c r="BP107" i="1"/>
  <c r="BQ102" i="1"/>
  <c r="BR102" i="1" s="1"/>
  <c r="BP101" i="1"/>
  <c r="BR101" i="1" s="1"/>
  <c r="BQ87" i="1"/>
  <c r="BQ83" i="1"/>
  <c r="BP83" i="1"/>
  <c r="BQ18" i="1"/>
  <c r="BP18" i="1"/>
  <c r="BT107" i="1"/>
  <c r="BS107" i="1"/>
  <c r="BT119" i="1"/>
  <c r="BS119" i="1"/>
  <c r="BT83" i="1"/>
  <c r="BS83" i="1"/>
  <c r="BT115" i="1"/>
  <c r="BS115" i="1"/>
  <c r="BS4" i="1"/>
  <c r="BU4" i="1" s="1"/>
  <c r="BT120" i="1"/>
  <c r="BS120" i="1"/>
  <c r="BT87" i="1"/>
  <c r="BT168" i="1"/>
  <c r="BS168" i="1"/>
  <c r="BT102" i="1"/>
  <c r="BU102" i="1" s="1"/>
  <c r="BS101" i="1"/>
  <c r="BU101" i="1" s="1"/>
  <c r="BT18" i="1"/>
  <c r="BS18" i="1"/>
  <c r="BT126" i="1"/>
  <c r="BS126" i="1"/>
  <c r="BT127" i="1"/>
  <c r="BS127" i="1"/>
  <c r="BT125" i="1"/>
  <c r="BS125" i="1"/>
  <c r="BT121" i="1"/>
  <c r="BS121" i="1"/>
  <c r="BW10" i="1"/>
  <c r="BY10" i="1" s="1"/>
  <c r="BT140" i="1"/>
  <c r="BS140" i="1"/>
  <c r="BW75" i="23"/>
  <c r="BS176" i="1"/>
  <c r="BP176" i="1"/>
  <c r="CE75" i="23"/>
  <c r="CA75" i="23"/>
  <c r="CI75" i="23"/>
  <c r="CU75" i="23"/>
  <c r="CQ75" i="23"/>
  <c r="CM75" i="23"/>
  <c r="CF176" i="1"/>
  <c r="CC176" i="1"/>
  <c r="BZ176" i="1"/>
  <c r="BW176" i="1"/>
  <c r="BR107" i="1" l="1"/>
  <c r="BR115" i="1"/>
  <c r="BR120" i="1"/>
  <c r="BR125" i="1"/>
  <c r="BR127" i="1"/>
  <c r="BO101" i="1"/>
  <c r="BO107" i="1"/>
  <c r="BO119" i="1"/>
  <c r="BR119" i="1"/>
  <c r="BR126" i="1"/>
  <c r="BO115" i="1"/>
  <c r="BO125" i="1"/>
  <c r="BO90" i="1"/>
  <c r="BO121" i="1"/>
  <c r="BO126" i="1"/>
  <c r="BO140" i="1"/>
  <c r="BO48" i="1"/>
  <c r="BU120" i="1"/>
  <c r="BR121" i="1"/>
  <c r="BR140" i="1"/>
  <c r="BO102" i="1"/>
  <c r="BO120" i="1"/>
  <c r="BO127" i="1"/>
  <c r="BR90" i="1"/>
  <c r="BO97" i="1"/>
  <c r="BU140" i="1"/>
  <c r="BU125" i="1"/>
  <c r="BU126" i="1"/>
  <c r="BU115" i="1"/>
  <c r="BU119" i="1"/>
  <c r="BR18" i="1"/>
  <c r="BO83" i="1"/>
  <c r="BR48" i="1"/>
  <c r="BI48" i="1"/>
  <c r="BU121" i="1"/>
  <c r="BU127" i="1"/>
  <c r="BU18" i="1"/>
  <c r="BU168" i="1"/>
  <c r="BU83" i="1"/>
  <c r="BU107" i="1"/>
  <c r="BR83" i="1"/>
  <c r="BO18" i="1"/>
  <c r="BR64" i="1"/>
  <c r="BI66" i="1"/>
  <c r="BR16" i="1"/>
  <c r="BO50" i="1"/>
  <c r="F172" i="23"/>
  <c r="F171" i="23"/>
  <c r="F173" i="23" s="1"/>
  <c r="F170" i="23"/>
  <c r="F169" i="23"/>
  <c r="F168" i="23"/>
  <c r="F166" i="23"/>
  <c r="F165" i="23"/>
  <c r="F164" i="23"/>
  <c r="F163" i="23"/>
  <c r="F162" i="23"/>
  <c r="D161" i="23"/>
  <c r="F161" i="23" s="1"/>
  <c r="D160" i="23"/>
  <c r="F160" i="23" s="1"/>
  <c r="F159" i="23" s="1"/>
  <c r="F158" i="23"/>
  <c r="D157" i="23"/>
  <c r="F157" i="23" s="1"/>
  <c r="D156" i="23"/>
  <c r="D155" i="23"/>
  <c r="D154" i="23"/>
  <c r="F154" i="23" s="1"/>
  <c r="F152" i="23"/>
  <c r="F150" i="23"/>
  <c r="F149" i="23"/>
  <c r="F148" i="23"/>
  <c r="F147" i="23"/>
  <c r="F146" i="23"/>
  <c r="H146" i="23" s="1"/>
  <c r="F145" i="23"/>
  <c r="H145" i="23" s="1"/>
  <c r="F144" i="23"/>
  <c r="F143" i="23"/>
  <c r="F142" i="23"/>
  <c r="F140" i="23"/>
  <c r="F137" i="23"/>
  <c r="F135" i="23"/>
  <c r="F133" i="23"/>
  <c r="F134" i="23" s="1"/>
  <c r="D132" i="23"/>
  <c r="F132" i="23" s="1"/>
  <c r="F131" i="23" s="1"/>
  <c r="F129" i="23"/>
  <c r="F128" i="23"/>
  <c r="F126" i="23"/>
  <c r="F119" i="23"/>
  <c r="F118" i="23"/>
  <c r="F115" i="23"/>
  <c r="F113" i="23"/>
  <c r="H113" i="23" s="1"/>
  <c r="F112" i="23"/>
  <c r="D110" i="23"/>
  <c r="F105" i="23"/>
  <c r="F103" i="23"/>
  <c r="D101" i="23"/>
  <c r="D100" i="23"/>
  <c r="D90" i="23"/>
  <c r="F90" i="23" s="1"/>
  <c r="F91" i="23" s="1"/>
  <c r="H91" i="23" s="1"/>
  <c r="F89" i="23"/>
  <c r="F88" i="23"/>
  <c r="D87" i="23"/>
  <c r="D86" i="23"/>
  <c r="D83" i="23"/>
  <c r="F277" i="1"/>
  <c r="F276" i="1"/>
  <c r="F278" i="1" s="1"/>
  <c r="F275" i="1"/>
  <c r="F274" i="1"/>
  <c r="F273" i="1"/>
  <c r="F271" i="1"/>
  <c r="F270" i="1"/>
  <c r="F269" i="1"/>
  <c r="F268" i="1"/>
  <c r="F267" i="1"/>
  <c r="D266" i="1"/>
  <c r="F266" i="1" s="1"/>
  <c r="D265" i="1"/>
  <c r="F265" i="1" s="1"/>
  <c r="F264" i="1" s="1"/>
  <c r="F263" i="1"/>
  <c r="D262" i="1"/>
  <c r="F262" i="1" s="1"/>
  <c r="D261" i="1"/>
  <c r="D260" i="1"/>
  <c r="D259" i="1"/>
  <c r="F257" i="1"/>
  <c r="F255" i="1"/>
  <c r="F254" i="1"/>
  <c r="F253" i="1"/>
  <c r="F252" i="1"/>
  <c r="F251" i="1"/>
  <c r="H251" i="1" s="1"/>
  <c r="F250" i="1"/>
  <c r="H250" i="1" s="1"/>
  <c r="F249" i="1"/>
  <c r="F248" i="1"/>
  <c r="F247" i="1"/>
  <c r="F245" i="1"/>
  <c r="F242" i="1"/>
  <c r="F240" i="1"/>
  <c r="F238" i="1"/>
  <c r="F239" i="1" s="1"/>
  <c r="D237" i="1"/>
  <c r="F237" i="1" s="1"/>
  <c r="F236" i="1" s="1"/>
  <c r="F234" i="1"/>
  <c r="F233" i="1"/>
  <c r="F231" i="1"/>
  <c r="F224" i="1"/>
  <c r="F223" i="1"/>
  <c r="F220" i="1"/>
  <c r="F218" i="1"/>
  <c r="H218" i="1" s="1"/>
  <c r="F217" i="1"/>
  <c r="D215" i="1"/>
  <c r="F210" i="1"/>
  <c r="F208" i="1"/>
  <c r="D206" i="1"/>
  <c r="D205" i="1"/>
  <c r="D195" i="1"/>
  <c r="F195" i="1" s="1"/>
  <c r="F196" i="1" s="1"/>
  <c r="H196" i="1" s="1"/>
  <c r="F194" i="1"/>
  <c r="F193" i="1"/>
  <c r="D192" i="1"/>
  <c r="D191" i="1"/>
  <c r="D187" i="1"/>
  <c r="D138" i="23" l="1"/>
  <c r="F138" i="23" s="1"/>
  <c r="H140" i="23"/>
  <c r="D243" i="1"/>
  <c r="F243" i="1" s="1"/>
  <c r="BB26" i="23"/>
  <c r="BD26" i="23" s="1"/>
  <c r="BB25" i="23"/>
  <c r="BD25" i="23" s="1"/>
  <c r="BB13" i="23"/>
  <c r="BD13" i="23" s="1"/>
  <c r="BB12" i="23"/>
  <c r="BD12" i="23" s="1"/>
  <c r="AX26" i="23"/>
  <c r="AZ26" i="23" s="1"/>
  <c r="AX25" i="23"/>
  <c r="AZ25" i="23" s="1"/>
  <c r="AX13" i="23"/>
  <c r="AZ13" i="23" s="1"/>
  <c r="AX12" i="23"/>
  <c r="AZ12" i="23" s="1"/>
  <c r="AT26" i="23"/>
  <c r="AV26" i="23" s="1"/>
  <c r="AT25" i="23"/>
  <c r="AV25" i="23" s="1"/>
  <c r="AT13" i="23"/>
  <c r="AV13" i="23" s="1"/>
  <c r="AT12" i="23"/>
  <c r="AV12" i="23" s="1"/>
  <c r="BF26" i="23"/>
  <c r="BH26" i="23" s="1"/>
  <c r="AP26" i="23"/>
  <c r="AR26" i="23" s="1"/>
  <c r="AP25" i="23"/>
  <c r="AR25" i="23" s="1"/>
  <c r="AP13" i="23"/>
  <c r="AR13" i="23" s="1"/>
  <c r="AP12" i="23"/>
  <c r="AR12" i="23" s="1"/>
  <c r="J88" i="23"/>
  <c r="BN11" i="23"/>
  <c r="BP11" i="23" s="1"/>
  <c r="BJ13" i="23"/>
  <c r="BL13" i="23" s="1"/>
  <c r="BF24" i="23"/>
  <c r="BH24" i="23" s="1"/>
  <c r="BF11" i="23"/>
  <c r="BH11" i="23" s="1"/>
  <c r="BN12" i="23"/>
  <c r="BP12" i="23" s="1"/>
  <c r="BJ25" i="23"/>
  <c r="BL25" i="23" s="1"/>
  <c r="BJ12" i="23"/>
  <c r="BL12" i="23" s="1"/>
  <c r="BJ24" i="23"/>
  <c r="BL24" i="23" s="1"/>
  <c r="BJ11" i="23"/>
  <c r="BL11" i="23" s="1"/>
  <c r="BF13" i="23"/>
  <c r="BH13" i="23" s="1"/>
  <c r="BF25" i="23"/>
  <c r="BH25" i="23" s="1"/>
  <c r="BF12" i="23"/>
  <c r="BH12" i="23" s="1"/>
  <c r="BM87" i="1"/>
  <c r="BO87" i="1" s="1"/>
  <c r="F79" i="23"/>
  <c r="F183" i="1"/>
  <c r="BP87" i="1"/>
  <c r="BR87" i="1" s="1"/>
  <c r="BS87" i="1"/>
  <c r="BU87" i="1" s="1"/>
  <c r="D92" i="23"/>
  <c r="H88" i="23"/>
  <c r="H193" i="1"/>
  <c r="J193" i="1"/>
  <c r="D197" i="1"/>
  <c r="Y36" i="23" l="1"/>
  <c r="V6" i="23"/>
  <c r="V28" i="23"/>
  <c r="V9" i="23"/>
  <c r="V5" i="23"/>
  <c r="Y35" i="23"/>
  <c r="V36" i="23"/>
  <c r="Y23" i="23"/>
  <c r="Y7" i="23"/>
  <c r="Y8" i="23"/>
  <c r="Y34" i="23"/>
  <c r="V34" i="23"/>
  <c r="V23" i="23"/>
  <c r="V7" i="23"/>
  <c r="V8" i="23"/>
  <c r="AF11" i="23"/>
  <c r="V35" i="23"/>
  <c r="Y6" i="23"/>
  <c r="Y28" i="23"/>
  <c r="Y9" i="23"/>
  <c r="Y5" i="23"/>
  <c r="AF14" i="23"/>
</calcChain>
</file>

<file path=xl/comments1.xml><?xml version="1.0" encoding="utf-8"?>
<comments xmlns="http://schemas.openxmlformats.org/spreadsheetml/2006/main">
  <authors>
    <author>Rai Ghulam Mustafa</author>
  </authors>
  <commentList>
    <comment ref="V7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This is coal-tar from 1892-93 till 1895-96.</t>
        </r>
      </text>
    </comment>
    <comment ref="CY7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Quoted as Painters' colors in the reports.</t>
        </r>
      </text>
    </comment>
    <comment ref="FD7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Quoted as Explosives and arms in the reports.</t>
        </r>
      </text>
    </comment>
  </commentList>
</comments>
</file>

<file path=xl/comments2.xml><?xml version="1.0" encoding="utf-8"?>
<comments xmlns="http://schemas.openxmlformats.org/spreadsheetml/2006/main">
  <authors>
    <author>Rai Ghulam Mustafa</author>
  </authors>
  <commentList>
    <comment ref="BU7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Quoted as Explosives and arms in the reports.</t>
        </r>
      </text>
    </comment>
  </commentList>
</comments>
</file>

<file path=xl/comments3.xml><?xml version="1.0" encoding="utf-8"?>
<comments xmlns="http://schemas.openxmlformats.org/spreadsheetml/2006/main">
  <authors>
    <author>Rai Ghulam Mustafa</author>
    <author>Author</author>
  </authors>
  <commentList>
    <comment ref="AF1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Primarily from Germany, for most goods, details not available for imports from other countries.</t>
        </r>
      </text>
    </comment>
    <comment ref="AI1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Primarily from Germany, for most goods, details not available for imports from other countries.</t>
        </r>
      </text>
    </comment>
    <comment ref="AL1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Primarily from Germany, for most goods, details not available for imports from other countries.</t>
        </r>
      </text>
    </comment>
    <comment ref="AO1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Primarily from Germany, for most goods, details not available for imports from other countries.</t>
        </r>
      </text>
    </comment>
    <comment ref="CC1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Some overlapping quantities and values due to mention and categorization in two different tables.</t>
        </r>
      </text>
    </comment>
    <comment ref="CF1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Some overlapping quantities and values due to mention and categorization in two different tables.</t>
        </r>
      </text>
    </comment>
    <comment ref="CI1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Some overlapping quantities and values due to mention and categorization in two different tables.</t>
        </r>
      </text>
    </comment>
    <comment ref="BS4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Quoted in Cwts.
Place and Produce of manufacture is UK</t>
        </r>
      </text>
    </comment>
    <comment ref="BM10" authorId="0" shapeId="0">
      <text>
        <r>
          <rPr>
            <b/>
            <sz val="9"/>
            <color indexed="81"/>
            <rFont val="Tahoma"/>
            <family val="2"/>
          </rPr>
          <t xml:space="preserve">Rai Ghulam Mustafa:
</t>
        </r>
        <r>
          <rPr>
            <sz val="9"/>
            <color indexed="81"/>
            <rFont val="Tahoma"/>
            <family val="2"/>
          </rPr>
          <t>Quoted in cwts.
Place and Produce of manufacture is UK</t>
        </r>
      </text>
    </comment>
    <comment ref="BP10" authorId="0" shapeId="0">
      <text>
        <r>
          <rPr>
            <b/>
            <sz val="9"/>
            <color indexed="81"/>
            <rFont val="Tahoma"/>
            <family val="2"/>
          </rPr>
          <t xml:space="preserve">Rai Ghulam Mustafa:
</t>
        </r>
        <r>
          <rPr>
            <sz val="9"/>
            <color indexed="81"/>
            <rFont val="Tahoma"/>
            <family val="2"/>
          </rPr>
          <t>Quoted in cwts.
Place and Produce of manufacture is UK</t>
        </r>
      </text>
    </comment>
    <comment ref="BS10" authorId="0" shapeId="0">
      <text>
        <r>
          <rPr>
            <b/>
            <sz val="9"/>
            <color indexed="81"/>
            <rFont val="Tahoma"/>
            <family val="2"/>
          </rPr>
          <t xml:space="preserve">Rai Ghulam Mustafa:
</t>
        </r>
        <r>
          <rPr>
            <sz val="9"/>
            <color indexed="81"/>
            <rFont val="Tahoma"/>
            <family val="2"/>
          </rPr>
          <t>Quoted in cwts.
Place and Produce of manufacture is UK</t>
        </r>
      </text>
    </comment>
    <comment ref="BW10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Quoted in Cwts.
</t>
        </r>
      </text>
    </comment>
    <comment ref="AX18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Place and Produce of manufacture is UK</t>
        </r>
      </text>
    </comment>
    <comment ref="BA18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Place and Produce of manufacture is UK</t>
        </r>
      </text>
    </comment>
    <comment ref="BD18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Place and Produce of manufacture is UK</t>
        </r>
      </text>
    </comment>
    <comment ref="BG18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Place and Produce of manufacture is UK</t>
        </r>
      </text>
    </comment>
    <comment ref="BJ18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Place and Produce of manufacture is UK</t>
        </r>
      </text>
    </comment>
    <comment ref="BM18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Place and Produce of manufacture is UK</t>
        </r>
      </text>
    </comment>
    <comment ref="BP18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Place and Produce of manufacture is UK</t>
        </r>
      </text>
    </comment>
    <comment ref="BS18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Place and Produce of manufacture is UK
</t>
        </r>
      </text>
    </comment>
    <comment ref="A22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This is coal-tar from 1892-93 till 1895-96.</t>
        </r>
      </text>
    </comment>
    <comment ref="AX83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Place and Produce of manufacture is UK.</t>
        </r>
      </text>
    </comment>
    <comment ref="BA83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Place and Produce of manufacture is UK.</t>
        </r>
      </text>
    </comment>
    <comment ref="BD83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Place and Produce of manufacture is UK.</t>
        </r>
      </text>
    </comment>
    <comment ref="BG83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Place and Produce of manufacture is UK.</t>
        </r>
      </text>
    </comment>
    <comment ref="BJ83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Place and Produce of manufacture is UK.</t>
        </r>
      </text>
    </comment>
    <comment ref="BM83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Place and Produce of manufacture is UK.</t>
        </r>
      </text>
    </comment>
    <comment ref="BP83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Place and Produce of manufacture is UK.</t>
        </r>
      </text>
    </comment>
    <comment ref="BS83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Place and Produce of manufacture is UK.</t>
        </r>
      </text>
    </comment>
    <comment ref="BM87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Quoted in lbs.
Place and Produce of manufacture is UK.</t>
        </r>
      </text>
    </comment>
    <comment ref="BP87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Quoted in lbs.
Place and Produce of manufacture is UK.</t>
        </r>
      </text>
    </comment>
    <comment ref="BS87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Quoted in lbs.
Place and Produce of manufacture is UK.</t>
        </r>
      </text>
    </comment>
    <comment ref="BD101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Place and Produce of manufacture is UK.</t>
        </r>
      </text>
    </comment>
    <comment ref="BG101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Place and Produce of manufacture is UK.</t>
        </r>
      </text>
    </comment>
    <comment ref="BJ101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Place and Produce of manufacture is UK.</t>
        </r>
      </text>
    </comment>
    <comment ref="BM101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Place and Produce of manufacture is UK.</t>
        </r>
      </text>
    </comment>
    <comment ref="BP101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Place and Produce of manufacture is UK.</t>
        </r>
      </text>
    </comment>
    <comment ref="BS101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Place and Produce of manufacture is UK.</t>
        </r>
      </text>
    </comment>
    <comment ref="BM102" authorId="0" shapeId="0">
      <text>
        <r>
          <rPr>
            <b/>
            <sz val="9"/>
            <color indexed="81"/>
            <rFont val="Tahoma"/>
            <family val="2"/>
          </rPr>
          <t xml:space="preserve">Rai Ghulam Mustafa:
</t>
        </r>
        <r>
          <rPr>
            <sz val="9"/>
            <color indexed="81"/>
            <rFont val="Tahoma"/>
            <family val="2"/>
          </rPr>
          <t>Quoted in cwts.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Place and Produce of manufacture is UK.
</t>
        </r>
      </text>
    </comment>
    <comment ref="BP102" authorId="0" shapeId="0">
      <text>
        <r>
          <rPr>
            <b/>
            <sz val="9"/>
            <color indexed="81"/>
            <rFont val="Tahoma"/>
            <family val="2"/>
          </rPr>
          <t xml:space="preserve">Rai Ghulam Mustafa:
</t>
        </r>
        <r>
          <rPr>
            <sz val="9"/>
            <color indexed="81"/>
            <rFont val="Tahoma"/>
            <family val="2"/>
          </rPr>
          <t>Quoted in cwts.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Place and Produce of manufacture is UK.
</t>
        </r>
      </text>
    </comment>
    <comment ref="BS102" authorId="0" shapeId="0">
      <text>
        <r>
          <rPr>
            <b/>
            <sz val="9"/>
            <color indexed="81"/>
            <rFont val="Tahoma"/>
            <family val="2"/>
          </rPr>
          <t xml:space="preserve">Rai Ghulam Mustafa:
</t>
        </r>
        <r>
          <rPr>
            <sz val="9"/>
            <color indexed="81"/>
            <rFont val="Tahoma"/>
            <family val="2"/>
          </rPr>
          <t>Quoted in Cwts.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Place and Produce of manufacture is UK.
</t>
        </r>
      </text>
    </comment>
    <comment ref="BM107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Place and Produce of manufacture is UK.
</t>
        </r>
      </text>
    </comment>
    <comment ref="BP107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Place and Produce of manufacture is UK.
</t>
        </r>
      </text>
    </comment>
    <comment ref="BS107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Place and Produce of manufacture is UK.
</t>
        </r>
      </text>
    </comment>
    <comment ref="BJ109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Place and Produce of manufacture is UK.</t>
        </r>
      </text>
    </comment>
    <comment ref="BJ115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Quoted in Cwts.
Place and Produce of manufacture is UK.</t>
        </r>
      </text>
    </comment>
    <comment ref="BM115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Quoted in Cwts.
Place and Produce of manufacture is UK.</t>
        </r>
      </text>
    </comment>
    <comment ref="BP115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Quoted in Cwts.
Place and Produce of manufacture is UK.</t>
        </r>
      </text>
    </comment>
    <comment ref="BS115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Quoted in Cwts.
Place and Produce of manufacture is UK.</t>
        </r>
      </text>
    </comment>
    <comment ref="BM119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Place and Produce of manufacture is UK.</t>
        </r>
      </text>
    </comment>
    <comment ref="BP119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Place and Produce of manufacture is UK.</t>
        </r>
      </text>
    </comment>
    <comment ref="BS119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Place and Produce of manufacture is UK.</t>
        </r>
      </text>
    </comment>
    <comment ref="BJ120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Place and Produce of manufacture is UK.</t>
        </r>
      </text>
    </comment>
    <comment ref="BM120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Place and Produce of manufacture is UK.</t>
        </r>
      </text>
    </comment>
    <comment ref="BP120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Place and Produce of manufacture is UK.</t>
        </r>
      </text>
    </comment>
    <comment ref="BS120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Place and Produce of manufacture is UK.</t>
        </r>
      </text>
    </comment>
    <comment ref="AX121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Place and Produce of manufacture is UK.</t>
        </r>
      </text>
    </comment>
    <comment ref="BA121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Place and Produce of manufacture is UK.</t>
        </r>
      </text>
    </comment>
    <comment ref="BD121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Place and Produce of manufacture is UK.</t>
        </r>
      </text>
    </comment>
    <comment ref="BG121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Place and Produce of manufacture is UK.</t>
        </r>
      </text>
    </comment>
    <comment ref="BJ121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Place and Produce of manufacture is UK.</t>
        </r>
      </text>
    </comment>
    <comment ref="BM121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Place and Produce of manufacture is UK.</t>
        </r>
      </text>
    </comment>
    <comment ref="BP121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Place and Produce of manufacture is UK.</t>
        </r>
      </text>
    </comment>
    <comment ref="BS121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Place and Produce of manufacture is UK.</t>
        </r>
      </text>
    </comment>
    <comment ref="AX125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Place and Produce of manufacture is UK.</t>
        </r>
      </text>
    </comment>
    <comment ref="BA125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Place and Produce of manufacture is UK.</t>
        </r>
      </text>
    </comment>
    <comment ref="BD125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Place and Produce of manufacture is UK.</t>
        </r>
      </text>
    </comment>
    <comment ref="BG125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Place and Produce of manufacture is UK.</t>
        </r>
      </text>
    </comment>
    <comment ref="BJ125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Place and Produce of manufacture is UK.</t>
        </r>
      </text>
    </comment>
    <comment ref="BM125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Place and Produce of manufacture is UK.</t>
        </r>
      </text>
    </comment>
    <comment ref="BP125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Place and Produce of manufacture is UK.</t>
        </r>
      </text>
    </comment>
    <comment ref="BS125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Place and Produce of manufacture is UK.</t>
        </r>
      </text>
    </comment>
    <comment ref="AL126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Place and Produce of manufacture is UK.</t>
        </r>
      </text>
    </comment>
    <comment ref="AO126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Place and Produce of manufacture is UK.</t>
        </r>
      </text>
    </comment>
    <comment ref="AR126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Place and Produce of manufacture is UK.</t>
        </r>
      </text>
    </comment>
    <comment ref="AU126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Place and Produce of manufacture is UK.</t>
        </r>
      </text>
    </comment>
    <comment ref="AX126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Place and Produce of manufacture is UK.</t>
        </r>
      </text>
    </comment>
    <comment ref="BA126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Place and Produce of manufacture is UK.</t>
        </r>
      </text>
    </comment>
    <comment ref="BD126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Place and Produce of manufacture is UK.</t>
        </r>
      </text>
    </comment>
    <comment ref="BG126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Place and Produce of manufacture is UK.</t>
        </r>
      </text>
    </comment>
    <comment ref="BJ126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Place and Produce of manufacture is UK.</t>
        </r>
      </text>
    </comment>
    <comment ref="BM126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Place and Produce of manufacture is UK.</t>
        </r>
      </text>
    </comment>
    <comment ref="BP126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Place and Produce of manufacture is UK.</t>
        </r>
      </text>
    </comment>
    <comment ref="BS126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Place and Produce of manufacture is UK.</t>
        </r>
      </text>
    </comment>
    <comment ref="AX127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Place and Produce of manufacture is UK.</t>
        </r>
      </text>
    </comment>
    <comment ref="BA127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Place and Produce of manufacture is UK.</t>
        </r>
      </text>
    </comment>
    <comment ref="BD127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Place and Produce of manufacture is UK.</t>
        </r>
      </text>
    </comment>
    <comment ref="BG127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Place and Produce of manufacture is UK.</t>
        </r>
      </text>
    </comment>
    <comment ref="BJ127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Place and Produce of manufacture is UK.</t>
        </r>
      </text>
    </comment>
    <comment ref="BM127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Place and Produce of manufacture is UK.</t>
        </r>
      </text>
    </comment>
    <comment ref="BP127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Place and Produce of manufacture is UK.</t>
        </r>
      </text>
    </comment>
    <comment ref="BS127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Place and Produce of manufacture is UK.</t>
        </r>
      </text>
    </comment>
    <comment ref="AF128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X129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Place and Produce of manufacture is UK.</t>
        </r>
      </text>
    </comment>
    <comment ref="BA129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Place and Produce of manufacture is UK.</t>
        </r>
      </text>
    </comment>
    <comment ref="BD129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Place and Produce of manufacture is UK.</t>
        </r>
      </text>
    </comment>
    <comment ref="BG129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Place and Produce of manufacture is UK.</t>
        </r>
      </text>
    </comment>
    <comment ref="BJ129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Place and Produce of manufacture is UK.</t>
        </r>
      </text>
    </comment>
    <comment ref="BM129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Place and Produce of manufacture is UK.</t>
        </r>
      </text>
    </comment>
    <comment ref="BP129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Place and Produce of manufacture is UK.</t>
        </r>
      </text>
    </comment>
    <comment ref="BS129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Place and Produce of manufacture is UK.</t>
        </r>
      </text>
    </comment>
    <comment ref="AX130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Place and Produce of manufacture is UK.</t>
        </r>
      </text>
    </comment>
    <comment ref="BA130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Place and Produce of manufacture is UK.</t>
        </r>
      </text>
    </comment>
    <comment ref="BD130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Place and Produce of manufacture is UK.</t>
        </r>
      </text>
    </comment>
    <comment ref="BG130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Place and Produce of manufacture is UK.</t>
        </r>
      </text>
    </comment>
    <comment ref="BJ130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Place and Produce of manufacture is UK.</t>
        </r>
      </text>
    </comment>
    <comment ref="BM130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Place and Produce of manufacture is UK.</t>
        </r>
      </text>
    </comment>
    <comment ref="BP130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Place and Produce of manufacture is UK.</t>
        </r>
      </text>
    </comment>
    <comment ref="BS130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Place and Produce of manufacture is UK.</t>
        </r>
      </text>
    </comment>
    <comment ref="AX132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Place and Produce of manufacture is UK.</t>
        </r>
      </text>
    </comment>
    <comment ref="BA132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Place and Produce of manufacture is UK.</t>
        </r>
      </text>
    </comment>
    <comment ref="BD132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Place and Produce of manufacture is UK.</t>
        </r>
      </text>
    </comment>
    <comment ref="BG132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Place and Produce of manufacture is UK.</t>
        </r>
      </text>
    </comment>
    <comment ref="BJ132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Place and Produce of manufacture is UK.</t>
        </r>
      </text>
    </comment>
    <comment ref="BM132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Place and Produce of manufacture is UK.</t>
        </r>
      </text>
    </comment>
    <comment ref="BP132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Place and Produce of manufacture is UK.</t>
        </r>
      </text>
    </comment>
    <comment ref="BS132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Place and Produce of manufacture is UK.</t>
        </r>
      </text>
    </comment>
    <comment ref="AX133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Place and Produce of manufacture is UK.</t>
        </r>
      </text>
    </comment>
    <comment ref="BA133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Place and Produce of manufacture is UK.</t>
        </r>
      </text>
    </comment>
    <comment ref="BD133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Place and Produce of manufacture is UK.</t>
        </r>
      </text>
    </comment>
    <comment ref="BG133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Place and Produce of manufacture is UK.</t>
        </r>
      </text>
    </comment>
    <comment ref="BJ133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Place and Produce of manufacture is UK.</t>
        </r>
      </text>
    </comment>
    <comment ref="BM133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Place and Produce of manufacture is UK.</t>
        </r>
      </text>
    </comment>
    <comment ref="BP133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Place and Produce of manufacture is UK.</t>
        </r>
      </text>
    </comment>
    <comment ref="BS133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Place and Produce of manufacture is UK.</t>
        </r>
      </text>
    </comment>
    <comment ref="AX134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Place and Produce of manufacture is UK.</t>
        </r>
      </text>
    </comment>
    <comment ref="BA134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Place and Produce of manufacture is UK.</t>
        </r>
      </text>
    </comment>
    <comment ref="BD134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Place and Produce of manufacture is UK.</t>
        </r>
      </text>
    </comment>
    <comment ref="BG134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Place and Produce of manufacture is UK.</t>
        </r>
      </text>
    </comment>
    <comment ref="BJ134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Place and Produce of manufacture is UK.</t>
        </r>
      </text>
    </comment>
    <comment ref="BM134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Place and Produce of manufacture is UK.</t>
        </r>
      </text>
    </comment>
    <comment ref="BP134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Place and Produce of manufacture is UK.</t>
        </r>
      </text>
    </comment>
    <comment ref="BS134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Place and Produce of manufacture is UK.</t>
        </r>
      </text>
    </comment>
    <comment ref="AX135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Place and Produce of manufacture is UK.</t>
        </r>
      </text>
    </comment>
    <comment ref="BA135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Place and Produce of manufacture is UK.</t>
        </r>
      </text>
    </comment>
    <comment ref="BD135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Place and Produce of manufacture is UK.</t>
        </r>
      </text>
    </comment>
    <comment ref="BG135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Place and Produce of manufacture is UK.</t>
        </r>
      </text>
    </comment>
    <comment ref="BJ135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Place and Produce of manufacture is UK.</t>
        </r>
      </text>
    </comment>
    <comment ref="BM135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Place and Produce of manufacture is UK.</t>
        </r>
      </text>
    </comment>
    <comment ref="BP135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Place and Produce of manufacture is UK.</t>
        </r>
      </text>
    </comment>
    <comment ref="BS135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Place and Produce of manufacture is UK.</t>
        </r>
      </text>
    </comment>
    <comment ref="AX138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Place and Produce of manufacture is UK.</t>
        </r>
      </text>
    </comment>
    <comment ref="BA138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Place and Produce of manufacture is UK.</t>
        </r>
      </text>
    </comment>
    <comment ref="BD138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Place and Produce of manufacture is UK.</t>
        </r>
      </text>
    </comment>
    <comment ref="BG138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Place and Produce of manufacture is UK.</t>
        </r>
      </text>
    </comment>
    <comment ref="BJ138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Place and Produce of manufacture is UK.</t>
        </r>
      </text>
    </comment>
    <comment ref="AX139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Place and Produce of manufacture is UK.</t>
        </r>
      </text>
    </comment>
    <comment ref="BA139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Place and Produce of manufacture is UK.</t>
        </r>
      </text>
    </comment>
    <comment ref="BD139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Place and Produce of manufacture is UK.</t>
        </r>
      </text>
    </comment>
    <comment ref="BG139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Place and Produce of manufacture is UK.</t>
        </r>
      </text>
    </comment>
    <comment ref="BJ139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Place and Produce of manufacture is UK.</t>
        </r>
      </text>
    </comment>
    <comment ref="AX140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Place and Produce of manufacture is UK.</t>
        </r>
      </text>
    </comment>
    <comment ref="BA140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Place and Produce of manufacture is UK.</t>
        </r>
      </text>
    </comment>
    <comment ref="BD140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Place and Produce of manufacture is UK.</t>
        </r>
      </text>
    </comment>
    <comment ref="BG140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Place and Produce of manufacture is UK.</t>
        </r>
      </text>
    </comment>
    <comment ref="BJ140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Place and Produce of manufacture is UK.</t>
        </r>
      </text>
    </comment>
    <comment ref="BM140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Place and Produce of manufacture is UK.</t>
        </r>
      </text>
    </comment>
    <comment ref="BP140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Place and Produce of manufacture is UK.</t>
        </r>
      </text>
    </comment>
    <comment ref="BS140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Place and Produce of manufacture is UK.</t>
        </r>
      </text>
    </comment>
    <comment ref="BM168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Place and Produce of manufacture is UK.</t>
        </r>
      </text>
    </comment>
    <comment ref="BP168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Place and Produce of manufacture is UK.</t>
        </r>
      </text>
    </comment>
    <comment ref="BS168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Place and Produce of manufacture is UK.</t>
        </r>
      </text>
    </comment>
    <comment ref="BD170" authorId="0" shapeId="0">
      <text>
        <r>
          <rPr>
            <b/>
            <sz val="9"/>
            <color indexed="81"/>
            <rFont val="Tahoma"/>
            <family val="2"/>
          </rPr>
          <t xml:space="preserve">Rai Ghulam Mustafa:
</t>
        </r>
        <r>
          <rPr>
            <sz val="9"/>
            <color indexed="81"/>
            <rFont val="Tahoma"/>
            <family val="2"/>
          </rPr>
          <t>Also included in wool, yarns and goods.</t>
        </r>
      </text>
    </comment>
    <comment ref="BG170" authorId="0" shapeId="0">
      <text>
        <r>
          <rPr>
            <b/>
            <sz val="9"/>
            <color indexed="81"/>
            <rFont val="Tahoma"/>
            <family val="2"/>
          </rPr>
          <t xml:space="preserve">Rai Ghulam Mustafa:
</t>
        </r>
        <r>
          <rPr>
            <sz val="9"/>
            <color indexed="81"/>
            <rFont val="Tahoma"/>
            <family val="2"/>
          </rPr>
          <t>Also included in wool, yarns and goods.</t>
        </r>
      </text>
    </comment>
    <comment ref="A176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Primary regions include United Kingdom, Austria-Hungary, Germany, Italy, France, Russia, Belgium.
Totals from all countries as reported by the customs house are listed in a seperated sheet.</t>
        </r>
      </text>
    </comment>
    <comment ref="E176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For all nations specified in this category. Following totals include those countries that have been specified from these countries.</t>
        </r>
      </text>
    </comment>
    <comment ref="H176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For all nations specified in this category. Following totals include those countries that have been specified from these countries.</t>
        </r>
      </text>
    </comment>
    <comment ref="K176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For all nations specified in this category. Following totals include those countries that have been specified from these countries.</t>
        </r>
      </text>
    </comment>
    <comment ref="N176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For all nations specified in this category. Following totals include those countries that have been specified from these countries.</t>
        </r>
      </text>
    </comment>
    <comment ref="Q176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For all nations specified in this category. Following totals include those countries that have been specified from these countries.</t>
        </r>
      </text>
    </comment>
    <comment ref="T176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For all nations specified in this category. Following totals include those countries that have been specified from these countries.</t>
        </r>
      </text>
    </comment>
    <comment ref="W176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For all nations specified in this category. Following totals include those countries that have been specified from these countries.</t>
        </r>
      </text>
    </comment>
    <comment ref="Z176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For all nations specified in this category. Following totals include those countries that have been specified from these countries.</t>
        </r>
      </text>
    </comment>
    <comment ref="AC176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For all nations specified in this category. Following totals include those countries that have been specified from these countries.</t>
        </r>
      </text>
    </comment>
    <comment ref="AF176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For all nations specified in this category. Following totals include those countries that have been specified from these countries.</t>
        </r>
      </text>
    </comment>
    <comment ref="AI176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For all nations specified in this category. Following totals include those countries that have been specified from these countries.</t>
        </r>
      </text>
    </comment>
    <comment ref="D179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Sourced from the report: 1884 - Constantinople, Turkey</t>
        </r>
      </text>
    </comment>
    <comment ref="D180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Sourced from the report: 1884 - Constantinople, Turkey</t>
        </r>
      </text>
    </comment>
    <comment ref="D259" authorId="1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Sourced from 1912-13 where both units and equivalent cwts. are listed.</t>
        </r>
      </text>
    </comment>
    <comment ref="D260" authorId="1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Sourced from 1912-13 where both units and equivalent cwts. are listed.</t>
        </r>
      </text>
    </comment>
    <comment ref="D261" authorId="1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Sourced from 1912-13 where both units and equivalent cwts. are listed.</t>
        </r>
      </text>
    </comment>
    <comment ref="D262" authorId="1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Sourced from 1912-13 where both units and equivalent cwts. are listed.</t>
        </r>
      </text>
    </comment>
  </commentList>
</comments>
</file>

<file path=xl/comments4.xml><?xml version="1.0" encoding="utf-8"?>
<comments xmlns="http://schemas.openxmlformats.org/spreadsheetml/2006/main">
  <authors>
    <author>Rai Ghulam Mustafa</author>
    <author>Author</author>
  </authors>
  <commentList>
    <comment ref="C2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Some overlapping quantities and values due to mention and categorization in two different tables.</t>
        </r>
      </text>
    </comment>
    <comment ref="G2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Some overlapping quantities and values due to mention and categorization in two different tables.</t>
        </r>
      </text>
    </comment>
    <comment ref="K2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Some overlapping quantities and values due to mention and categorization in two different tables.</t>
        </r>
      </text>
    </comment>
    <comment ref="O2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Some overlapping quantities and values due to mention and categorization in two different tables.</t>
        </r>
      </text>
    </comment>
    <comment ref="S2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Some overlapping quantities and values due to mention and categorization in two different tables.
Also, used kgs for kilos as they made more relevance.</t>
        </r>
      </text>
    </comment>
    <comment ref="W2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Some overlapping quantities and values due to mention and categorization in two different tables.
Also, used kgs for kilos as they made more relevance.</t>
        </r>
      </text>
    </comment>
    <comment ref="Z2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Some overlapping quantities and values due to mention and categorization in two different tables.</t>
        </r>
      </text>
    </comment>
    <comment ref="AG2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Some overlapping quantities and values due to mention and categorization in two different tables.</t>
        </r>
      </text>
    </comment>
    <comment ref="AK2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Primarily to United Kingdom.</t>
        </r>
      </text>
    </comment>
    <comment ref="AO2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Primarily to United Kingdom.</t>
        </r>
      </text>
    </comment>
    <comment ref="AS2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Primarily to United Kingdom.</t>
        </r>
      </text>
    </comment>
    <comment ref="AW2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Primarily to United Kingdom.</t>
        </r>
      </text>
    </comment>
    <comment ref="BA2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Primarily to United Kingdom.</t>
        </r>
      </text>
    </comment>
    <comment ref="BQ2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Some overlapping quantities and values due to mention and categorization in two different tables.</t>
        </r>
      </text>
    </comment>
    <comment ref="BY2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Some overlapping quantities and values due to mention and categorization in two different tables.</t>
        </r>
      </text>
    </comment>
    <comment ref="CC2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Some overlapping quantities and values due to mention and categorization in two different tables.</t>
        </r>
      </text>
    </comment>
    <comment ref="CG2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Some overlapping quantities and values due to mention and categorization in two different tables.</t>
        </r>
      </text>
    </comment>
    <comment ref="CK2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Some overlapping quantities and values due to mention and categorization in two different tables.</t>
        </r>
      </text>
    </comment>
    <comment ref="CO2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Some overlapping quantities and values due to mention and categorization in two different tables.</t>
        </r>
      </text>
    </comment>
    <comment ref="CS2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Some overlapping quantities and values due to mention and categorization in two different tables.</t>
        </r>
      </text>
    </comment>
    <comment ref="CW2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Some overlapping quantities and values due to mention and categorization in two different tables.</t>
        </r>
      </text>
    </comment>
    <comment ref="BK14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Removed a zero due to possible error.</t>
        </r>
      </text>
    </comment>
    <comment ref="A75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Primary regions include United Kingdom, Austria-Hungary, Germany, Italy, France, Russia, Belgium.
Totals from all countries as reported by the customs house are listed in a seperated sheet.</t>
        </r>
      </text>
    </comment>
    <comment ref="E75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For all nations specified in this category. Following totals include those countries that have been specified from these countries.</t>
        </r>
      </text>
    </comment>
    <comment ref="I75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For all nations specified in this category. Following totals include those countries that have been specified from these countries.</t>
        </r>
      </text>
    </comment>
    <comment ref="M75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For all nations specified in this category. Following totals include those countries that have been specified from these countries.</t>
        </r>
      </text>
    </comment>
    <comment ref="Q75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For all nations specified in this category. Following totals include those countries that have been specified from these countries.</t>
        </r>
      </text>
    </comment>
    <comment ref="Y75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For all nations specified in this category. Following totals include those countries that have been specified from these countries.</t>
        </r>
      </text>
    </comment>
    <comment ref="AB75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For all nations specified in this category. Following totals include those countries that have been specified from these countries.</t>
        </r>
      </text>
    </comment>
    <comment ref="AE75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For all nations specified in this category. Following totals include those countries that have been specified from these countries.</t>
        </r>
      </text>
    </comment>
    <comment ref="AI75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For all nations specified in this category. Following totals include those countries that have been specified from these countries.</t>
        </r>
      </text>
    </comment>
    <comment ref="AM75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For all nations specified in this category. Following totals include those countries that have been specified from these countries.</t>
        </r>
      </text>
    </comment>
    <comment ref="AQ75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For all nations specified in this category. Following totals include those countries that have been specified from these countries.</t>
        </r>
      </text>
    </comment>
    <comment ref="AU75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For all nations specified in this category. Following totals include those countries that have been specified from these countries.</t>
        </r>
      </text>
    </comment>
    <comment ref="BK75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No mention of France and Russia.</t>
        </r>
      </text>
    </comment>
    <comment ref="D154" authorId="1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Sourced from 1912-13 where both units and equivalent cwts. are listed.</t>
        </r>
      </text>
    </comment>
    <comment ref="D155" authorId="1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Sourced from 1912-13 where both units and equivalent cwts. are listed.</t>
        </r>
      </text>
    </comment>
    <comment ref="D156" authorId="1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Sourced from 1912-13 where both units and equivalent cwts. are listed.</t>
        </r>
      </text>
    </comment>
    <comment ref="D157" authorId="1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Sourced from 1912-13 where both units and equivalent cwts. are listed.</t>
        </r>
      </text>
    </comment>
    <comment ref="C176" authorId="1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same as kileh (as stated in 1863)</t>
        </r>
      </text>
    </comment>
    <comment ref="D184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Sourced from the report: 1884 - Constantinople, Turkey</t>
        </r>
      </text>
    </comment>
    <comment ref="D185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Sourced from the report: 1884 - Constantinople, Turkey</t>
        </r>
      </text>
    </comment>
  </commentList>
</comments>
</file>

<file path=xl/sharedStrings.xml><?xml version="1.0" encoding="utf-8"?>
<sst xmlns="http://schemas.openxmlformats.org/spreadsheetml/2006/main" count="8661" uniqueCount="418">
  <si>
    <t>Articles</t>
  </si>
  <si>
    <t>Tons</t>
  </si>
  <si>
    <t>Value (Sterling)</t>
  </si>
  <si>
    <t>Boots and shoes</t>
  </si>
  <si>
    <t>Coffee</t>
  </si>
  <si>
    <t>Flour</t>
  </si>
  <si>
    <t>Indigo</t>
  </si>
  <si>
    <t>Lead</t>
  </si>
  <si>
    <t>Rice</t>
  </si>
  <si>
    <t>Soap</t>
  </si>
  <si>
    <t>Spices</t>
  </si>
  <si>
    <t>Sugar</t>
  </si>
  <si>
    <t>Linseed oil</t>
  </si>
  <si>
    <t>cwt.</t>
  </si>
  <si>
    <t>cwt</t>
  </si>
  <si>
    <t>gallon</t>
  </si>
  <si>
    <t>piece</t>
  </si>
  <si>
    <t>Gunpowder</t>
  </si>
  <si>
    <t>barrel</t>
  </si>
  <si>
    <t>cantar</t>
  </si>
  <si>
    <t>Pepper</t>
  </si>
  <si>
    <t>Tea</t>
  </si>
  <si>
    <t>Tin plates</t>
  </si>
  <si>
    <t>box</t>
  </si>
  <si>
    <t>Bundle</t>
  </si>
  <si>
    <t>bundle</t>
  </si>
  <si>
    <t>Quantity</t>
  </si>
  <si>
    <t>Unit</t>
  </si>
  <si>
    <t>tons</t>
  </si>
  <si>
    <t>bales</t>
  </si>
  <si>
    <t>Skins</t>
  </si>
  <si>
    <t>Cloth</t>
  </si>
  <si>
    <t>Matches</t>
  </si>
  <si>
    <t>Barley</t>
  </si>
  <si>
    <t>Carpets</t>
  </si>
  <si>
    <t>Gum</t>
  </si>
  <si>
    <t>Case</t>
  </si>
  <si>
    <t>case</t>
  </si>
  <si>
    <t>Opium</t>
  </si>
  <si>
    <t>Bale</t>
  </si>
  <si>
    <t>bale</t>
  </si>
  <si>
    <t>Sponges</t>
  </si>
  <si>
    <t>Tobacco</t>
  </si>
  <si>
    <t>Wine</t>
  </si>
  <si>
    <t>Almonds</t>
  </si>
  <si>
    <t>Cotton</t>
  </si>
  <si>
    <t>Cotton, raw</t>
  </si>
  <si>
    <t>Maize</t>
  </si>
  <si>
    <t>Millet</t>
  </si>
  <si>
    <t>Oil</t>
  </si>
  <si>
    <t>lbs</t>
  </si>
  <si>
    <t>Raisins</t>
  </si>
  <si>
    <t>Rye</t>
  </si>
  <si>
    <t>Salt</t>
  </si>
  <si>
    <t>Wool</t>
  </si>
  <si>
    <t>Wheat</t>
  </si>
  <si>
    <t>Middle East, Imports and Exports, 1824-1913</t>
  </si>
  <si>
    <t>This spreadsheet was put together by Robert Allen in April, 2018.</t>
  </si>
  <si>
    <r>
      <t xml:space="preserve">Prices and values are in </t>
    </r>
    <r>
      <rPr>
        <b/>
        <i/>
        <sz val="10"/>
        <rFont val="Arial"/>
        <family val="2"/>
      </rPr>
      <t>pounds sterling</t>
    </r>
    <r>
      <rPr>
        <sz val="10"/>
        <rFont val="Arial"/>
        <family val="2"/>
      </rPr>
      <t>.</t>
    </r>
  </si>
  <si>
    <t>There are important issues regarding the accuracy of the returns in view of their provencance and the incentives to underreport values and evade taxation.</t>
  </si>
  <si>
    <t>Some errors were detected in the process and corrected. Please note that observations not recorded for some of the years listed above were not available in the source reports.</t>
  </si>
  <si>
    <t>Sheets:</t>
  </si>
  <si>
    <t>- reduces the adjusted data on imports to prices in single series for each commodity.</t>
  </si>
  <si>
    <t>- reduces the adjusted data on exports to prices in single series for each commodity.</t>
  </si>
  <si>
    <t>Color Legend</t>
  </si>
  <si>
    <t>- mentions reason for colors of highlighted cells.</t>
  </si>
  <si>
    <t>Sources:</t>
  </si>
  <si>
    <t>Reports of British consuls published in: the British House of Commons papers in the diplomatic &amp; consular reports on trade and finance.</t>
  </si>
  <si>
    <t>Robert White Stevens, On the Stowage of Ships and their Cargoes, London, Longmans, Green, &amp; Co., 7th edition, 1894.</t>
  </si>
  <si>
    <t xml:space="preserve"> </t>
  </si>
  <si>
    <t>Prices and Wages in London &amp; Southern England, 1259-1914</t>
  </si>
  <si>
    <t>A1) Original Prices</t>
  </si>
  <si>
    <t>Source</t>
  </si>
  <si>
    <t>Currency/units</t>
  </si>
  <si>
    <t>£/Dozen</t>
  </si>
  <si>
    <t>£/Ton</t>
  </si>
  <si>
    <t>Comment</t>
  </si>
  <si>
    <t>Place of Origin</t>
  </si>
  <si>
    <t>Good</t>
  </si>
  <si>
    <t>Leather</t>
  </si>
  <si>
    <t>Glassware</t>
  </si>
  <si>
    <t>Drugs</t>
  </si>
  <si>
    <t>Paper</t>
  </si>
  <si>
    <t>Candles</t>
  </si>
  <si>
    <t>Year</t>
  </si>
  <si>
    <t>Ghee</t>
  </si>
  <si>
    <t>Price (Sterling)</t>
  </si>
  <si>
    <t>Cotton, goods</t>
  </si>
  <si>
    <t>Iron and steel, manufactured</t>
  </si>
  <si>
    <t>Silk, raw and goods</t>
  </si>
  <si>
    <t>Silk, goods</t>
  </si>
  <si>
    <t>Tin, in sheets</t>
  </si>
  <si>
    <t>Thread, cotton</t>
  </si>
  <si>
    <t>Seeds</t>
  </si>
  <si>
    <t>Price (Units)</t>
  </si>
  <si>
    <t>Units of conversion</t>
  </si>
  <si>
    <t>lbs.</t>
  </si>
  <si>
    <t>tin</t>
  </si>
  <si>
    <t>man</t>
  </si>
  <si>
    <t>box, bale, halfload</t>
  </si>
  <si>
    <t>load</t>
  </si>
  <si>
    <t>cwts.</t>
  </si>
  <si>
    <t>long ton</t>
  </si>
  <si>
    <t>rotols</t>
  </si>
  <si>
    <t>kilo</t>
  </si>
  <si>
    <t>rotol</t>
  </si>
  <si>
    <t>Arms and ammunition</t>
  </si>
  <si>
    <t>bag</t>
  </si>
  <si>
    <t>Date</t>
  </si>
  <si>
    <t>bahr</t>
  </si>
  <si>
    <t>Box/Dubba/Tin</t>
  </si>
  <si>
    <t>Oil of all kinds</t>
  </si>
  <si>
    <t>Box/Dubba</t>
  </si>
  <si>
    <t>Maund</t>
  </si>
  <si>
    <t>Grain, Flour</t>
  </si>
  <si>
    <t>Oil seeds</t>
  </si>
  <si>
    <t>Case/Cask</t>
  </si>
  <si>
    <t>Twist and yarn</t>
  </si>
  <si>
    <t>Package</t>
  </si>
  <si>
    <t>chest</t>
  </si>
  <si>
    <t>Silk (all relevant)</t>
  </si>
  <si>
    <t>package</t>
  </si>
  <si>
    <t>Glass and wares</t>
  </si>
  <si>
    <t>Cotton, piece-goods</t>
  </si>
  <si>
    <r>
      <rPr>
        <sz val="11"/>
        <rFont val="Calibri"/>
        <family val="2"/>
        <scheme val="minor"/>
      </rPr>
      <t xml:space="preserve">Kerosene oil </t>
    </r>
  </si>
  <si>
    <t>drum / tin</t>
  </si>
  <si>
    <t>Wool. cloth</t>
  </si>
  <si>
    <t>bag/sack</t>
  </si>
  <si>
    <t>Gunny bag</t>
  </si>
  <si>
    <t>Piece-goods</t>
  </si>
  <si>
    <t>Gall, nuts</t>
  </si>
  <si>
    <t>Mohair</t>
  </si>
  <si>
    <t>£/Lb.</t>
  </si>
  <si>
    <t>£/Yard</t>
  </si>
  <si>
    <t>Fish, dried and smoked</t>
  </si>
  <si>
    <t>Aniseed, cinnamon and other spices</t>
  </si>
  <si>
    <t>Cotton-seed oil</t>
  </si>
  <si>
    <t>Grease, edible</t>
  </si>
  <si>
    <t>Shell fish, tinned</t>
  </si>
  <si>
    <t>Beans, dried and peas</t>
  </si>
  <si>
    <t>Biscuits</t>
  </si>
  <si>
    <t>Cocoa and chocolate</t>
  </si>
  <si>
    <t>Sweetmeats</t>
  </si>
  <si>
    <t>Charcoal</t>
  </si>
  <si>
    <t>Coal</t>
  </si>
  <si>
    <r>
      <t>Coke</t>
    </r>
    <r>
      <rPr>
        <sz val="11.5"/>
        <rFont val="Times New Roman"/>
        <family val="1"/>
      </rPr>
      <t/>
    </r>
  </si>
  <si>
    <t>Soda and potash</t>
  </si>
  <si>
    <t>Oil colours, for industries</t>
  </si>
  <si>
    <t>Medicines and bills, prepared</t>
  </si>
  <si>
    <t>Other drugs</t>
  </si>
  <si>
    <t>Iron and steel, in bars and girders</t>
  </si>
  <si>
    <t>Iron, in safes</t>
  </si>
  <si>
    <t>Iron and steel, tools</t>
  </si>
  <si>
    <t>Iron, in sheets</t>
  </si>
  <si>
    <t>Nails and screws</t>
  </si>
  <si>
    <t>Leather, sole and saddle</t>
  </si>
  <si>
    <t>Copper, in sheets and plates</t>
  </si>
  <si>
    <t>Tin, in bars and ingots</t>
  </si>
  <si>
    <t>Wood, soft, for buildings</t>
  </si>
  <si>
    <t>Woodware, coarse</t>
  </si>
  <si>
    <t>Hides, raw, excluding sheep and goat-skins</t>
  </si>
  <si>
    <t>Hides, dressed</t>
  </si>
  <si>
    <t>Cotton, yarns</t>
  </si>
  <si>
    <t>Gauze and tulle, transparent</t>
  </si>
  <si>
    <t>Cotton, scarves, shawls and waist-cloths</t>
  </si>
  <si>
    <t>Cotton, curtains and coverings</t>
  </si>
  <si>
    <t>Towels</t>
  </si>
  <si>
    <t>Flax and hemp, yarns</t>
  </si>
  <si>
    <t>Flax and hemp, floorcloths</t>
  </si>
  <si>
    <t>Sacking and sacks</t>
  </si>
  <si>
    <t xml:space="preserve">Cement </t>
  </si>
  <si>
    <t>Lace and embroidery</t>
  </si>
  <si>
    <t>Sailcloth</t>
  </si>
  <si>
    <t>Piece-goods, linen</t>
  </si>
  <si>
    <t>Tents</t>
  </si>
  <si>
    <t>Wool, yarns</t>
  </si>
  <si>
    <t>Cloth and serge, for army, aba and shayak</t>
  </si>
  <si>
    <t>Broadcloth</t>
  </si>
  <si>
    <t>Silk, raw and waste</t>
  </si>
  <si>
    <t>Silk, tissues, mixed</t>
  </si>
  <si>
    <t>Braids, ribbons and buttons</t>
  </si>
  <si>
    <t>Hosiery and shirts</t>
  </si>
  <si>
    <t>Clothes, ready-made</t>
  </si>
  <si>
    <t>Oilcloth, floorcloth and covers</t>
  </si>
  <si>
    <t>Rubber, footwear</t>
  </si>
  <si>
    <t>Coats, waterproof</t>
  </si>
  <si>
    <t>Locomotives, traction engines and parts</t>
  </si>
  <si>
    <t>Motor cars, motor boats and parts</t>
  </si>
  <si>
    <t>Steam and oil, engines and parts</t>
  </si>
  <si>
    <t>Machinery and parts, for agriculture</t>
  </si>
  <si>
    <t>Pumps</t>
  </si>
  <si>
    <t>Sewing machines</t>
  </si>
  <si>
    <t>Typewriters and parts</t>
  </si>
  <si>
    <t>Silverware</t>
  </si>
  <si>
    <t>Hardware and plates</t>
  </si>
  <si>
    <t>Goods, fans and purses, fancy</t>
  </si>
  <si>
    <t>Household effects, used</t>
  </si>
  <si>
    <t>Oranges and lemons</t>
  </si>
  <si>
    <t>Liquorice, root and juice</t>
  </si>
  <si>
    <t>Oats</t>
  </si>
  <si>
    <t>Dates</t>
  </si>
  <si>
    <t>Olive oil</t>
  </si>
  <si>
    <t>Valonia</t>
  </si>
  <si>
    <t>Beans and peas, dried</t>
  </si>
  <si>
    <t>Figs, dried</t>
  </si>
  <si>
    <t>Flowers, bulbs and seeds</t>
  </si>
  <si>
    <t>Pips, vegetables and fruits</t>
  </si>
  <si>
    <t>Drugs, vegetable</t>
  </si>
  <si>
    <t>Grass, esparto</t>
  </si>
  <si>
    <t>Gum, tragacanth</t>
  </si>
  <si>
    <t>Emery</t>
  </si>
  <si>
    <t>Lead, ore</t>
  </si>
  <si>
    <t>Other ores</t>
  </si>
  <si>
    <t>Hides, raw, of sheep and goats</t>
  </si>
  <si>
    <t>Carpets, Turkish</t>
  </si>
  <si>
    <t>Carpets, Persia</t>
  </si>
  <si>
    <t>Other carpets, wool</t>
  </si>
  <si>
    <t>Turkey, 1911-12</t>
  </si>
  <si>
    <t>Turkey, 1910-11</t>
  </si>
  <si>
    <t>Spices, other than pepper and saffron</t>
  </si>
  <si>
    <t>Vegetable drugs, leaves, flowers and roots</t>
  </si>
  <si>
    <t>Iron, railway material</t>
  </si>
  <si>
    <t>Iron and steel, wire and netting</t>
  </si>
  <si>
    <t>Ropework, cables, cord and string</t>
  </si>
  <si>
    <t>Wool, shawls, scarves, waist cloths</t>
  </si>
  <si>
    <t>Animals, Horses</t>
  </si>
  <si>
    <t>Place of Produce and Manufacture</t>
  </si>
  <si>
    <t>United Kingdom</t>
  </si>
  <si>
    <r>
      <t xml:space="preserve">Copper, wrought or </t>
    </r>
    <r>
      <rPr>
        <sz val="11.5"/>
        <rFont val="Times New Roman"/>
        <family val="1"/>
      </rPr>
      <t>manufactured</t>
    </r>
  </si>
  <si>
    <t>Tin, unwrought</t>
  </si>
  <si>
    <t>Lbs.</t>
  </si>
  <si>
    <t>Yards</t>
  </si>
  <si>
    <t>Dozens</t>
  </si>
  <si>
    <t>Cotton flags, handkerchiefs and shawls</t>
  </si>
  <si>
    <t>Wool, tissues</t>
  </si>
  <si>
    <t>Worsted, tissues</t>
  </si>
  <si>
    <t>Bags and sacks, empty, for packing</t>
  </si>
  <si>
    <t>Cotton, yarns, grey</t>
  </si>
  <si>
    <t>Cotton, yarns, bleached and dyed</t>
  </si>
  <si>
    <t>Turkey, 1912-13</t>
  </si>
  <si>
    <t>Animals, living</t>
  </si>
  <si>
    <t>Food, derived from animals</t>
  </si>
  <si>
    <t>Cereals, grain and flour</t>
  </si>
  <si>
    <t>Fruit and vegetables, fresh and preserved</t>
  </si>
  <si>
    <t>Trees, seeds, seedlings and other plants</t>
  </si>
  <si>
    <t>Resin, varnish and gums</t>
  </si>
  <si>
    <t>Coffee, cocoa, tea and spices</t>
  </si>
  <si>
    <t>Sugar and confectionery</t>
  </si>
  <si>
    <t>Oils and grease</t>
  </si>
  <si>
    <t>Fermented liquors, mineral waters, snow and ice</t>
  </si>
  <si>
    <t>Manure, animal refuse and coal</t>
  </si>
  <si>
    <t>Chemical products, tanning and dyeing materials</t>
  </si>
  <si>
    <t>Drugs, medicines and perfumery</t>
  </si>
  <si>
    <t>Earth and stone, and earthenware and stoneware</t>
  </si>
  <si>
    <t>Rags, paper and printed matter</t>
  </si>
  <si>
    <t>Clocks, watches and musical instruments</t>
  </si>
  <si>
    <t>Hides, leather and manufactured</t>
  </si>
  <si>
    <t>Textile, materials and manufactured</t>
  </si>
  <si>
    <t>Fezes, hats, feathers and artifical flowers</t>
  </si>
  <si>
    <t>Works of art and scientific instruments</t>
  </si>
  <si>
    <t>Jewellery, fine hardware</t>
  </si>
  <si>
    <t>Fezes, hats, feathers and artificial flowers</t>
  </si>
  <si>
    <t>Machines, carriages and boats</t>
  </si>
  <si>
    <t>Turkey, 1908-09</t>
  </si>
  <si>
    <t>Turkey, 1909-10</t>
  </si>
  <si>
    <t>Ironware, including kitchen utensils</t>
  </si>
  <si>
    <t>Turkey, 1907-08</t>
  </si>
  <si>
    <t>Coal, small</t>
  </si>
  <si>
    <t>Coal, through and unscreened</t>
  </si>
  <si>
    <t>Coal, large</t>
  </si>
  <si>
    <t>Turkey, 1906-07</t>
  </si>
  <si>
    <t>Turkey, 1904-05</t>
  </si>
  <si>
    <t>Turkey, 1905-06</t>
  </si>
  <si>
    <t>Turkey, 1903-04</t>
  </si>
  <si>
    <t>Piece-goods, cotton,  grey or unbleached</t>
  </si>
  <si>
    <t>Piece-goods, cotton,  bleached</t>
  </si>
  <si>
    <t>Piece-goods, cotton,  printed</t>
  </si>
  <si>
    <t>Piece-goods, cotton,  dyed in the piece</t>
  </si>
  <si>
    <t>Piece-goods,  cotton, manufactured of dyed yarn, coloured cottons</t>
  </si>
  <si>
    <t>Piece-goods, cotton</t>
  </si>
  <si>
    <t>Iron, wrought or manufactured</t>
  </si>
  <si>
    <t>Sq. yards</t>
  </si>
  <si>
    <t>Parcel post</t>
  </si>
  <si>
    <t>Number</t>
  </si>
  <si>
    <t>Piece-goods, jute</t>
  </si>
  <si>
    <t>Linen, raw</t>
  </si>
  <si>
    <t>Total (from primary regions)</t>
  </si>
  <si>
    <t>Turkey, 1902-03</t>
  </si>
  <si>
    <t>Imports</t>
  </si>
  <si>
    <t>Exports</t>
  </si>
  <si>
    <t>Furnished by the Turkish custom-house.</t>
  </si>
  <si>
    <t>Turkey, 1901-02</t>
  </si>
  <si>
    <t>Turkey, 1900-01</t>
  </si>
  <si>
    <t>Iron and ironware</t>
  </si>
  <si>
    <t>Instruments, machines and vehicles</t>
  </si>
  <si>
    <t>Copperware</t>
  </si>
  <si>
    <t>Wool, goods and textiles</t>
  </si>
  <si>
    <t>Turkey, 1899-00</t>
  </si>
  <si>
    <t>Turkey, 1898-99</t>
  </si>
  <si>
    <t>Turkey, 1897-98</t>
  </si>
  <si>
    <t>Velvet and plush, coarse and textiles</t>
  </si>
  <si>
    <t>Tin, in sheets, manufactured</t>
  </si>
  <si>
    <t>Steel, in cast and bars</t>
  </si>
  <si>
    <t>Steel, wrought</t>
  </si>
  <si>
    <t>Turkey, 1896-97</t>
  </si>
  <si>
    <t>Beans, locust</t>
  </si>
  <si>
    <t>Fruits, dried, unenumerated</t>
  </si>
  <si>
    <t>Seeds. cotton, linseed and others</t>
  </si>
  <si>
    <t>Metals and ores</t>
  </si>
  <si>
    <t>Glass and glassswares</t>
  </si>
  <si>
    <t>Turkey, 1895-96</t>
  </si>
  <si>
    <t>Turkey, 1894-95</t>
  </si>
  <si>
    <t>Sulphates, iron, copper and zinc</t>
  </si>
  <si>
    <t>Iron, in bars</t>
  </si>
  <si>
    <t>Turkey, 1890-91</t>
  </si>
  <si>
    <t>Turkey, 1889-90</t>
  </si>
  <si>
    <t>for Currency Conversion</t>
  </si>
  <si>
    <t>1889-90</t>
  </si>
  <si>
    <t>Sterling</t>
  </si>
  <si>
    <t>Pias</t>
  </si>
  <si>
    <t>Turkey, 1888-89</t>
  </si>
  <si>
    <t>Turkey, 1887-88</t>
  </si>
  <si>
    <t>Turkey, 1886-87</t>
  </si>
  <si>
    <t>Sesame</t>
  </si>
  <si>
    <t>Litre</t>
  </si>
  <si>
    <t>1886-87</t>
  </si>
  <si>
    <t>1899-00</t>
  </si>
  <si>
    <t>1903-04</t>
  </si>
  <si>
    <t>1887-88</t>
  </si>
  <si>
    <t>Turkey, 1884-85</t>
  </si>
  <si>
    <t>Turkey, 1885-86</t>
  </si>
  <si>
    <t>Turkey, 1892-93</t>
  </si>
  <si>
    <t>Turkey, 1893-94</t>
  </si>
  <si>
    <t>Tobacco, unmanufactured</t>
  </si>
  <si>
    <t>Tobacco, manufactured</t>
  </si>
  <si>
    <t>Turkey, 1891-92</t>
  </si>
  <si>
    <t>Linen, raw and yarns</t>
  </si>
  <si>
    <t>Iron, goods, heavy</t>
  </si>
  <si>
    <t>Iron, goods, fine and cast</t>
  </si>
  <si>
    <t>Turkey, 1880-81</t>
  </si>
  <si>
    <t>Turkey, 1881-82</t>
  </si>
  <si>
    <t>1880-81</t>
  </si>
  <si>
    <t>1881-82</t>
  </si>
  <si>
    <t xml:space="preserve">Turkey - Prices (Imports) </t>
  </si>
  <si>
    <t xml:space="preserve">Turkey - Prices (Exports) </t>
  </si>
  <si>
    <t>Germany</t>
  </si>
  <si>
    <t>Austro-Hungary</t>
  </si>
  <si>
    <t>Holland</t>
  </si>
  <si>
    <t>France</t>
  </si>
  <si>
    <t>Italy</t>
  </si>
  <si>
    <t>Copper and copperware</t>
  </si>
  <si>
    <t>Zinc and zincware</t>
  </si>
  <si>
    <t>Tin and tinware</t>
  </si>
  <si>
    <t>Cotton, yarns and piece-goods</t>
  </si>
  <si>
    <t>Wool, yarns and piece-goods</t>
  </si>
  <si>
    <t>Flax, hemp and jute, yarns and piece-goods</t>
  </si>
  <si>
    <t>Wool, stuffs</t>
  </si>
  <si>
    <t>Cotton, textiles</t>
  </si>
  <si>
    <t>Wooden and bone, goods</t>
  </si>
  <si>
    <t>£/Number</t>
  </si>
  <si>
    <t>£/Sq. yard</t>
  </si>
  <si>
    <r>
      <rPr>
        <sz val="11"/>
        <rFont val="Calibri"/>
        <family val="2"/>
      </rPr>
      <t xml:space="preserve">Kerosene oil </t>
    </r>
  </si>
  <si>
    <t>£/Litre</t>
  </si>
  <si>
    <t/>
  </si>
  <si>
    <t>1884-85</t>
  </si>
  <si>
    <t>1885-86</t>
  </si>
  <si>
    <t>1888-89</t>
  </si>
  <si>
    <t>1890-91</t>
  </si>
  <si>
    <t>1891-92</t>
  </si>
  <si>
    <t>1892-93</t>
  </si>
  <si>
    <t>1893-94</t>
  </si>
  <si>
    <t>1894-95</t>
  </si>
  <si>
    <t>1895-96</t>
  </si>
  <si>
    <t>1896-97</t>
  </si>
  <si>
    <t>1897-98</t>
  </si>
  <si>
    <t>1898-99</t>
  </si>
  <si>
    <t>1900-01</t>
  </si>
  <si>
    <t>1901-02</t>
  </si>
  <si>
    <t>1902-03</t>
  </si>
  <si>
    <t>1904-05</t>
  </si>
  <si>
    <t>1905-06</t>
  </si>
  <si>
    <t>1906-07</t>
  </si>
  <si>
    <t>1907-08</t>
  </si>
  <si>
    <t>1908-09</t>
  </si>
  <si>
    <t>1909-10</t>
  </si>
  <si>
    <t>1910-11</t>
  </si>
  <si>
    <t>1911-12</t>
  </si>
  <si>
    <t>1912-13</t>
  </si>
  <si>
    <t>Imports - Data (Raw&amp;Adj)</t>
  </si>
  <si>
    <t>- contains the raw and adjusted units for commodities and currencies of prices, quantities and values of imports taken from the sources described below.</t>
  </si>
  <si>
    <t>Exports - Data (Raw&amp;Adj)</t>
  </si>
  <si>
    <t>- contains the raw and adjusted units for commodities and currencies of prices, quantities and values of exports taken from the sources described below.</t>
  </si>
  <si>
    <t>Imports &amp; Exports - Totals</t>
  </si>
  <si>
    <t>- contains the annual total values of imports and exports.</t>
  </si>
  <si>
    <r>
      <t xml:space="preserve">This spreadsheet lists the prices, quantities and values of imports and exports in the country of </t>
    </r>
    <r>
      <rPr>
        <b/>
        <i/>
        <sz val="10"/>
        <rFont val="Arial"/>
        <family val="2"/>
      </rPr>
      <t>Turkey</t>
    </r>
    <r>
      <rPr>
        <sz val="10"/>
        <rFont val="Arial"/>
        <family val="2"/>
      </rPr>
      <t xml:space="preserve"> from </t>
    </r>
    <r>
      <rPr>
        <b/>
        <i/>
        <sz val="10"/>
        <rFont val="Arial"/>
        <family val="2"/>
      </rPr>
      <t>1880-81</t>
    </r>
    <r>
      <rPr>
        <sz val="10"/>
        <rFont val="Arial"/>
        <family val="2"/>
      </rPr>
      <t xml:space="preserve"> to </t>
    </r>
    <r>
      <rPr>
        <b/>
        <i/>
        <sz val="10"/>
        <rFont val="Arial"/>
        <family val="2"/>
      </rPr>
      <t>1912-13</t>
    </r>
    <r>
      <rPr>
        <sz val="10"/>
        <rFont val="Arial"/>
        <family val="2"/>
      </rPr>
      <t>.  The data were compiled by British consuls.</t>
    </r>
  </si>
  <si>
    <t>Wheat flour</t>
  </si>
  <si>
    <t>Iron, in bedsteads</t>
  </si>
  <si>
    <t>Leatherwares</t>
  </si>
  <si>
    <t>Piece-goods, cotton, bleached</t>
  </si>
  <si>
    <t>Piece-goods, cotton, unbleached</t>
  </si>
  <si>
    <t>Piece-goods, cotton, dyed or printed</t>
  </si>
  <si>
    <t>Wool mixed with cotton, tissues</t>
  </si>
  <si>
    <t>Silk, tissues, pure</t>
  </si>
  <si>
    <t>Cloths and stuffs, non-printed</t>
  </si>
  <si>
    <t>Paints</t>
  </si>
  <si>
    <t>Electrical materials</t>
  </si>
  <si>
    <t>Arms and ammunitions</t>
  </si>
  <si>
    <t>Metals and wares</t>
  </si>
  <si>
    <t>Wood and wares</t>
  </si>
  <si>
    <t>India-rubber, raw and manufactured</t>
  </si>
  <si>
    <t>Wool, raw</t>
  </si>
  <si>
    <t>Canary seeds</t>
  </si>
  <si>
    <t>half load</t>
  </si>
  <si>
    <t>kileh</t>
  </si>
  <si>
    <t>Chick peas, beans</t>
  </si>
  <si>
    <t>kgs.</t>
  </si>
  <si>
    <t>£/Kilo</t>
  </si>
  <si>
    <t>Kilos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</si>
</sst>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000"/>
    <numFmt numFmtId="165" formatCode="_(* #,##0_);_(* \(#,##0\);_(* &quot;-&quot;??_);_(@_)"/>
    <numFmt numFmtId="166" formatCode="_ * #,##0_ ;_ * \-#,##0_ ;_ * &quot;-&quot;_ ;_ @_ "/>
    <numFmt numFmtId="167" formatCode="#,##0.0000"/>
    <numFmt numFmtId="168" formatCode="_(* #,##0.0_);_(* \(#,##0.0\);_(* &quot;-&quot;??_);_(@_)"/>
  </numFmts>
  <fonts count="50" x14ac:knownFonts="1">
    <font>
      <sz val="11"/>
      <name val="Calibri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b/>
      <sz val="11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36"/>
      <name val="Calibri"/>
      <family val="2"/>
      <charset val="204"/>
    </font>
    <font>
      <b/>
      <sz val="11"/>
      <color indexed="34"/>
      <name val="Calibri"/>
      <family val="2"/>
      <charset val="204"/>
    </font>
    <font>
      <b/>
      <sz val="11"/>
      <color indexed="9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32"/>
      <name val="Calibri"/>
      <family val="2"/>
      <charset val="204"/>
    </font>
    <font>
      <b/>
      <sz val="13"/>
      <color indexed="32"/>
      <name val="Calibri"/>
      <family val="2"/>
      <charset val="204"/>
    </font>
    <font>
      <b/>
      <sz val="11"/>
      <color indexed="32"/>
      <name val="Calibri"/>
      <family val="2"/>
      <charset val="204"/>
    </font>
    <font>
      <sz val="11"/>
      <color indexed="32"/>
      <name val="Calibri"/>
      <family val="2"/>
      <charset val="204"/>
    </font>
    <font>
      <sz val="11"/>
      <color indexed="34"/>
      <name val="Calibri"/>
      <family val="2"/>
      <charset val="204"/>
    </font>
    <font>
      <sz val="11"/>
      <color indexed="37"/>
      <name val="Calibri"/>
      <family val="2"/>
      <charset val="204"/>
    </font>
    <font>
      <b/>
      <sz val="11"/>
      <color indexed="22"/>
      <name val="Calibri"/>
      <family val="2"/>
      <charset val="204"/>
    </font>
    <font>
      <b/>
      <sz val="18"/>
      <color indexed="32"/>
      <name val="Cambria"/>
      <family val="1"/>
      <charset val="204"/>
    </font>
    <font>
      <sz val="11"/>
      <color indexed="10"/>
      <name val="Calibri"/>
      <family val="2"/>
      <charset val="204"/>
    </font>
    <font>
      <sz val="11"/>
      <name val="Calibri"/>
      <family val="2"/>
      <charset val="204"/>
    </font>
    <font>
      <sz val="11"/>
      <name val="Calibri"/>
      <family val="2"/>
    </font>
    <font>
      <sz val="1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sz val="10"/>
      <name val="Courier"/>
    </font>
    <font>
      <b/>
      <u/>
      <sz val="10"/>
      <color indexed="9"/>
      <name val="Arial"/>
      <family val="2"/>
    </font>
    <font>
      <sz val="10"/>
      <color indexed="9"/>
      <name val="Courier"/>
    </font>
    <font>
      <b/>
      <u/>
      <sz val="8"/>
      <name val="Arial"/>
      <family val="2"/>
    </font>
    <font>
      <sz val="8"/>
      <color indexed="9"/>
      <name val="Arial"/>
      <family val="2"/>
    </font>
    <font>
      <i/>
      <sz val="8"/>
      <color indexed="9"/>
      <name val="Arial"/>
      <family val="2"/>
    </font>
    <font>
      <i/>
      <sz val="8"/>
      <name val="Arial"/>
      <family val="2"/>
    </font>
    <font>
      <sz val="8"/>
      <name val="Arial"/>
      <family val="2"/>
    </font>
    <font>
      <b/>
      <i/>
      <sz val="11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  <charset val="204"/>
    </font>
    <font>
      <i/>
      <sz val="11"/>
      <color rgb="FF00000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Times New Roman"/>
      <family val="1"/>
    </font>
    <font>
      <sz val="1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.5"/>
      <name val="Times New Roman"/>
      <family val="1"/>
    </font>
    <font>
      <i/>
      <sz val="11"/>
      <name val="Calibri"/>
      <family val="2"/>
    </font>
    <font>
      <i/>
      <sz val="11"/>
      <color rgb="FF000000"/>
      <name val="Calibri"/>
      <family val="2"/>
    </font>
    <font>
      <sz val="11"/>
      <color theme="1"/>
      <name val="Calibri"/>
      <family val="2"/>
    </font>
    <font>
      <i/>
      <sz val="11"/>
      <color theme="1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indexed="58"/>
      </patternFill>
    </fill>
    <fill>
      <patternFill patternType="solid">
        <fgColor indexed="17"/>
        <bgColor indexed="17"/>
      </patternFill>
    </fill>
    <fill>
      <patternFill patternType="solid">
        <fgColor indexed="8"/>
        <bgColor indexed="8"/>
      </patternFill>
    </fill>
    <fill>
      <patternFill patternType="solid">
        <fgColor indexed="11"/>
        <bgColor indexed="11"/>
      </patternFill>
    </fill>
    <fill>
      <patternFill patternType="solid">
        <fgColor indexed="63"/>
      </patternFill>
    </fill>
    <fill>
      <patternFill patternType="solid">
        <fgColor indexed="37"/>
        <bgColor indexed="37"/>
      </patternFill>
    </fill>
    <fill>
      <patternFill patternType="solid">
        <fgColor indexed="23"/>
        <bgColor indexed="23"/>
      </patternFill>
    </fill>
    <fill>
      <patternFill patternType="solid">
        <fgColor indexed="19"/>
        <bgColor indexed="19"/>
      </patternFill>
    </fill>
    <fill>
      <patternFill patternType="solid">
        <fgColor indexed="32"/>
        <bgColor indexed="32"/>
      </patternFill>
    </fill>
    <fill>
      <patternFill patternType="solid">
        <fgColor theme="6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17"/>
      </left>
      <right style="thin">
        <color indexed="17"/>
      </right>
      <top style="thin">
        <color indexed="17"/>
      </top>
      <bottom style="thin">
        <color indexed="17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/>
      <right/>
      <top/>
      <bottom style="thick">
        <color indexed="23"/>
      </bottom>
      <diagonal/>
    </border>
    <border>
      <left/>
      <right/>
      <top/>
      <bottom style="thick">
        <color indexed="0"/>
      </bottom>
      <diagonal/>
    </border>
    <border>
      <left/>
      <right/>
      <top/>
      <bottom style="thick">
        <color indexed="17"/>
      </bottom>
      <diagonal/>
    </border>
    <border>
      <left/>
      <right/>
      <top/>
      <bottom style="double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double">
        <color indexed="23"/>
      </bottom>
      <diagonal/>
    </border>
  </borders>
  <cellStyleXfs count="52">
    <xf numFmtId="0" fontId="0" fillId="0" borderId="0">
      <alignment vertical="top"/>
    </xf>
    <xf numFmtId="0" fontId="23" fillId="2" borderId="0" applyNumberFormat="0" applyFont="0" applyFill="0" applyProtection="0"/>
    <xf numFmtId="0" fontId="23" fillId="2" borderId="0" applyNumberFormat="0" applyFont="0" applyFill="0" applyProtection="0"/>
    <xf numFmtId="0" fontId="23" fillId="2" borderId="0" applyNumberFormat="0" applyFont="0" applyFill="0" applyProtection="0"/>
    <xf numFmtId="0" fontId="23" fillId="2" borderId="0" applyNumberFormat="0" applyFont="0" applyFill="0" applyProtection="0"/>
    <xf numFmtId="0" fontId="23" fillId="3" borderId="0" applyNumberFormat="0" applyFont="0" applyFill="0" applyProtection="0"/>
    <xf numFmtId="0" fontId="23" fillId="4" borderId="0" applyNumberFormat="0" applyFont="0" applyFill="0" applyProtection="0"/>
    <xf numFmtId="0" fontId="23" fillId="2" borderId="0" applyNumberFormat="0" applyFont="0" applyFill="0" applyProtection="0"/>
    <xf numFmtId="0" fontId="23" fillId="2" borderId="0" applyNumberFormat="0" applyFont="0" applyFill="0" applyProtection="0"/>
    <xf numFmtId="0" fontId="23" fillId="5" borderId="0" applyNumberFormat="0" applyFont="0" applyFill="0" applyProtection="0"/>
    <xf numFmtId="0" fontId="23" fillId="2" borderId="0" applyNumberFormat="0" applyFont="0" applyFill="0" applyProtection="0"/>
    <xf numFmtId="0" fontId="23" fillId="2" borderId="0" applyNumberFormat="0" applyFont="0" applyFill="0" applyProtection="0"/>
    <xf numFmtId="0" fontId="23" fillId="6" borderId="0" applyNumberFormat="0" applyFont="0" applyFill="0" applyProtection="0"/>
    <xf numFmtId="0" fontId="8" fillId="2" borderId="0" applyNumberFormat="0" applyFont="0" applyFill="0" applyProtection="0"/>
    <xf numFmtId="0" fontId="8" fillId="2" borderId="0" applyNumberFormat="0" applyFont="0" applyFill="0" applyProtection="0"/>
    <xf numFmtId="0" fontId="8" fillId="5" borderId="0" applyNumberFormat="0" applyFont="0" applyFill="0" applyProtection="0"/>
    <xf numFmtId="0" fontId="8" fillId="3" borderId="0" applyNumberFormat="0" applyFont="0" applyFill="0" applyProtection="0"/>
    <xf numFmtId="0" fontId="8" fillId="7" borderId="0" applyNumberFormat="0" applyFont="0" applyFill="0" applyProtection="0"/>
    <xf numFmtId="0" fontId="8" fillId="8" borderId="0" applyNumberFormat="0" applyFont="0" applyFill="0" applyProtection="0"/>
    <xf numFmtId="0" fontId="8" fillId="8" borderId="0" applyNumberFormat="0" applyFont="0" applyFill="0" applyProtection="0"/>
    <xf numFmtId="0" fontId="8" fillId="4" borderId="0" applyNumberFormat="0" applyFont="0" applyFill="0" applyProtection="0"/>
    <xf numFmtId="0" fontId="8" fillId="9" borderId="0" applyNumberFormat="0" applyFont="0" applyFill="0" applyProtection="0"/>
    <xf numFmtId="0" fontId="8" fillId="3" borderId="0" applyNumberFormat="0" applyFont="0" applyFill="0" applyProtection="0"/>
    <xf numFmtId="0" fontId="8" fillId="7" borderId="0" applyNumberFormat="0" applyFont="0" applyFill="0" applyProtection="0"/>
    <xf numFmtId="0" fontId="8" fillId="4" borderId="0" applyNumberFormat="0" applyFont="0" applyFill="0" applyProtection="0"/>
    <xf numFmtId="0" fontId="9" fillId="2" borderId="0" applyNumberFormat="0" applyFont="0" applyFill="0" applyProtection="0"/>
    <xf numFmtId="0" fontId="10" fillId="4" borderId="1" applyNumberFormat="0" applyFill="0" applyProtection="0"/>
    <xf numFmtId="0" fontId="11" fillId="10" borderId="2" applyNumberFormat="0" applyFill="0" applyProtection="0"/>
    <xf numFmtId="4" fontId="23" fillId="0" borderId="0" applyFont="0" applyFill="0" applyBorder="0" applyAlignment="0" applyProtection="0"/>
    <xf numFmtId="3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12" fillId="0" borderId="0" applyNumberFormat="0" applyFont="0" applyFill="0" applyBorder="0" applyProtection="0"/>
    <xf numFmtId="0" fontId="13" fillId="2" borderId="0" applyNumberFormat="0" applyFont="0" applyFill="0" applyProtection="0"/>
    <xf numFmtId="0" fontId="14" fillId="0" borderId="3" applyNumberFormat="0" applyFill="0" applyBorder="0" applyProtection="0"/>
    <xf numFmtId="0" fontId="15" fillId="0" borderId="4" applyNumberFormat="0" applyFill="0" applyBorder="0" applyProtection="0"/>
    <xf numFmtId="0" fontId="16" fillId="0" borderId="5" applyNumberFormat="0" applyFill="0" applyBorder="0" applyProtection="0"/>
    <xf numFmtId="0" fontId="16" fillId="0" borderId="0" applyNumberFormat="0" applyFont="0" applyFill="0" applyBorder="0" applyProtection="0"/>
    <xf numFmtId="0" fontId="17" fillId="4" borderId="1" applyNumberFormat="0" applyFill="0" applyProtection="0"/>
    <xf numFmtId="0" fontId="18" fillId="0" borderId="6" applyNumberFormat="0" applyFill="0" applyBorder="0" applyProtection="0"/>
    <xf numFmtId="0" fontId="19" fillId="2" borderId="0" applyNumberFormat="0" applyFont="0" applyFill="0" applyProtection="0"/>
    <xf numFmtId="0" fontId="6" fillId="0" borderId="0" applyNumberFormat="0" applyFont="0" applyFill="0" applyBorder="0" applyAlignment="0" applyProtection="0">
      <alignment vertical="top"/>
    </xf>
    <xf numFmtId="0" fontId="23" fillId="4" borderId="7" applyNumberFormat="0" applyFill="0" applyAlignment="0" applyProtection="0"/>
    <xf numFmtId="0" fontId="20" fillId="4" borderId="8" applyNumberFormat="0" applyFill="0" applyProtection="0"/>
    <xf numFmtId="0" fontId="21" fillId="0" borderId="0" applyNumberFormat="0" applyFont="0" applyFill="0" applyBorder="0" applyProtection="0"/>
    <xf numFmtId="0" fontId="7" fillId="0" borderId="9" applyNumberFormat="0" applyFill="0" applyBorder="0" applyProtection="0"/>
    <xf numFmtId="0" fontId="22" fillId="0" borderId="0" applyNumberFormat="0" applyFont="0" applyFill="0" applyBorder="0" applyProtection="0"/>
    <xf numFmtId="0" fontId="23" fillId="0" borderId="0">
      <alignment vertical="top"/>
    </xf>
    <xf numFmtId="0" fontId="5" fillId="0" borderId="0"/>
    <xf numFmtId="0" fontId="25" fillId="0" borderId="0">
      <alignment vertical="top"/>
    </xf>
    <xf numFmtId="0" fontId="28" fillId="0" borderId="0">
      <alignment vertical="top"/>
    </xf>
    <xf numFmtId="0" fontId="4" fillId="0" borderId="0"/>
    <xf numFmtId="0" fontId="24" fillId="0" borderId="0">
      <alignment vertical="top"/>
    </xf>
  </cellStyleXfs>
  <cellXfs count="162">
    <xf numFmtId="0" fontId="0" fillId="0" borderId="0" xfId="0" applyAlignment="1"/>
    <xf numFmtId="0" fontId="23" fillId="0" borderId="0" xfId="0" applyFont="1" applyAlignment="1"/>
    <xf numFmtId="0" fontId="25" fillId="0" borderId="0" xfId="48" applyFont="1" applyAlignment="1"/>
    <xf numFmtId="0" fontId="25" fillId="0" borderId="0" xfId="48" applyAlignment="1"/>
    <xf numFmtId="0" fontId="25" fillId="0" borderId="0" xfId="48" applyFont="1" applyBorder="1" applyAlignment="1"/>
    <xf numFmtId="0" fontId="25" fillId="0" borderId="0" xfId="48" applyBorder="1" applyAlignment="1"/>
    <xf numFmtId="0" fontId="27" fillId="0" borderId="0" xfId="48" applyFont="1" applyAlignment="1"/>
    <xf numFmtId="0" fontId="25" fillId="0" borderId="0" xfId="48" quotePrefix="1" applyFont="1" applyAlignment="1"/>
    <xf numFmtId="0" fontId="25" fillId="0" borderId="0" xfId="48" applyFont="1" applyAlignment="1">
      <alignment horizontal="left"/>
    </xf>
    <xf numFmtId="0" fontId="29" fillId="0" borderId="0" xfId="49" applyFont="1" applyBorder="1" applyAlignment="1">
      <alignment horizontal="left" vertical="center"/>
    </xf>
    <xf numFmtId="0" fontId="28" fillId="0" borderId="0" xfId="49" applyAlignment="1"/>
    <xf numFmtId="0" fontId="30" fillId="0" borderId="0" xfId="49" applyFont="1" applyAlignment="1"/>
    <xf numFmtId="0" fontId="31" fillId="0" borderId="0" xfId="49" applyFont="1" applyFill="1" applyBorder="1" applyAlignment="1">
      <alignment horizontal="left" vertical="center"/>
    </xf>
    <xf numFmtId="0" fontId="32" fillId="0" borderId="0" xfId="49" applyFont="1" applyBorder="1" applyAlignment="1">
      <alignment horizontal="right"/>
    </xf>
    <xf numFmtId="0" fontId="33" fillId="2" borderId="0" xfId="49" applyFont="1" applyFill="1" applyBorder="1" applyAlignment="1">
      <alignment horizontal="left"/>
    </xf>
    <xf numFmtId="0" fontId="32" fillId="2" borderId="0" xfId="49" applyFont="1" applyFill="1" applyBorder="1" applyAlignment="1">
      <alignment horizontal="center"/>
    </xf>
    <xf numFmtId="0" fontId="33" fillId="2" borderId="0" xfId="49" applyFont="1" applyFill="1" applyBorder="1" applyAlignment="1">
      <alignment horizontal="left" wrapText="1"/>
    </xf>
    <xf numFmtId="0" fontId="32" fillId="0" borderId="0" xfId="49" applyFont="1" applyBorder="1" applyAlignment="1">
      <alignment horizontal="left"/>
    </xf>
    <xf numFmtId="0" fontId="32" fillId="2" borderId="0" xfId="49" applyFont="1" applyFill="1" applyBorder="1" applyAlignment="1">
      <alignment horizontal="left"/>
    </xf>
    <xf numFmtId="0" fontId="30" fillId="0" borderId="0" xfId="49" applyFont="1" applyAlignment="1">
      <alignment horizontal="left"/>
    </xf>
    <xf numFmtId="0" fontId="33" fillId="0" borderId="0" xfId="49" applyFont="1" applyBorder="1" applyAlignment="1">
      <alignment horizontal="right" vertical="center" wrapText="1"/>
    </xf>
    <xf numFmtId="0" fontId="33" fillId="2" borderId="0" xfId="49" applyFont="1" applyFill="1" applyBorder="1" applyAlignment="1">
      <alignment horizontal="left" vertical="center" wrapText="1"/>
    </xf>
    <xf numFmtId="0" fontId="33" fillId="0" borderId="0" xfId="49" applyFont="1" applyAlignment="1">
      <alignment vertical="center" wrapText="1"/>
    </xf>
    <xf numFmtId="0" fontId="33" fillId="2" borderId="0" xfId="49" applyFont="1" applyFill="1" applyBorder="1" applyAlignment="1">
      <alignment horizontal="right"/>
    </xf>
    <xf numFmtId="0" fontId="34" fillId="0" borderId="0" xfId="49" applyFont="1" applyBorder="1" applyAlignment="1">
      <alignment horizontal="right"/>
    </xf>
    <xf numFmtId="0" fontId="32" fillId="2" borderId="0" xfId="49" applyFont="1" applyFill="1" applyBorder="1" applyAlignment="1" applyProtection="1">
      <alignment horizontal="right"/>
    </xf>
    <xf numFmtId="164" fontId="35" fillId="0" borderId="0" xfId="49" applyNumberFormat="1" applyFont="1" applyBorder="1" applyAlignment="1" applyProtection="1">
      <alignment horizontal="center"/>
    </xf>
    <xf numFmtId="0" fontId="33" fillId="0" borderId="0" xfId="49" applyFont="1" applyBorder="1" applyAlignment="1">
      <alignment horizontal="right"/>
    </xf>
    <xf numFmtId="0" fontId="33" fillId="0" borderId="0" xfId="49" applyFont="1" applyAlignment="1"/>
    <xf numFmtId="0" fontId="35" fillId="0" borderId="0" xfId="49" applyFont="1" applyBorder="1" applyAlignment="1">
      <alignment horizontal="center"/>
    </xf>
    <xf numFmtId="0" fontId="24" fillId="0" borderId="0" xfId="0" applyFont="1" applyFill="1" applyBorder="1" applyAlignment="1"/>
    <xf numFmtId="0" fontId="23" fillId="0" borderId="0" xfId="0" applyFont="1" applyFill="1" applyBorder="1" applyAlignment="1"/>
    <xf numFmtId="0" fontId="38" fillId="0" borderId="0" xfId="0" applyFont="1" applyFill="1" applyBorder="1" applyAlignment="1"/>
    <xf numFmtId="3" fontId="23" fillId="0" borderId="0" xfId="0" applyNumberFormat="1" applyFont="1" applyFill="1" applyBorder="1" applyAlignment="1"/>
    <xf numFmtId="0" fontId="37" fillId="0" borderId="0" xfId="46" applyFont="1" applyFill="1" applyBorder="1" applyAlignment="1">
      <alignment wrapText="1"/>
    </xf>
    <xf numFmtId="0" fontId="23" fillId="0" borderId="0" xfId="0" applyFont="1" applyFill="1" applyBorder="1" applyAlignment="1">
      <alignment wrapText="1"/>
    </xf>
    <xf numFmtId="0" fontId="23" fillId="0" borderId="0" xfId="0" applyFont="1" applyAlignment="1">
      <alignment wrapText="1"/>
    </xf>
    <xf numFmtId="165" fontId="39" fillId="0" borderId="0" xfId="28" applyNumberFormat="1" applyFont="1" applyFill="1" applyAlignment="1">
      <alignment horizontal="left"/>
    </xf>
    <xf numFmtId="0" fontId="40" fillId="0" borderId="0" xfId="0" applyFont="1" applyAlignment="1"/>
    <xf numFmtId="1" fontId="41" fillId="0" borderId="0" xfId="0" applyNumberFormat="1" applyFont="1" applyBorder="1" applyAlignment="1">
      <alignment horizontal="left" vertical="top"/>
    </xf>
    <xf numFmtId="0" fontId="41" fillId="0" borderId="0" xfId="0" applyFont="1" applyBorder="1" applyAlignment="1">
      <alignment horizontal="left" vertical="top"/>
    </xf>
    <xf numFmtId="0" fontId="40" fillId="0" borderId="0" xfId="0" applyFont="1" applyFill="1" applyAlignment="1"/>
    <xf numFmtId="165" fontId="42" fillId="0" borderId="0" xfId="28" applyNumberFormat="1" applyFont="1" applyBorder="1" applyAlignment="1">
      <alignment horizontal="left" vertical="center" wrapText="1"/>
    </xf>
    <xf numFmtId="0" fontId="40" fillId="0" borderId="0" xfId="0" applyFont="1" applyFill="1" applyAlignment="1">
      <alignment horizontal="left"/>
    </xf>
    <xf numFmtId="3" fontId="40" fillId="0" borderId="0" xfId="0" applyNumberFormat="1" applyFont="1" applyFill="1" applyAlignment="1"/>
    <xf numFmtId="0" fontId="24" fillId="0" borderId="0" xfId="46" applyFont="1" applyFill="1" applyBorder="1" applyAlignment="1">
      <alignment wrapText="1"/>
    </xf>
    <xf numFmtId="0" fontId="40" fillId="0" borderId="0" xfId="0" applyFont="1" applyFill="1" applyAlignment="1">
      <alignment horizontal="left" vertical="center"/>
    </xf>
    <xf numFmtId="0" fontId="3" fillId="0" borderId="0" xfId="0" applyFont="1" applyFill="1" applyAlignment="1"/>
    <xf numFmtId="0" fontId="3" fillId="0" borderId="0" xfId="0" applyFont="1" applyAlignment="1"/>
    <xf numFmtId="2" fontId="3" fillId="0" borderId="0" xfId="0" applyNumberFormat="1" applyFont="1" applyAlignment="1"/>
    <xf numFmtId="2" fontId="3" fillId="0" borderId="0" xfId="0" applyNumberFormat="1" applyFont="1" applyFill="1" applyAlignment="1"/>
    <xf numFmtId="0" fontId="3" fillId="0" borderId="0" xfId="0" applyFont="1" applyFill="1" applyAlignment="1">
      <alignment horizontal="left"/>
    </xf>
    <xf numFmtId="2" fontId="3" fillId="0" borderId="0" xfId="0" applyNumberFormat="1" applyFont="1" applyFill="1" applyAlignment="1">
      <alignment horizontal="right" vertical="center"/>
    </xf>
    <xf numFmtId="0" fontId="3" fillId="0" borderId="0" xfId="0" applyFont="1" applyFill="1" applyBorder="1" applyAlignment="1"/>
    <xf numFmtId="164" fontId="3" fillId="0" borderId="0" xfId="0" applyNumberFormat="1" applyFont="1" applyAlignment="1"/>
    <xf numFmtId="164" fontId="3" fillId="0" borderId="0" xfId="0" applyNumberFormat="1" applyFont="1" applyFill="1" applyAlignment="1"/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vertical="center"/>
    </xf>
    <xf numFmtId="3" fontId="3" fillId="0" borderId="0" xfId="0" applyNumberFormat="1" applyFont="1" applyFill="1" applyAlignment="1"/>
    <xf numFmtId="4" fontId="3" fillId="0" borderId="0" xfId="0" applyNumberFormat="1" applyFont="1" applyFill="1" applyAlignment="1"/>
    <xf numFmtId="164" fontId="3" fillId="0" borderId="0" xfId="0" applyNumberFormat="1" applyFont="1" applyBorder="1" applyAlignment="1"/>
    <xf numFmtId="166" fontId="3" fillId="0" borderId="0" xfId="0" applyNumberFormat="1" applyFont="1" applyBorder="1" applyAlignment="1">
      <alignment horizontal="left"/>
    </xf>
    <xf numFmtId="166" fontId="3" fillId="0" borderId="0" xfId="0" applyNumberFormat="1" applyFont="1" applyBorder="1" applyAlignment="1"/>
    <xf numFmtId="0" fontId="3" fillId="0" borderId="0" xfId="0" applyFont="1" applyBorder="1" applyAlignment="1">
      <alignment horizontal="left"/>
    </xf>
    <xf numFmtId="0" fontId="3" fillId="0" borderId="0" xfId="0" applyFont="1" applyBorder="1" applyAlignment="1"/>
    <xf numFmtId="3" fontId="23" fillId="0" borderId="0" xfId="0" applyNumberFormat="1" applyFont="1" applyAlignment="1"/>
    <xf numFmtId="3" fontId="23" fillId="0" borderId="0" xfId="28" applyNumberFormat="1" applyFont="1" applyAlignment="1"/>
    <xf numFmtId="0" fontId="45" fillId="0" borderId="0" xfId="0" applyFont="1" applyFill="1" applyBorder="1" applyAlignment="1"/>
    <xf numFmtId="0" fontId="37" fillId="0" borderId="0" xfId="0" applyFont="1" applyFill="1" applyBorder="1" applyAlignment="1"/>
    <xf numFmtId="0" fontId="23" fillId="11" borderId="0" xfId="0" applyFont="1" applyFill="1" applyBorder="1" applyAlignment="1"/>
    <xf numFmtId="0" fontId="24" fillId="0" borderId="0" xfId="0" applyFont="1" applyAlignment="1"/>
    <xf numFmtId="0" fontId="46" fillId="0" borderId="0" xfId="0" applyFont="1" applyAlignment="1"/>
    <xf numFmtId="3" fontId="0" fillId="0" borderId="0" xfId="0" applyNumberFormat="1" applyAlignment="1"/>
    <xf numFmtId="3" fontId="23" fillId="0" borderId="0" xfId="28" applyNumberFormat="1" applyFont="1" applyBorder="1" applyAlignment="1"/>
    <xf numFmtId="0" fontId="23" fillId="0" borderId="0" xfId="0" applyFont="1" applyBorder="1" applyAlignment="1"/>
    <xf numFmtId="0" fontId="25" fillId="0" borderId="0" xfId="48" applyFont="1" applyAlignment="1">
      <alignment horizontal="left"/>
    </xf>
    <xf numFmtId="2" fontId="3" fillId="0" borderId="0" xfId="0" applyNumberFormat="1" applyFont="1" applyFill="1" applyAlignment="1">
      <alignment horizontal="right" vertical="center"/>
    </xf>
    <xf numFmtId="0" fontId="40" fillId="0" borderId="0" xfId="0" applyFont="1" applyFill="1" applyAlignment="1">
      <alignment horizontal="left" vertical="center"/>
    </xf>
    <xf numFmtId="0" fontId="37" fillId="0" borderId="0" xfId="0" applyFont="1" applyFill="1" applyBorder="1" applyAlignment="1">
      <alignment wrapText="1"/>
    </xf>
    <xf numFmtId="3" fontId="23" fillId="0" borderId="0" xfId="0" applyNumberFormat="1" applyFont="1" applyFill="1" applyBorder="1" applyAlignment="1">
      <alignment wrapText="1"/>
    </xf>
    <xf numFmtId="0" fontId="46" fillId="0" borderId="0" xfId="0" applyFont="1" applyFill="1" applyBorder="1" applyAlignment="1"/>
    <xf numFmtId="0" fontId="24" fillId="11" borderId="0" xfId="0" applyFont="1" applyFill="1" applyBorder="1" applyAlignment="1"/>
    <xf numFmtId="0" fontId="2" fillId="0" borderId="0" xfId="0" applyFont="1" applyFill="1" applyBorder="1" applyAlignment="1">
      <alignment vertical="center"/>
    </xf>
    <xf numFmtId="165" fontId="0" fillId="0" borderId="0" xfId="28" applyNumberFormat="1" applyFont="1"/>
    <xf numFmtId="168" fontId="0" fillId="0" borderId="0" xfId="28" applyNumberFormat="1" applyFont="1"/>
    <xf numFmtId="167" fontId="23" fillId="0" borderId="0" xfId="28" applyNumberFormat="1" applyFont="1" applyFill="1" applyBorder="1" applyAlignment="1"/>
    <xf numFmtId="164" fontId="24" fillId="0" borderId="0" xfId="0" applyNumberFormat="1" applyFont="1" applyFill="1" applyBorder="1" applyAlignment="1"/>
    <xf numFmtId="0" fontId="36" fillId="0" borderId="0" xfId="0" applyFont="1" applyFill="1" applyBorder="1" applyAlignment="1"/>
    <xf numFmtId="0" fontId="24" fillId="0" borderId="0" xfId="0" applyFont="1" applyFill="1" applyBorder="1" applyAlignment="1">
      <alignment wrapText="1"/>
    </xf>
    <xf numFmtId="0" fontId="24" fillId="0" borderId="0" xfId="0" applyFont="1" applyAlignment="1">
      <alignment wrapText="1"/>
    </xf>
    <xf numFmtId="3" fontId="24" fillId="0" borderId="0" xfId="28" applyNumberFormat="1" applyFont="1" applyAlignment="1"/>
    <xf numFmtId="3" fontId="24" fillId="0" borderId="0" xfId="0" applyNumberFormat="1" applyFont="1" applyAlignment="1"/>
    <xf numFmtId="3" fontId="24" fillId="0" borderId="0" xfId="0" applyNumberFormat="1" applyFont="1" applyFill="1" applyBorder="1" applyAlignment="1"/>
    <xf numFmtId="165" fontId="47" fillId="0" borderId="0" xfId="28" applyNumberFormat="1" applyFont="1" applyFill="1" applyAlignment="1">
      <alignment horizontal="left"/>
    </xf>
    <xf numFmtId="0" fontId="48" fillId="0" borderId="0" xfId="0" applyFont="1" applyFill="1" applyAlignment="1"/>
    <xf numFmtId="0" fontId="48" fillId="0" borderId="0" xfId="0" applyFont="1" applyAlignment="1"/>
    <xf numFmtId="0" fontId="49" fillId="0" borderId="0" xfId="0" applyFont="1" applyAlignment="1"/>
    <xf numFmtId="2" fontId="48" fillId="0" borderId="0" xfId="0" applyNumberFormat="1" applyFont="1" applyAlignment="1"/>
    <xf numFmtId="2" fontId="48" fillId="0" borderId="0" xfId="0" applyNumberFormat="1" applyFont="1" applyFill="1" applyAlignment="1"/>
    <xf numFmtId="0" fontId="49" fillId="0" borderId="0" xfId="0" applyFont="1" applyFill="1" applyAlignment="1"/>
    <xf numFmtId="1" fontId="24" fillId="0" borderId="0" xfId="0" applyNumberFormat="1" applyFont="1" applyBorder="1" applyAlignment="1">
      <alignment horizontal="left" vertical="top"/>
    </xf>
    <xf numFmtId="0" fontId="24" fillId="0" borderId="0" xfId="0" applyFont="1" applyBorder="1" applyAlignment="1">
      <alignment horizontal="left" vertical="top"/>
    </xf>
    <xf numFmtId="0" fontId="48" fillId="0" borderId="0" xfId="0" applyFont="1" applyFill="1" applyAlignment="1">
      <alignment horizontal="left"/>
    </xf>
    <xf numFmtId="0" fontId="48" fillId="0" borderId="0" xfId="0" applyFont="1" applyFill="1" applyAlignment="1">
      <alignment horizontal="right" vertical="center"/>
    </xf>
    <xf numFmtId="0" fontId="49" fillId="0" borderId="0" xfId="0" applyFont="1" applyFill="1" applyAlignment="1">
      <alignment horizontal="left" vertical="center" wrapText="1"/>
    </xf>
    <xf numFmtId="2" fontId="48" fillId="0" borderId="0" xfId="0" applyNumberFormat="1" applyFont="1" applyFill="1" applyAlignment="1">
      <alignment horizontal="right" vertical="center"/>
    </xf>
    <xf numFmtId="0" fontId="49" fillId="0" borderId="0" xfId="0" applyFont="1" applyFill="1" applyAlignment="1">
      <alignment horizontal="left" vertical="center"/>
    </xf>
    <xf numFmtId="165" fontId="24" fillId="0" borderId="0" xfId="28" applyNumberFormat="1" applyFont="1" applyBorder="1" applyAlignment="1">
      <alignment horizontal="left" vertical="center" wrapText="1"/>
    </xf>
    <xf numFmtId="0" fontId="48" fillId="0" borderId="0" xfId="0" applyFont="1" applyFill="1" applyBorder="1" applyAlignment="1"/>
    <xf numFmtId="0" fontId="49" fillId="0" borderId="0" xfId="0" applyFont="1" applyFill="1" applyAlignment="1">
      <alignment horizontal="left"/>
    </xf>
    <xf numFmtId="164" fontId="48" fillId="0" borderId="0" xfId="0" applyNumberFormat="1" applyFont="1" applyAlignment="1"/>
    <xf numFmtId="164" fontId="48" fillId="0" borderId="0" xfId="0" applyNumberFormat="1" applyFont="1" applyFill="1" applyAlignment="1"/>
    <xf numFmtId="0" fontId="48" fillId="0" borderId="0" xfId="0" applyFont="1" applyFill="1" applyAlignment="1">
      <alignment horizontal="left" vertical="center"/>
    </xf>
    <xf numFmtId="0" fontId="48" fillId="0" borderId="0" xfId="0" applyFont="1" applyFill="1" applyAlignment="1">
      <alignment vertical="center"/>
    </xf>
    <xf numFmtId="3" fontId="48" fillId="0" borderId="0" xfId="0" applyNumberFormat="1" applyFont="1" applyFill="1" applyAlignment="1"/>
    <xf numFmtId="4" fontId="48" fillId="0" borderId="0" xfId="0" applyNumberFormat="1" applyFont="1" applyFill="1" applyAlignment="1"/>
    <xf numFmtId="3" fontId="49" fillId="0" borderId="0" xfId="0" applyNumberFormat="1" applyFont="1" applyFill="1" applyAlignment="1"/>
    <xf numFmtId="164" fontId="48" fillId="0" borderId="0" xfId="0" applyNumberFormat="1" applyFont="1" applyBorder="1" applyAlignment="1"/>
    <xf numFmtId="166" fontId="48" fillId="0" borderId="0" xfId="0" applyNumberFormat="1" applyFont="1" applyBorder="1" applyAlignment="1">
      <alignment horizontal="left"/>
    </xf>
    <xf numFmtId="0" fontId="48" fillId="0" borderId="0" xfId="0" applyFont="1" applyBorder="1" applyAlignment="1">
      <alignment horizontal="left"/>
    </xf>
    <xf numFmtId="0" fontId="48" fillId="0" borderId="0" xfId="0" applyFont="1" applyBorder="1" applyAlignment="1"/>
    <xf numFmtId="0" fontId="48" fillId="0" borderId="0" xfId="0" applyFont="1" applyFill="1" applyBorder="1" applyAlignment="1">
      <alignment vertical="center"/>
    </xf>
    <xf numFmtId="3" fontId="24" fillId="0" borderId="0" xfId="0" applyNumberFormat="1" applyFont="1" applyBorder="1" applyAlignment="1">
      <alignment horizontal="left" vertical="top"/>
    </xf>
    <xf numFmtId="3" fontId="24" fillId="0" borderId="0" xfId="28" applyNumberFormat="1" applyFont="1" applyFill="1" applyBorder="1" applyAlignment="1">
      <alignment wrapText="1"/>
    </xf>
    <xf numFmtId="3" fontId="24" fillId="0" borderId="0" xfId="28" applyNumberFormat="1" applyFont="1" applyFill="1" applyBorder="1" applyAlignment="1"/>
    <xf numFmtId="3" fontId="37" fillId="0" borderId="0" xfId="28" applyNumberFormat="1" applyFont="1" applyFill="1" applyBorder="1" applyAlignment="1"/>
    <xf numFmtId="3" fontId="48" fillId="0" borderId="0" xfId="28" applyNumberFormat="1" applyFont="1" applyFill="1" applyAlignment="1"/>
    <xf numFmtId="3" fontId="49" fillId="0" borderId="0" xfId="28" applyNumberFormat="1" applyFont="1" applyAlignment="1"/>
    <xf numFmtId="3" fontId="48" fillId="0" borderId="0" xfId="28" applyNumberFormat="1" applyFont="1" applyAlignment="1"/>
    <xf numFmtId="3" fontId="49" fillId="0" borderId="0" xfId="28" applyNumberFormat="1" applyFont="1" applyFill="1" applyAlignment="1"/>
    <xf numFmtId="3" fontId="49" fillId="0" borderId="0" xfId="28" applyNumberFormat="1" applyFont="1" applyFill="1" applyAlignment="1">
      <alignment horizontal="left" vertical="center"/>
    </xf>
    <xf numFmtId="3" fontId="48" fillId="0" borderId="0" xfId="28" applyNumberFormat="1" applyFont="1" applyFill="1" applyAlignment="1">
      <alignment horizontal="left"/>
    </xf>
    <xf numFmtId="3" fontId="48" fillId="0" borderId="0" xfId="28" applyNumberFormat="1" applyFont="1" applyBorder="1" applyAlignment="1">
      <alignment horizontal="left"/>
    </xf>
    <xf numFmtId="3" fontId="48" fillId="0" borderId="0" xfId="28" applyNumberFormat="1" applyFont="1" applyBorder="1" applyAlignment="1"/>
    <xf numFmtId="3" fontId="24" fillId="0" borderId="0" xfId="28" applyNumberFormat="1" applyFont="1" applyBorder="1" applyAlignment="1">
      <alignment horizontal="left" vertical="top"/>
    </xf>
    <xf numFmtId="3" fontId="48" fillId="0" borderId="0" xfId="28" applyNumberFormat="1" applyFont="1" applyFill="1" applyAlignment="1">
      <alignment horizontal="right" vertical="center"/>
    </xf>
    <xf numFmtId="0" fontId="32" fillId="2" borderId="0" xfId="49" applyFont="1" applyFill="1" applyBorder="1" applyAlignment="1"/>
    <xf numFmtId="0" fontId="32" fillId="2" borderId="0" xfId="49" applyFont="1" applyFill="1" applyBorder="1" applyAlignment="1">
      <alignment vertical="center" wrapText="1"/>
    </xf>
    <xf numFmtId="0" fontId="1" fillId="0" borderId="0" xfId="0" applyFont="1" applyFill="1" applyAlignment="1"/>
    <xf numFmtId="0" fontId="40" fillId="0" borderId="0" xfId="0" applyFont="1" applyFill="1" applyBorder="1" applyAlignment="1"/>
    <xf numFmtId="2" fontId="1" fillId="0" borderId="0" xfId="0" applyNumberFormat="1" applyFont="1" applyAlignment="1"/>
    <xf numFmtId="2" fontId="1" fillId="0" borderId="0" xfId="0" applyNumberFormat="1" applyFont="1" applyFill="1" applyAlignment="1"/>
    <xf numFmtId="3" fontId="42" fillId="0" borderId="0" xfId="28" applyNumberFormat="1" applyFont="1" applyFill="1" applyBorder="1" applyAlignment="1"/>
    <xf numFmtId="167" fontId="42" fillId="0" borderId="0" xfId="28" applyNumberFormat="1" applyFont="1" applyFill="1" applyBorder="1" applyAlignment="1"/>
    <xf numFmtId="3" fontId="42" fillId="0" borderId="0" xfId="28" applyNumberFormat="1" applyFont="1" applyAlignment="1"/>
    <xf numFmtId="0" fontId="25" fillId="0" borderId="0" xfId="48" applyFont="1" applyAlignment="1">
      <alignment horizontal="left" vertical="top" wrapText="1"/>
    </xf>
    <xf numFmtId="0" fontId="25" fillId="0" borderId="0" xfId="48" applyFont="1" applyAlignment="1">
      <alignment horizontal="left"/>
    </xf>
    <xf numFmtId="0" fontId="23" fillId="0" borderId="0" xfId="0" applyFont="1" applyFill="1" applyBorder="1" applyAlignment="1">
      <alignment horizontal="center"/>
    </xf>
    <xf numFmtId="3" fontId="23" fillId="0" borderId="0" xfId="0" applyNumberFormat="1" applyFont="1" applyFill="1" applyBorder="1" applyAlignment="1">
      <alignment horizontal="center"/>
    </xf>
    <xf numFmtId="0" fontId="40" fillId="0" borderId="0" xfId="0" applyFont="1" applyFill="1" applyAlignment="1">
      <alignment horizontal="left" vertical="center" wrapText="1"/>
    </xf>
    <xf numFmtId="2" fontId="3" fillId="0" borderId="0" xfId="0" applyNumberFormat="1" applyFont="1" applyFill="1" applyAlignment="1">
      <alignment horizontal="right" vertical="center"/>
    </xf>
    <xf numFmtId="0" fontId="40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right"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48" fillId="0" borderId="0" xfId="0" applyFont="1" applyFill="1" applyAlignment="1">
      <alignment horizontal="left" vertical="center"/>
    </xf>
    <xf numFmtId="0" fontId="48" fillId="0" borderId="0" xfId="0" applyFont="1" applyFill="1" applyBorder="1" applyAlignment="1">
      <alignment horizontal="left" vertical="center"/>
    </xf>
    <xf numFmtId="0" fontId="24" fillId="0" borderId="0" xfId="0" applyFont="1" applyFill="1" applyBorder="1" applyAlignment="1">
      <alignment horizontal="center"/>
    </xf>
    <xf numFmtId="0" fontId="48" fillId="0" borderId="0" xfId="0" applyFont="1" applyFill="1" applyAlignment="1">
      <alignment horizontal="right" vertical="center"/>
    </xf>
    <xf numFmtId="0" fontId="49" fillId="0" borderId="0" xfId="0" applyFont="1" applyFill="1" applyAlignment="1">
      <alignment horizontal="left" vertical="center" wrapText="1"/>
    </xf>
    <xf numFmtId="2" fontId="48" fillId="0" borderId="0" xfId="0" applyNumberFormat="1" applyFont="1" applyFill="1" applyAlignment="1">
      <alignment horizontal="right" vertical="center"/>
    </xf>
    <xf numFmtId="0" fontId="49" fillId="0" borderId="0" xfId="0" applyFont="1" applyFill="1" applyAlignment="1">
      <alignment horizontal="left" vertical="center"/>
    </xf>
  </cellXfs>
  <cellStyles count="5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omma0" xfId="29"/>
    <cellStyle name="Currency0" xfId="30"/>
    <cellStyle name="Explanatory Text" xfId="31" builtinId="53" customBuiltin="1"/>
    <cellStyle name="Good" xfId="32" builtinId="26" customBuiltin="1"/>
    <cellStyle name="Heading 1" xfId="33" builtinId="16" customBuiltin="1"/>
    <cellStyle name="Heading 2" xfId="34" builtinId="17" customBuiltin="1"/>
    <cellStyle name="Heading 3" xfId="35" builtinId="18" customBuiltin="1"/>
    <cellStyle name="Heading 4" xfId="36" builtinId="19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/>
    <cellStyle name="Normal 2" xfId="40"/>
    <cellStyle name="Normal 2 2" xfId="46"/>
    <cellStyle name="Normal 3" xfId="47"/>
    <cellStyle name="Normal 3 2" xfId="49"/>
    <cellStyle name="Normal 4" xfId="48"/>
    <cellStyle name="Normal 5" xfId="50"/>
    <cellStyle name="Normal 6" xfId="51"/>
    <cellStyle name="Note" xfId="41" builtinId="10" customBuiltin="1"/>
    <cellStyle name="Output" xfId="42" builtinId="21" customBuiltin="1"/>
    <cellStyle name="Title" xfId="43" builtinId="15" customBuiltin="1"/>
    <cellStyle name="Total" xfId="44" builtinId="25" customBuiltin="1"/>
    <cellStyle name="Warning Text" xfId="45" builtinId="11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1"/>
  <sheetViews>
    <sheetView tabSelected="1" workbookViewId="0">
      <selection activeCell="A21" sqref="A21"/>
    </sheetView>
  </sheetViews>
  <sheetFormatPr defaultRowHeight="13.2" x14ac:dyDescent="0.25"/>
  <cols>
    <col min="1" max="2" width="8.88671875" style="3"/>
    <col min="3" max="3" width="11.77734375" style="3" customWidth="1"/>
    <col min="4" max="16384" width="8.88671875" style="3"/>
  </cols>
  <sheetData>
    <row r="1" spans="1:4" x14ac:dyDescent="0.25">
      <c r="A1" s="2" t="s">
        <v>56</v>
      </c>
    </row>
    <row r="2" spans="1:4" x14ac:dyDescent="0.25">
      <c r="A2" s="2" t="s">
        <v>57</v>
      </c>
    </row>
    <row r="4" spans="1:4" x14ac:dyDescent="0.25">
      <c r="A4" s="2" t="s">
        <v>394</v>
      </c>
    </row>
    <row r="5" spans="1:4" x14ac:dyDescent="0.25">
      <c r="A5" s="2" t="s">
        <v>58</v>
      </c>
    </row>
    <row r="6" spans="1:4" s="5" customFormat="1" x14ac:dyDescent="0.25">
      <c r="A6" s="4"/>
    </row>
    <row r="7" spans="1:4" x14ac:dyDescent="0.25">
      <c r="A7" s="2" t="s">
        <v>59</v>
      </c>
    </row>
    <row r="8" spans="1:4" x14ac:dyDescent="0.25">
      <c r="A8" s="2" t="s">
        <v>60</v>
      </c>
    </row>
    <row r="9" spans="1:4" x14ac:dyDescent="0.25">
      <c r="A9" s="2"/>
    </row>
    <row r="10" spans="1:4" x14ac:dyDescent="0.25">
      <c r="A10" s="6" t="s">
        <v>61</v>
      </c>
    </row>
    <row r="11" spans="1:4" x14ac:dyDescent="0.25">
      <c r="A11" s="146" t="s">
        <v>343</v>
      </c>
      <c r="B11" s="146"/>
      <c r="C11" s="146"/>
      <c r="D11" s="7" t="s">
        <v>62</v>
      </c>
    </row>
    <row r="12" spans="1:4" x14ac:dyDescent="0.25">
      <c r="A12" s="146" t="s">
        <v>344</v>
      </c>
      <c r="B12" s="146"/>
      <c r="C12" s="146"/>
      <c r="D12" s="7" t="s">
        <v>63</v>
      </c>
    </row>
    <row r="13" spans="1:4" x14ac:dyDescent="0.25">
      <c r="A13" s="146" t="s">
        <v>388</v>
      </c>
      <c r="B13" s="146"/>
      <c r="C13" s="146"/>
      <c r="D13" s="7" t="s">
        <v>389</v>
      </c>
    </row>
    <row r="14" spans="1:4" x14ac:dyDescent="0.25">
      <c r="A14" s="146" t="s">
        <v>390</v>
      </c>
      <c r="B14" s="146"/>
      <c r="C14" s="146"/>
      <c r="D14" s="7" t="s">
        <v>391</v>
      </c>
    </row>
    <row r="15" spans="1:4" x14ac:dyDescent="0.25">
      <c r="A15" s="75" t="s">
        <v>392</v>
      </c>
      <c r="B15" s="75"/>
      <c r="C15" s="75"/>
      <c r="D15" s="7" t="s">
        <v>393</v>
      </c>
    </row>
    <row r="16" spans="1:4" x14ac:dyDescent="0.25">
      <c r="A16" s="8" t="s">
        <v>64</v>
      </c>
      <c r="B16" s="8"/>
      <c r="C16" s="8"/>
      <c r="D16" s="7" t="s">
        <v>65</v>
      </c>
    </row>
    <row r="18" spans="1:16" x14ac:dyDescent="0.25">
      <c r="A18" s="6" t="s">
        <v>66</v>
      </c>
    </row>
    <row r="19" spans="1:16" x14ac:dyDescent="0.25">
      <c r="A19" s="145" t="s">
        <v>67</v>
      </c>
      <c r="B19" s="145"/>
      <c r="C19" s="145"/>
      <c r="D19" s="145"/>
      <c r="E19" s="145"/>
      <c r="F19" s="145"/>
      <c r="G19" s="145"/>
      <c r="H19" s="145"/>
      <c r="I19" s="145"/>
      <c r="J19" s="145"/>
      <c r="K19" s="145"/>
      <c r="L19" s="145"/>
      <c r="M19" s="145"/>
      <c r="N19" s="145"/>
      <c r="O19" s="145"/>
      <c r="P19" s="145"/>
    </row>
    <row r="20" spans="1:16" x14ac:dyDescent="0.25">
      <c r="A20" s="3" t="s">
        <v>68</v>
      </c>
    </row>
    <row r="21" spans="1:16" x14ac:dyDescent="0.25">
      <c r="C21" s="2" t="s">
        <v>69</v>
      </c>
    </row>
  </sheetData>
  <mergeCells count="5">
    <mergeCell ref="A19:P19"/>
    <mergeCell ref="A11:C11"/>
    <mergeCell ref="A12:C12"/>
    <mergeCell ref="A13:C13"/>
    <mergeCell ref="A14:C14"/>
  </mergeCell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F38"/>
  <sheetViews>
    <sheetView zoomScale="80" zoomScaleNormal="80" workbookViewId="0">
      <pane xSplit="2" ySplit="8" topLeftCell="L9" activePane="bottomRight" state="frozenSplit"/>
      <selection activeCell="C34" sqref="C34"/>
      <selection pane="topRight" activeCell="C34" sqref="C34"/>
      <selection pane="bottomLeft" activeCell="C34" sqref="C34"/>
      <selection pane="bottomRight" activeCell="V18" sqref="V18"/>
    </sheetView>
  </sheetViews>
  <sheetFormatPr defaultColWidth="9.6640625" defaultRowHeight="12" x14ac:dyDescent="0.2"/>
  <cols>
    <col min="1" max="1" width="6.44140625" style="11" customWidth="1"/>
    <col min="2" max="2" width="13.88671875" style="10" customWidth="1"/>
    <col min="3" max="155" width="13" style="10" customWidth="1"/>
    <col min="156" max="156" width="14.44140625" style="10" customWidth="1"/>
    <col min="157" max="173" width="13" style="10" customWidth="1"/>
    <col min="174" max="231" width="9.6640625" style="10"/>
    <col min="232" max="232" width="6.44140625" style="10" customWidth="1"/>
    <col min="233" max="233" width="13.88671875" style="10" customWidth="1"/>
    <col min="234" max="234" width="14.33203125" style="10" customWidth="1"/>
    <col min="235" max="251" width="9.6640625" style="10"/>
    <col min="252" max="252" width="12" style="10" customWidth="1"/>
    <col min="253" max="253" width="12.77734375" style="10" customWidth="1"/>
    <col min="254" max="254" width="11.109375" style="10" customWidth="1"/>
    <col min="255" max="255" width="12" style="10" customWidth="1"/>
    <col min="256" max="256" width="9.6640625" style="10"/>
    <col min="257" max="257" width="15.33203125" style="10" customWidth="1"/>
    <col min="258" max="258" width="15.21875" style="10" customWidth="1"/>
    <col min="259" max="259" width="21.44140625" style="10" customWidth="1"/>
    <col min="260" max="275" width="9.6640625" style="10"/>
    <col min="276" max="277" width="13.44140625" style="10" customWidth="1"/>
    <col min="278" max="278" width="9.6640625" style="10"/>
    <col min="279" max="279" width="13.88671875" style="10" customWidth="1"/>
    <col min="280" max="280" width="10.6640625" style="10" customWidth="1"/>
    <col min="281" max="281" width="17.33203125" style="10" customWidth="1"/>
    <col min="282" max="283" width="12.6640625" style="10" customWidth="1"/>
    <col min="284" max="284" width="11.21875" style="10" customWidth="1"/>
    <col min="285" max="285" width="18.33203125" style="10" customWidth="1"/>
    <col min="286" max="286" width="12.88671875" style="10" customWidth="1"/>
    <col min="287" max="288" width="13.21875" style="10" customWidth="1"/>
    <col min="289" max="289" width="10.88671875" style="10" customWidth="1"/>
    <col min="290" max="290" width="11.109375" style="10" customWidth="1"/>
    <col min="291" max="291" width="15.21875" style="10" customWidth="1"/>
    <col min="292" max="292" width="9.6640625" style="10"/>
    <col min="293" max="293" width="11" style="10" customWidth="1"/>
    <col min="294" max="294" width="10.77734375" style="10" customWidth="1"/>
    <col min="295" max="295" width="11.44140625" style="10" customWidth="1"/>
    <col min="296" max="296" width="4" style="10" customWidth="1"/>
    <col min="297" max="487" width="9.6640625" style="10"/>
    <col min="488" max="488" width="6.44140625" style="10" customWidth="1"/>
    <col min="489" max="489" width="13.88671875" style="10" customWidth="1"/>
    <col min="490" max="490" width="14.33203125" style="10" customWidth="1"/>
    <col min="491" max="507" width="9.6640625" style="10"/>
    <col min="508" max="508" width="12" style="10" customWidth="1"/>
    <col min="509" max="509" width="12.77734375" style="10" customWidth="1"/>
    <col min="510" max="510" width="11.109375" style="10" customWidth="1"/>
    <col min="511" max="511" width="12" style="10" customWidth="1"/>
    <col min="512" max="512" width="9.6640625" style="10"/>
    <col min="513" max="513" width="15.33203125" style="10" customWidth="1"/>
    <col min="514" max="514" width="15.21875" style="10" customWidth="1"/>
    <col min="515" max="515" width="21.44140625" style="10" customWidth="1"/>
    <col min="516" max="531" width="9.6640625" style="10"/>
    <col min="532" max="533" width="13.44140625" style="10" customWidth="1"/>
    <col min="534" max="534" width="9.6640625" style="10"/>
    <col min="535" max="535" width="13.88671875" style="10" customWidth="1"/>
    <col min="536" max="536" width="10.6640625" style="10" customWidth="1"/>
    <col min="537" max="537" width="17.33203125" style="10" customWidth="1"/>
    <col min="538" max="539" width="12.6640625" style="10" customWidth="1"/>
    <col min="540" max="540" width="11.21875" style="10" customWidth="1"/>
    <col min="541" max="541" width="18.33203125" style="10" customWidth="1"/>
    <col min="542" max="542" width="12.88671875" style="10" customWidth="1"/>
    <col min="543" max="544" width="13.21875" style="10" customWidth="1"/>
    <col min="545" max="545" width="10.88671875" style="10" customWidth="1"/>
    <col min="546" max="546" width="11.109375" style="10" customWidth="1"/>
    <col min="547" max="547" width="15.21875" style="10" customWidth="1"/>
    <col min="548" max="548" width="9.6640625" style="10"/>
    <col min="549" max="549" width="11" style="10" customWidth="1"/>
    <col min="550" max="550" width="10.77734375" style="10" customWidth="1"/>
    <col min="551" max="551" width="11.44140625" style="10" customWidth="1"/>
    <col min="552" max="552" width="4" style="10" customWidth="1"/>
    <col min="553" max="743" width="9.6640625" style="10"/>
    <col min="744" max="744" width="6.44140625" style="10" customWidth="1"/>
    <col min="745" max="745" width="13.88671875" style="10" customWidth="1"/>
    <col min="746" max="746" width="14.33203125" style="10" customWidth="1"/>
    <col min="747" max="763" width="9.6640625" style="10"/>
    <col min="764" max="764" width="12" style="10" customWidth="1"/>
    <col min="765" max="765" width="12.77734375" style="10" customWidth="1"/>
    <col min="766" max="766" width="11.109375" style="10" customWidth="1"/>
    <col min="767" max="767" width="12" style="10" customWidth="1"/>
    <col min="768" max="768" width="9.6640625" style="10"/>
    <col min="769" max="769" width="15.33203125" style="10" customWidth="1"/>
    <col min="770" max="770" width="15.21875" style="10" customWidth="1"/>
    <col min="771" max="771" width="21.44140625" style="10" customWidth="1"/>
    <col min="772" max="787" width="9.6640625" style="10"/>
    <col min="788" max="789" width="13.44140625" style="10" customWidth="1"/>
    <col min="790" max="790" width="9.6640625" style="10"/>
    <col min="791" max="791" width="13.88671875" style="10" customWidth="1"/>
    <col min="792" max="792" width="10.6640625" style="10" customWidth="1"/>
    <col min="793" max="793" width="17.33203125" style="10" customWidth="1"/>
    <col min="794" max="795" width="12.6640625" style="10" customWidth="1"/>
    <col min="796" max="796" width="11.21875" style="10" customWidth="1"/>
    <col min="797" max="797" width="18.33203125" style="10" customWidth="1"/>
    <col min="798" max="798" width="12.88671875" style="10" customWidth="1"/>
    <col min="799" max="800" width="13.21875" style="10" customWidth="1"/>
    <col min="801" max="801" width="10.88671875" style="10" customWidth="1"/>
    <col min="802" max="802" width="11.109375" style="10" customWidth="1"/>
    <col min="803" max="803" width="15.21875" style="10" customWidth="1"/>
    <col min="804" max="804" width="9.6640625" style="10"/>
    <col min="805" max="805" width="11" style="10" customWidth="1"/>
    <col min="806" max="806" width="10.77734375" style="10" customWidth="1"/>
    <col min="807" max="807" width="11.44140625" style="10" customWidth="1"/>
    <col min="808" max="808" width="4" style="10" customWidth="1"/>
    <col min="809" max="999" width="9.6640625" style="10"/>
    <col min="1000" max="1000" width="6.44140625" style="10" customWidth="1"/>
    <col min="1001" max="1001" width="13.88671875" style="10" customWidth="1"/>
    <col min="1002" max="1002" width="14.33203125" style="10" customWidth="1"/>
    <col min="1003" max="1019" width="9.6640625" style="10"/>
    <col min="1020" max="1020" width="12" style="10" customWidth="1"/>
    <col min="1021" max="1021" width="12.77734375" style="10" customWidth="1"/>
    <col min="1022" max="1022" width="11.109375" style="10" customWidth="1"/>
    <col min="1023" max="1023" width="12" style="10" customWidth="1"/>
    <col min="1024" max="1024" width="9.6640625" style="10"/>
    <col min="1025" max="1025" width="15.33203125" style="10" customWidth="1"/>
    <col min="1026" max="1026" width="15.21875" style="10" customWidth="1"/>
    <col min="1027" max="1027" width="21.44140625" style="10" customWidth="1"/>
    <col min="1028" max="1043" width="9.6640625" style="10"/>
    <col min="1044" max="1045" width="13.44140625" style="10" customWidth="1"/>
    <col min="1046" max="1046" width="9.6640625" style="10"/>
    <col min="1047" max="1047" width="13.88671875" style="10" customWidth="1"/>
    <col min="1048" max="1048" width="10.6640625" style="10" customWidth="1"/>
    <col min="1049" max="1049" width="17.33203125" style="10" customWidth="1"/>
    <col min="1050" max="1051" width="12.6640625" style="10" customWidth="1"/>
    <col min="1052" max="1052" width="11.21875" style="10" customWidth="1"/>
    <col min="1053" max="1053" width="18.33203125" style="10" customWidth="1"/>
    <col min="1054" max="1054" width="12.88671875" style="10" customWidth="1"/>
    <col min="1055" max="1056" width="13.21875" style="10" customWidth="1"/>
    <col min="1057" max="1057" width="10.88671875" style="10" customWidth="1"/>
    <col min="1058" max="1058" width="11.109375" style="10" customWidth="1"/>
    <col min="1059" max="1059" width="15.21875" style="10" customWidth="1"/>
    <col min="1060" max="1060" width="9.6640625" style="10"/>
    <col min="1061" max="1061" width="11" style="10" customWidth="1"/>
    <col min="1062" max="1062" width="10.77734375" style="10" customWidth="1"/>
    <col min="1063" max="1063" width="11.44140625" style="10" customWidth="1"/>
    <col min="1064" max="1064" width="4" style="10" customWidth="1"/>
    <col min="1065" max="1255" width="9.6640625" style="10"/>
    <col min="1256" max="1256" width="6.44140625" style="10" customWidth="1"/>
    <col min="1257" max="1257" width="13.88671875" style="10" customWidth="1"/>
    <col min="1258" max="1258" width="14.33203125" style="10" customWidth="1"/>
    <col min="1259" max="1275" width="9.6640625" style="10"/>
    <col min="1276" max="1276" width="12" style="10" customWidth="1"/>
    <col min="1277" max="1277" width="12.77734375" style="10" customWidth="1"/>
    <col min="1278" max="1278" width="11.109375" style="10" customWidth="1"/>
    <col min="1279" max="1279" width="12" style="10" customWidth="1"/>
    <col min="1280" max="1280" width="9.6640625" style="10"/>
    <col min="1281" max="1281" width="15.33203125" style="10" customWidth="1"/>
    <col min="1282" max="1282" width="15.21875" style="10" customWidth="1"/>
    <col min="1283" max="1283" width="21.44140625" style="10" customWidth="1"/>
    <col min="1284" max="1299" width="9.6640625" style="10"/>
    <col min="1300" max="1301" width="13.44140625" style="10" customWidth="1"/>
    <col min="1302" max="1302" width="9.6640625" style="10"/>
    <col min="1303" max="1303" width="13.88671875" style="10" customWidth="1"/>
    <col min="1304" max="1304" width="10.6640625" style="10" customWidth="1"/>
    <col min="1305" max="1305" width="17.33203125" style="10" customWidth="1"/>
    <col min="1306" max="1307" width="12.6640625" style="10" customWidth="1"/>
    <col min="1308" max="1308" width="11.21875" style="10" customWidth="1"/>
    <col min="1309" max="1309" width="18.33203125" style="10" customWidth="1"/>
    <col min="1310" max="1310" width="12.88671875" style="10" customWidth="1"/>
    <col min="1311" max="1312" width="13.21875" style="10" customWidth="1"/>
    <col min="1313" max="1313" width="10.88671875" style="10" customWidth="1"/>
    <col min="1314" max="1314" width="11.109375" style="10" customWidth="1"/>
    <col min="1315" max="1315" width="15.21875" style="10" customWidth="1"/>
    <col min="1316" max="1316" width="9.6640625" style="10"/>
    <col min="1317" max="1317" width="11" style="10" customWidth="1"/>
    <col min="1318" max="1318" width="10.77734375" style="10" customWidth="1"/>
    <col min="1319" max="1319" width="11.44140625" style="10" customWidth="1"/>
    <col min="1320" max="1320" width="4" style="10" customWidth="1"/>
    <col min="1321" max="1511" width="9.6640625" style="10"/>
    <col min="1512" max="1512" width="6.44140625" style="10" customWidth="1"/>
    <col min="1513" max="1513" width="13.88671875" style="10" customWidth="1"/>
    <col min="1514" max="1514" width="14.33203125" style="10" customWidth="1"/>
    <col min="1515" max="1531" width="9.6640625" style="10"/>
    <col min="1532" max="1532" width="12" style="10" customWidth="1"/>
    <col min="1533" max="1533" width="12.77734375" style="10" customWidth="1"/>
    <col min="1534" max="1534" width="11.109375" style="10" customWidth="1"/>
    <col min="1535" max="1535" width="12" style="10" customWidth="1"/>
    <col min="1536" max="1536" width="9.6640625" style="10"/>
    <col min="1537" max="1537" width="15.33203125" style="10" customWidth="1"/>
    <col min="1538" max="1538" width="15.21875" style="10" customWidth="1"/>
    <col min="1539" max="1539" width="21.44140625" style="10" customWidth="1"/>
    <col min="1540" max="1555" width="9.6640625" style="10"/>
    <col min="1556" max="1557" width="13.44140625" style="10" customWidth="1"/>
    <col min="1558" max="1558" width="9.6640625" style="10"/>
    <col min="1559" max="1559" width="13.88671875" style="10" customWidth="1"/>
    <col min="1560" max="1560" width="10.6640625" style="10" customWidth="1"/>
    <col min="1561" max="1561" width="17.33203125" style="10" customWidth="1"/>
    <col min="1562" max="1563" width="12.6640625" style="10" customWidth="1"/>
    <col min="1564" max="1564" width="11.21875" style="10" customWidth="1"/>
    <col min="1565" max="1565" width="18.33203125" style="10" customWidth="1"/>
    <col min="1566" max="1566" width="12.88671875" style="10" customWidth="1"/>
    <col min="1567" max="1568" width="13.21875" style="10" customWidth="1"/>
    <col min="1569" max="1569" width="10.88671875" style="10" customWidth="1"/>
    <col min="1570" max="1570" width="11.109375" style="10" customWidth="1"/>
    <col min="1571" max="1571" width="15.21875" style="10" customWidth="1"/>
    <col min="1572" max="1572" width="9.6640625" style="10"/>
    <col min="1573" max="1573" width="11" style="10" customWidth="1"/>
    <col min="1574" max="1574" width="10.77734375" style="10" customWidth="1"/>
    <col min="1575" max="1575" width="11.44140625" style="10" customWidth="1"/>
    <col min="1576" max="1576" width="4" style="10" customWidth="1"/>
    <col min="1577" max="1767" width="9.6640625" style="10"/>
    <col min="1768" max="1768" width="6.44140625" style="10" customWidth="1"/>
    <col min="1769" max="1769" width="13.88671875" style="10" customWidth="1"/>
    <col min="1770" max="1770" width="14.33203125" style="10" customWidth="1"/>
    <col min="1771" max="1787" width="9.6640625" style="10"/>
    <col min="1788" max="1788" width="12" style="10" customWidth="1"/>
    <col min="1789" max="1789" width="12.77734375" style="10" customWidth="1"/>
    <col min="1790" max="1790" width="11.109375" style="10" customWidth="1"/>
    <col min="1791" max="1791" width="12" style="10" customWidth="1"/>
    <col min="1792" max="1792" width="9.6640625" style="10"/>
    <col min="1793" max="1793" width="15.33203125" style="10" customWidth="1"/>
    <col min="1794" max="1794" width="15.21875" style="10" customWidth="1"/>
    <col min="1795" max="1795" width="21.44140625" style="10" customWidth="1"/>
    <col min="1796" max="1811" width="9.6640625" style="10"/>
    <col min="1812" max="1813" width="13.44140625" style="10" customWidth="1"/>
    <col min="1814" max="1814" width="9.6640625" style="10"/>
    <col min="1815" max="1815" width="13.88671875" style="10" customWidth="1"/>
    <col min="1816" max="1816" width="10.6640625" style="10" customWidth="1"/>
    <col min="1817" max="1817" width="17.33203125" style="10" customWidth="1"/>
    <col min="1818" max="1819" width="12.6640625" style="10" customWidth="1"/>
    <col min="1820" max="1820" width="11.21875" style="10" customWidth="1"/>
    <col min="1821" max="1821" width="18.33203125" style="10" customWidth="1"/>
    <col min="1822" max="1822" width="12.88671875" style="10" customWidth="1"/>
    <col min="1823" max="1824" width="13.21875" style="10" customWidth="1"/>
    <col min="1825" max="1825" width="10.88671875" style="10" customWidth="1"/>
    <col min="1826" max="1826" width="11.109375" style="10" customWidth="1"/>
    <col min="1827" max="1827" width="15.21875" style="10" customWidth="1"/>
    <col min="1828" max="1828" width="9.6640625" style="10"/>
    <col min="1829" max="1829" width="11" style="10" customWidth="1"/>
    <col min="1830" max="1830" width="10.77734375" style="10" customWidth="1"/>
    <col min="1831" max="1831" width="11.44140625" style="10" customWidth="1"/>
    <col min="1832" max="1832" width="4" style="10" customWidth="1"/>
    <col min="1833" max="2023" width="9.6640625" style="10"/>
    <col min="2024" max="2024" width="6.44140625" style="10" customWidth="1"/>
    <col min="2025" max="2025" width="13.88671875" style="10" customWidth="1"/>
    <col min="2026" max="2026" width="14.33203125" style="10" customWidth="1"/>
    <col min="2027" max="2043" width="9.6640625" style="10"/>
    <col min="2044" max="2044" width="12" style="10" customWidth="1"/>
    <col min="2045" max="2045" width="12.77734375" style="10" customWidth="1"/>
    <col min="2046" max="2046" width="11.109375" style="10" customWidth="1"/>
    <col min="2047" max="2047" width="12" style="10" customWidth="1"/>
    <col min="2048" max="2048" width="9.6640625" style="10"/>
    <col min="2049" max="2049" width="15.33203125" style="10" customWidth="1"/>
    <col min="2050" max="2050" width="15.21875" style="10" customWidth="1"/>
    <col min="2051" max="2051" width="21.44140625" style="10" customWidth="1"/>
    <col min="2052" max="2067" width="9.6640625" style="10"/>
    <col min="2068" max="2069" width="13.44140625" style="10" customWidth="1"/>
    <col min="2070" max="2070" width="9.6640625" style="10"/>
    <col min="2071" max="2071" width="13.88671875" style="10" customWidth="1"/>
    <col min="2072" max="2072" width="10.6640625" style="10" customWidth="1"/>
    <col min="2073" max="2073" width="17.33203125" style="10" customWidth="1"/>
    <col min="2074" max="2075" width="12.6640625" style="10" customWidth="1"/>
    <col min="2076" max="2076" width="11.21875" style="10" customWidth="1"/>
    <col min="2077" max="2077" width="18.33203125" style="10" customWidth="1"/>
    <col min="2078" max="2078" width="12.88671875" style="10" customWidth="1"/>
    <col min="2079" max="2080" width="13.21875" style="10" customWidth="1"/>
    <col min="2081" max="2081" width="10.88671875" style="10" customWidth="1"/>
    <col min="2082" max="2082" width="11.109375" style="10" customWidth="1"/>
    <col min="2083" max="2083" width="15.21875" style="10" customWidth="1"/>
    <col min="2084" max="2084" width="9.6640625" style="10"/>
    <col min="2085" max="2085" width="11" style="10" customWidth="1"/>
    <col min="2086" max="2086" width="10.77734375" style="10" customWidth="1"/>
    <col min="2087" max="2087" width="11.44140625" style="10" customWidth="1"/>
    <col min="2088" max="2088" width="4" style="10" customWidth="1"/>
    <col min="2089" max="2279" width="9.6640625" style="10"/>
    <col min="2280" max="2280" width="6.44140625" style="10" customWidth="1"/>
    <col min="2281" max="2281" width="13.88671875" style="10" customWidth="1"/>
    <col min="2282" max="2282" width="14.33203125" style="10" customWidth="1"/>
    <col min="2283" max="2299" width="9.6640625" style="10"/>
    <col min="2300" max="2300" width="12" style="10" customWidth="1"/>
    <col min="2301" max="2301" width="12.77734375" style="10" customWidth="1"/>
    <col min="2302" max="2302" width="11.109375" style="10" customWidth="1"/>
    <col min="2303" max="2303" width="12" style="10" customWidth="1"/>
    <col min="2304" max="2304" width="9.6640625" style="10"/>
    <col min="2305" max="2305" width="15.33203125" style="10" customWidth="1"/>
    <col min="2306" max="2306" width="15.21875" style="10" customWidth="1"/>
    <col min="2307" max="2307" width="21.44140625" style="10" customWidth="1"/>
    <col min="2308" max="2323" width="9.6640625" style="10"/>
    <col min="2324" max="2325" width="13.44140625" style="10" customWidth="1"/>
    <col min="2326" max="2326" width="9.6640625" style="10"/>
    <col min="2327" max="2327" width="13.88671875" style="10" customWidth="1"/>
    <col min="2328" max="2328" width="10.6640625" style="10" customWidth="1"/>
    <col min="2329" max="2329" width="17.33203125" style="10" customWidth="1"/>
    <col min="2330" max="2331" width="12.6640625" style="10" customWidth="1"/>
    <col min="2332" max="2332" width="11.21875" style="10" customWidth="1"/>
    <col min="2333" max="2333" width="18.33203125" style="10" customWidth="1"/>
    <col min="2334" max="2334" width="12.88671875" style="10" customWidth="1"/>
    <col min="2335" max="2336" width="13.21875" style="10" customWidth="1"/>
    <col min="2337" max="2337" width="10.88671875" style="10" customWidth="1"/>
    <col min="2338" max="2338" width="11.109375" style="10" customWidth="1"/>
    <col min="2339" max="2339" width="15.21875" style="10" customWidth="1"/>
    <col min="2340" max="2340" width="9.6640625" style="10"/>
    <col min="2341" max="2341" width="11" style="10" customWidth="1"/>
    <col min="2342" max="2342" width="10.77734375" style="10" customWidth="1"/>
    <col min="2343" max="2343" width="11.44140625" style="10" customWidth="1"/>
    <col min="2344" max="2344" width="4" style="10" customWidth="1"/>
    <col min="2345" max="2535" width="9.6640625" style="10"/>
    <col min="2536" max="2536" width="6.44140625" style="10" customWidth="1"/>
    <col min="2537" max="2537" width="13.88671875" style="10" customWidth="1"/>
    <col min="2538" max="2538" width="14.33203125" style="10" customWidth="1"/>
    <col min="2539" max="2555" width="9.6640625" style="10"/>
    <col min="2556" max="2556" width="12" style="10" customWidth="1"/>
    <col min="2557" max="2557" width="12.77734375" style="10" customWidth="1"/>
    <col min="2558" max="2558" width="11.109375" style="10" customWidth="1"/>
    <col min="2559" max="2559" width="12" style="10" customWidth="1"/>
    <col min="2560" max="2560" width="9.6640625" style="10"/>
    <col min="2561" max="2561" width="15.33203125" style="10" customWidth="1"/>
    <col min="2562" max="2562" width="15.21875" style="10" customWidth="1"/>
    <col min="2563" max="2563" width="21.44140625" style="10" customWidth="1"/>
    <col min="2564" max="2579" width="9.6640625" style="10"/>
    <col min="2580" max="2581" width="13.44140625" style="10" customWidth="1"/>
    <col min="2582" max="2582" width="9.6640625" style="10"/>
    <col min="2583" max="2583" width="13.88671875" style="10" customWidth="1"/>
    <col min="2584" max="2584" width="10.6640625" style="10" customWidth="1"/>
    <col min="2585" max="2585" width="17.33203125" style="10" customWidth="1"/>
    <col min="2586" max="2587" width="12.6640625" style="10" customWidth="1"/>
    <col min="2588" max="2588" width="11.21875" style="10" customWidth="1"/>
    <col min="2589" max="2589" width="18.33203125" style="10" customWidth="1"/>
    <col min="2590" max="2590" width="12.88671875" style="10" customWidth="1"/>
    <col min="2591" max="2592" width="13.21875" style="10" customWidth="1"/>
    <col min="2593" max="2593" width="10.88671875" style="10" customWidth="1"/>
    <col min="2594" max="2594" width="11.109375" style="10" customWidth="1"/>
    <col min="2595" max="2595" width="15.21875" style="10" customWidth="1"/>
    <col min="2596" max="2596" width="9.6640625" style="10"/>
    <col min="2597" max="2597" width="11" style="10" customWidth="1"/>
    <col min="2598" max="2598" width="10.77734375" style="10" customWidth="1"/>
    <col min="2599" max="2599" width="11.44140625" style="10" customWidth="1"/>
    <col min="2600" max="2600" width="4" style="10" customWidth="1"/>
    <col min="2601" max="2791" width="9.6640625" style="10"/>
    <col min="2792" max="2792" width="6.44140625" style="10" customWidth="1"/>
    <col min="2793" max="2793" width="13.88671875" style="10" customWidth="1"/>
    <col min="2794" max="2794" width="14.33203125" style="10" customWidth="1"/>
    <col min="2795" max="2811" width="9.6640625" style="10"/>
    <col min="2812" max="2812" width="12" style="10" customWidth="1"/>
    <col min="2813" max="2813" width="12.77734375" style="10" customWidth="1"/>
    <col min="2814" max="2814" width="11.109375" style="10" customWidth="1"/>
    <col min="2815" max="2815" width="12" style="10" customWidth="1"/>
    <col min="2816" max="2816" width="9.6640625" style="10"/>
    <col min="2817" max="2817" width="15.33203125" style="10" customWidth="1"/>
    <col min="2818" max="2818" width="15.21875" style="10" customWidth="1"/>
    <col min="2819" max="2819" width="21.44140625" style="10" customWidth="1"/>
    <col min="2820" max="2835" width="9.6640625" style="10"/>
    <col min="2836" max="2837" width="13.44140625" style="10" customWidth="1"/>
    <col min="2838" max="2838" width="9.6640625" style="10"/>
    <col min="2839" max="2839" width="13.88671875" style="10" customWidth="1"/>
    <col min="2840" max="2840" width="10.6640625" style="10" customWidth="1"/>
    <col min="2841" max="2841" width="17.33203125" style="10" customWidth="1"/>
    <col min="2842" max="2843" width="12.6640625" style="10" customWidth="1"/>
    <col min="2844" max="2844" width="11.21875" style="10" customWidth="1"/>
    <col min="2845" max="2845" width="18.33203125" style="10" customWidth="1"/>
    <col min="2846" max="2846" width="12.88671875" style="10" customWidth="1"/>
    <col min="2847" max="2848" width="13.21875" style="10" customWidth="1"/>
    <col min="2849" max="2849" width="10.88671875" style="10" customWidth="1"/>
    <col min="2850" max="2850" width="11.109375" style="10" customWidth="1"/>
    <col min="2851" max="2851" width="15.21875" style="10" customWidth="1"/>
    <col min="2852" max="2852" width="9.6640625" style="10"/>
    <col min="2853" max="2853" width="11" style="10" customWidth="1"/>
    <col min="2854" max="2854" width="10.77734375" style="10" customWidth="1"/>
    <col min="2855" max="2855" width="11.44140625" style="10" customWidth="1"/>
    <col min="2856" max="2856" width="4" style="10" customWidth="1"/>
    <col min="2857" max="3047" width="9.6640625" style="10"/>
    <col min="3048" max="3048" width="6.44140625" style="10" customWidth="1"/>
    <col min="3049" max="3049" width="13.88671875" style="10" customWidth="1"/>
    <col min="3050" max="3050" width="14.33203125" style="10" customWidth="1"/>
    <col min="3051" max="3067" width="9.6640625" style="10"/>
    <col min="3068" max="3068" width="12" style="10" customWidth="1"/>
    <col min="3069" max="3069" width="12.77734375" style="10" customWidth="1"/>
    <col min="3070" max="3070" width="11.109375" style="10" customWidth="1"/>
    <col min="3071" max="3071" width="12" style="10" customWidth="1"/>
    <col min="3072" max="3072" width="9.6640625" style="10"/>
    <col min="3073" max="3073" width="15.33203125" style="10" customWidth="1"/>
    <col min="3074" max="3074" width="15.21875" style="10" customWidth="1"/>
    <col min="3075" max="3075" width="21.44140625" style="10" customWidth="1"/>
    <col min="3076" max="3091" width="9.6640625" style="10"/>
    <col min="3092" max="3093" width="13.44140625" style="10" customWidth="1"/>
    <col min="3094" max="3094" width="9.6640625" style="10"/>
    <col min="3095" max="3095" width="13.88671875" style="10" customWidth="1"/>
    <col min="3096" max="3096" width="10.6640625" style="10" customWidth="1"/>
    <col min="3097" max="3097" width="17.33203125" style="10" customWidth="1"/>
    <col min="3098" max="3099" width="12.6640625" style="10" customWidth="1"/>
    <col min="3100" max="3100" width="11.21875" style="10" customWidth="1"/>
    <col min="3101" max="3101" width="18.33203125" style="10" customWidth="1"/>
    <col min="3102" max="3102" width="12.88671875" style="10" customWidth="1"/>
    <col min="3103" max="3104" width="13.21875" style="10" customWidth="1"/>
    <col min="3105" max="3105" width="10.88671875" style="10" customWidth="1"/>
    <col min="3106" max="3106" width="11.109375" style="10" customWidth="1"/>
    <col min="3107" max="3107" width="15.21875" style="10" customWidth="1"/>
    <col min="3108" max="3108" width="9.6640625" style="10"/>
    <col min="3109" max="3109" width="11" style="10" customWidth="1"/>
    <col min="3110" max="3110" width="10.77734375" style="10" customWidth="1"/>
    <col min="3111" max="3111" width="11.44140625" style="10" customWidth="1"/>
    <col min="3112" max="3112" width="4" style="10" customWidth="1"/>
    <col min="3113" max="3303" width="9.6640625" style="10"/>
    <col min="3304" max="3304" width="6.44140625" style="10" customWidth="1"/>
    <col min="3305" max="3305" width="13.88671875" style="10" customWidth="1"/>
    <col min="3306" max="3306" width="14.33203125" style="10" customWidth="1"/>
    <col min="3307" max="3323" width="9.6640625" style="10"/>
    <col min="3324" max="3324" width="12" style="10" customWidth="1"/>
    <col min="3325" max="3325" width="12.77734375" style="10" customWidth="1"/>
    <col min="3326" max="3326" width="11.109375" style="10" customWidth="1"/>
    <col min="3327" max="3327" width="12" style="10" customWidth="1"/>
    <col min="3328" max="3328" width="9.6640625" style="10"/>
    <col min="3329" max="3329" width="15.33203125" style="10" customWidth="1"/>
    <col min="3330" max="3330" width="15.21875" style="10" customWidth="1"/>
    <col min="3331" max="3331" width="21.44140625" style="10" customWidth="1"/>
    <col min="3332" max="3347" width="9.6640625" style="10"/>
    <col min="3348" max="3349" width="13.44140625" style="10" customWidth="1"/>
    <col min="3350" max="3350" width="9.6640625" style="10"/>
    <col min="3351" max="3351" width="13.88671875" style="10" customWidth="1"/>
    <col min="3352" max="3352" width="10.6640625" style="10" customWidth="1"/>
    <col min="3353" max="3353" width="17.33203125" style="10" customWidth="1"/>
    <col min="3354" max="3355" width="12.6640625" style="10" customWidth="1"/>
    <col min="3356" max="3356" width="11.21875" style="10" customWidth="1"/>
    <col min="3357" max="3357" width="18.33203125" style="10" customWidth="1"/>
    <col min="3358" max="3358" width="12.88671875" style="10" customWidth="1"/>
    <col min="3359" max="3360" width="13.21875" style="10" customWidth="1"/>
    <col min="3361" max="3361" width="10.88671875" style="10" customWidth="1"/>
    <col min="3362" max="3362" width="11.109375" style="10" customWidth="1"/>
    <col min="3363" max="3363" width="15.21875" style="10" customWidth="1"/>
    <col min="3364" max="3364" width="9.6640625" style="10"/>
    <col min="3365" max="3365" width="11" style="10" customWidth="1"/>
    <col min="3366" max="3366" width="10.77734375" style="10" customWidth="1"/>
    <col min="3367" max="3367" width="11.44140625" style="10" customWidth="1"/>
    <col min="3368" max="3368" width="4" style="10" customWidth="1"/>
    <col min="3369" max="3559" width="9.6640625" style="10"/>
    <col min="3560" max="3560" width="6.44140625" style="10" customWidth="1"/>
    <col min="3561" max="3561" width="13.88671875" style="10" customWidth="1"/>
    <col min="3562" max="3562" width="14.33203125" style="10" customWidth="1"/>
    <col min="3563" max="3579" width="9.6640625" style="10"/>
    <col min="3580" max="3580" width="12" style="10" customWidth="1"/>
    <col min="3581" max="3581" width="12.77734375" style="10" customWidth="1"/>
    <col min="3582" max="3582" width="11.109375" style="10" customWidth="1"/>
    <col min="3583" max="3583" width="12" style="10" customWidth="1"/>
    <col min="3584" max="3584" width="9.6640625" style="10"/>
    <col min="3585" max="3585" width="15.33203125" style="10" customWidth="1"/>
    <col min="3586" max="3586" width="15.21875" style="10" customWidth="1"/>
    <col min="3587" max="3587" width="21.44140625" style="10" customWidth="1"/>
    <col min="3588" max="3603" width="9.6640625" style="10"/>
    <col min="3604" max="3605" width="13.44140625" style="10" customWidth="1"/>
    <col min="3606" max="3606" width="9.6640625" style="10"/>
    <col min="3607" max="3607" width="13.88671875" style="10" customWidth="1"/>
    <col min="3608" max="3608" width="10.6640625" style="10" customWidth="1"/>
    <col min="3609" max="3609" width="17.33203125" style="10" customWidth="1"/>
    <col min="3610" max="3611" width="12.6640625" style="10" customWidth="1"/>
    <col min="3612" max="3612" width="11.21875" style="10" customWidth="1"/>
    <col min="3613" max="3613" width="18.33203125" style="10" customWidth="1"/>
    <col min="3614" max="3614" width="12.88671875" style="10" customWidth="1"/>
    <col min="3615" max="3616" width="13.21875" style="10" customWidth="1"/>
    <col min="3617" max="3617" width="10.88671875" style="10" customWidth="1"/>
    <col min="3618" max="3618" width="11.109375" style="10" customWidth="1"/>
    <col min="3619" max="3619" width="15.21875" style="10" customWidth="1"/>
    <col min="3620" max="3620" width="9.6640625" style="10"/>
    <col min="3621" max="3621" width="11" style="10" customWidth="1"/>
    <col min="3622" max="3622" width="10.77734375" style="10" customWidth="1"/>
    <col min="3623" max="3623" width="11.44140625" style="10" customWidth="1"/>
    <col min="3624" max="3624" width="4" style="10" customWidth="1"/>
    <col min="3625" max="3815" width="9.6640625" style="10"/>
    <col min="3816" max="3816" width="6.44140625" style="10" customWidth="1"/>
    <col min="3817" max="3817" width="13.88671875" style="10" customWidth="1"/>
    <col min="3818" max="3818" width="14.33203125" style="10" customWidth="1"/>
    <col min="3819" max="3835" width="9.6640625" style="10"/>
    <col min="3836" max="3836" width="12" style="10" customWidth="1"/>
    <col min="3837" max="3837" width="12.77734375" style="10" customWidth="1"/>
    <col min="3838" max="3838" width="11.109375" style="10" customWidth="1"/>
    <col min="3839" max="3839" width="12" style="10" customWidth="1"/>
    <col min="3840" max="3840" width="9.6640625" style="10"/>
    <col min="3841" max="3841" width="15.33203125" style="10" customWidth="1"/>
    <col min="3842" max="3842" width="15.21875" style="10" customWidth="1"/>
    <col min="3843" max="3843" width="21.44140625" style="10" customWidth="1"/>
    <col min="3844" max="3859" width="9.6640625" style="10"/>
    <col min="3860" max="3861" width="13.44140625" style="10" customWidth="1"/>
    <col min="3862" max="3862" width="9.6640625" style="10"/>
    <col min="3863" max="3863" width="13.88671875" style="10" customWidth="1"/>
    <col min="3864" max="3864" width="10.6640625" style="10" customWidth="1"/>
    <col min="3865" max="3865" width="17.33203125" style="10" customWidth="1"/>
    <col min="3866" max="3867" width="12.6640625" style="10" customWidth="1"/>
    <col min="3868" max="3868" width="11.21875" style="10" customWidth="1"/>
    <col min="3869" max="3869" width="18.33203125" style="10" customWidth="1"/>
    <col min="3870" max="3870" width="12.88671875" style="10" customWidth="1"/>
    <col min="3871" max="3872" width="13.21875" style="10" customWidth="1"/>
    <col min="3873" max="3873" width="10.88671875" style="10" customWidth="1"/>
    <col min="3874" max="3874" width="11.109375" style="10" customWidth="1"/>
    <col min="3875" max="3875" width="15.21875" style="10" customWidth="1"/>
    <col min="3876" max="3876" width="9.6640625" style="10"/>
    <col min="3877" max="3877" width="11" style="10" customWidth="1"/>
    <col min="3878" max="3878" width="10.77734375" style="10" customWidth="1"/>
    <col min="3879" max="3879" width="11.44140625" style="10" customWidth="1"/>
    <col min="3880" max="3880" width="4" style="10" customWidth="1"/>
    <col min="3881" max="4071" width="9.6640625" style="10"/>
    <col min="4072" max="4072" width="6.44140625" style="10" customWidth="1"/>
    <col min="4073" max="4073" width="13.88671875" style="10" customWidth="1"/>
    <col min="4074" max="4074" width="14.33203125" style="10" customWidth="1"/>
    <col min="4075" max="4091" width="9.6640625" style="10"/>
    <col min="4092" max="4092" width="12" style="10" customWidth="1"/>
    <col min="4093" max="4093" width="12.77734375" style="10" customWidth="1"/>
    <col min="4094" max="4094" width="11.109375" style="10" customWidth="1"/>
    <col min="4095" max="4095" width="12" style="10" customWidth="1"/>
    <col min="4096" max="4096" width="9.6640625" style="10"/>
    <col min="4097" max="4097" width="15.33203125" style="10" customWidth="1"/>
    <col min="4098" max="4098" width="15.21875" style="10" customWidth="1"/>
    <col min="4099" max="4099" width="21.44140625" style="10" customWidth="1"/>
    <col min="4100" max="4115" width="9.6640625" style="10"/>
    <col min="4116" max="4117" width="13.44140625" style="10" customWidth="1"/>
    <col min="4118" max="4118" width="9.6640625" style="10"/>
    <col min="4119" max="4119" width="13.88671875" style="10" customWidth="1"/>
    <col min="4120" max="4120" width="10.6640625" style="10" customWidth="1"/>
    <col min="4121" max="4121" width="17.33203125" style="10" customWidth="1"/>
    <col min="4122" max="4123" width="12.6640625" style="10" customWidth="1"/>
    <col min="4124" max="4124" width="11.21875" style="10" customWidth="1"/>
    <col min="4125" max="4125" width="18.33203125" style="10" customWidth="1"/>
    <col min="4126" max="4126" width="12.88671875" style="10" customWidth="1"/>
    <col min="4127" max="4128" width="13.21875" style="10" customWidth="1"/>
    <col min="4129" max="4129" width="10.88671875" style="10" customWidth="1"/>
    <col min="4130" max="4130" width="11.109375" style="10" customWidth="1"/>
    <col min="4131" max="4131" width="15.21875" style="10" customWidth="1"/>
    <col min="4132" max="4132" width="9.6640625" style="10"/>
    <col min="4133" max="4133" width="11" style="10" customWidth="1"/>
    <col min="4134" max="4134" width="10.77734375" style="10" customWidth="1"/>
    <col min="4135" max="4135" width="11.44140625" style="10" customWidth="1"/>
    <col min="4136" max="4136" width="4" style="10" customWidth="1"/>
    <col min="4137" max="4327" width="9.6640625" style="10"/>
    <col min="4328" max="4328" width="6.44140625" style="10" customWidth="1"/>
    <col min="4329" max="4329" width="13.88671875" style="10" customWidth="1"/>
    <col min="4330" max="4330" width="14.33203125" style="10" customWidth="1"/>
    <col min="4331" max="4347" width="9.6640625" style="10"/>
    <col min="4348" max="4348" width="12" style="10" customWidth="1"/>
    <col min="4349" max="4349" width="12.77734375" style="10" customWidth="1"/>
    <col min="4350" max="4350" width="11.109375" style="10" customWidth="1"/>
    <col min="4351" max="4351" width="12" style="10" customWidth="1"/>
    <col min="4352" max="4352" width="9.6640625" style="10"/>
    <col min="4353" max="4353" width="15.33203125" style="10" customWidth="1"/>
    <col min="4354" max="4354" width="15.21875" style="10" customWidth="1"/>
    <col min="4355" max="4355" width="21.44140625" style="10" customWidth="1"/>
    <col min="4356" max="4371" width="9.6640625" style="10"/>
    <col min="4372" max="4373" width="13.44140625" style="10" customWidth="1"/>
    <col min="4374" max="4374" width="9.6640625" style="10"/>
    <col min="4375" max="4375" width="13.88671875" style="10" customWidth="1"/>
    <col min="4376" max="4376" width="10.6640625" style="10" customWidth="1"/>
    <col min="4377" max="4377" width="17.33203125" style="10" customWidth="1"/>
    <col min="4378" max="4379" width="12.6640625" style="10" customWidth="1"/>
    <col min="4380" max="4380" width="11.21875" style="10" customWidth="1"/>
    <col min="4381" max="4381" width="18.33203125" style="10" customWidth="1"/>
    <col min="4382" max="4382" width="12.88671875" style="10" customWidth="1"/>
    <col min="4383" max="4384" width="13.21875" style="10" customWidth="1"/>
    <col min="4385" max="4385" width="10.88671875" style="10" customWidth="1"/>
    <col min="4386" max="4386" width="11.109375" style="10" customWidth="1"/>
    <col min="4387" max="4387" width="15.21875" style="10" customWidth="1"/>
    <col min="4388" max="4388" width="9.6640625" style="10"/>
    <col min="4389" max="4389" width="11" style="10" customWidth="1"/>
    <col min="4390" max="4390" width="10.77734375" style="10" customWidth="1"/>
    <col min="4391" max="4391" width="11.44140625" style="10" customWidth="1"/>
    <col min="4392" max="4392" width="4" style="10" customWidth="1"/>
    <col min="4393" max="4583" width="9.6640625" style="10"/>
    <col min="4584" max="4584" width="6.44140625" style="10" customWidth="1"/>
    <col min="4585" max="4585" width="13.88671875" style="10" customWidth="1"/>
    <col min="4586" max="4586" width="14.33203125" style="10" customWidth="1"/>
    <col min="4587" max="4603" width="9.6640625" style="10"/>
    <col min="4604" max="4604" width="12" style="10" customWidth="1"/>
    <col min="4605" max="4605" width="12.77734375" style="10" customWidth="1"/>
    <col min="4606" max="4606" width="11.109375" style="10" customWidth="1"/>
    <col min="4607" max="4607" width="12" style="10" customWidth="1"/>
    <col min="4608" max="4608" width="9.6640625" style="10"/>
    <col min="4609" max="4609" width="15.33203125" style="10" customWidth="1"/>
    <col min="4610" max="4610" width="15.21875" style="10" customWidth="1"/>
    <col min="4611" max="4611" width="21.44140625" style="10" customWidth="1"/>
    <col min="4612" max="4627" width="9.6640625" style="10"/>
    <col min="4628" max="4629" width="13.44140625" style="10" customWidth="1"/>
    <col min="4630" max="4630" width="9.6640625" style="10"/>
    <col min="4631" max="4631" width="13.88671875" style="10" customWidth="1"/>
    <col min="4632" max="4632" width="10.6640625" style="10" customWidth="1"/>
    <col min="4633" max="4633" width="17.33203125" style="10" customWidth="1"/>
    <col min="4634" max="4635" width="12.6640625" style="10" customWidth="1"/>
    <col min="4636" max="4636" width="11.21875" style="10" customWidth="1"/>
    <col min="4637" max="4637" width="18.33203125" style="10" customWidth="1"/>
    <col min="4638" max="4638" width="12.88671875" style="10" customWidth="1"/>
    <col min="4639" max="4640" width="13.21875" style="10" customWidth="1"/>
    <col min="4641" max="4641" width="10.88671875" style="10" customWidth="1"/>
    <col min="4642" max="4642" width="11.109375" style="10" customWidth="1"/>
    <col min="4643" max="4643" width="15.21875" style="10" customWidth="1"/>
    <col min="4644" max="4644" width="9.6640625" style="10"/>
    <col min="4645" max="4645" width="11" style="10" customWidth="1"/>
    <col min="4646" max="4646" width="10.77734375" style="10" customWidth="1"/>
    <col min="4647" max="4647" width="11.44140625" style="10" customWidth="1"/>
    <col min="4648" max="4648" width="4" style="10" customWidth="1"/>
    <col min="4649" max="4839" width="9.6640625" style="10"/>
    <col min="4840" max="4840" width="6.44140625" style="10" customWidth="1"/>
    <col min="4841" max="4841" width="13.88671875" style="10" customWidth="1"/>
    <col min="4842" max="4842" width="14.33203125" style="10" customWidth="1"/>
    <col min="4843" max="4859" width="9.6640625" style="10"/>
    <col min="4860" max="4860" width="12" style="10" customWidth="1"/>
    <col min="4861" max="4861" width="12.77734375" style="10" customWidth="1"/>
    <col min="4862" max="4862" width="11.109375" style="10" customWidth="1"/>
    <col min="4863" max="4863" width="12" style="10" customWidth="1"/>
    <col min="4864" max="4864" width="9.6640625" style="10"/>
    <col min="4865" max="4865" width="15.33203125" style="10" customWidth="1"/>
    <col min="4866" max="4866" width="15.21875" style="10" customWidth="1"/>
    <col min="4867" max="4867" width="21.44140625" style="10" customWidth="1"/>
    <col min="4868" max="4883" width="9.6640625" style="10"/>
    <col min="4884" max="4885" width="13.44140625" style="10" customWidth="1"/>
    <col min="4886" max="4886" width="9.6640625" style="10"/>
    <col min="4887" max="4887" width="13.88671875" style="10" customWidth="1"/>
    <col min="4888" max="4888" width="10.6640625" style="10" customWidth="1"/>
    <col min="4889" max="4889" width="17.33203125" style="10" customWidth="1"/>
    <col min="4890" max="4891" width="12.6640625" style="10" customWidth="1"/>
    <col min="4892" max="4892" width="11.21875" style="10" customWidth="1"/>
    <col min="4893" max="4893" width="18.33203125" style="10" customWidth="1"/>
    <col min="4894" max="4894" width="12.88671875" style="10" customWidth="1"/>
    <col min="4895" max="4896" width="13.21875" style="10" customWidth="1"/>
    <col min="4897" max="4897" width="10.88671875" style="10" customWidth="1"/>
    <col min="4898" max="4898" width="11.109375" style="10" customWidth="1"/>
    <col min="4899" max="4899" width="15.21875" style="10" customWidth="1"/>
    <col min="4900" max="4900" width="9.6640625" style="10"/>
    <col min="4901" max="4901" width="11" style="10" customWidth="1"/>
    <col min="4902" max="4902" width="10.77734375" style="10" customWidth="1"/>
    <col min="4903" max="4903" width="11.44140625" style="10" customWidth="1"/>
    <col min="4904" max="4904" width="4" style="10" customWidth="1"/>
    <col min="4905" max="5095" width="9.6640625" style="10"/>
    <col min="5096" max="5096" width="6.44140625" style="10" customWidth="1"/>
    <col min="5097" max="5097" width="13.88671875" style="10" customWidth="1"/>
    <col min="5098" max="5098" width="14.33203125" style="10" customWidth="1"/>
    <col min="5099" max="5115" width="9.6640625" style="10"/>
    <col min="5116" max="5116" width="12" style="10" customWidth="1"/>
    <col min="5117" max="5117" width="12.77734375" style="10" customWidth="1"/>
    <col min="5118" max="5118" width="11.109375" style="10" customWidth="1"/>
    <col min="5119" max="5119" width="12" style="10" customWidth="1"/>
    <col min="5120" max="5120" width="9.6640625" style="10"/>
    <col min="5121" max="5121" width="15.33203125" style="10" customWidth="1"/>
    <col min="5122" max="5122" width="15.21875" style="10" customWidth="1"/>
    <col min="5123" max="5123" width="21.44140625" style="10" customWidth="1"/>
    <col min="5124" max="5139" width="9.6640625" style="10"/>
    <col min="5140" max="5141" width="13.44140625" style="10" customWidth="1"/>
    <col min="5142" max="5142" width="9.6640625" style="10"/>
    <col min="5143" max="5143" width="13.88671875" style="10" customWidth="1"/>
    <col min="5144" max="5144" width="10.6640625" style="10" customWidth="1"/>
    <col min="5145" max="5145" width="17.33203125" style="10" customWidth="1"/>
    <col min="5146" max="5147" width="12.6640625" style="10" customWidth="1"/>
    <col min="5148" max="5148" width="11.21875" style="10" customWidth="1"/>
    <col min="5149" max="5149" width="18.33203125" style="10" customWidth="1"/>
    <col min="5150" max="5150" width="12.88671875" style="10" customWidth="1"/>
    <col min="5151" max="5152" width="13.21875" style="10" customWidth="1"/>
    <col min="5153" max="5153" width="10.88671875" style="10" customWidth="1"/>
    <col min="5154" max="5154" width="11.109375" style="10" customWidth="1"/>
    <col min="5155" max="5155" width="15.21875" style="10" customWidth="1"/>
    <col min="5156" max="5156" width="9.6640625" style="10"/>
    <col min="5157" max="5157" width="11" style="10" customWidth="1"/>
    <col min="5158" max="5158" width="10.77734375" style="10" customWidth="1"/>
    <col min="5159" max="5159" width="11.44140625" style="10" customWidth="1"/>
    <col min="5160" max="5160" width="4" style="10" customWidth="1"/>
    <col min="5161" max="5351" width="9.6640625" style="10"/>
    <col min="5352" max="5352" width="6.44140625" style="10" customWidth="1"/>
    <col min="5353" max="5353" width="13.88671875" style="10" customWidth="1"/>
    <col min="5354" max="5354" width="14.33203125" style="10" customWidth="1"/>
    <col min="5355" max="5371" width="9.6640625" style="10"/>
    <col min="5372" max="5372" width="12" style="10" customWidth="1"/>
    <col min="5373" max="5373" width="12.77734375" style="10" customWidth="1"/>
    <col min="5374" max="5374" width="11.109375" style="10" customWidth="1"/>
    <col min="5375" max="5375" width="12" style="10" customWidth="1"/>
    <col min="5376" max="5376" width="9.6640625" style="10"/>
    <col min="5377" max="5377" width="15.33203125" style="10" customWidth="1"/>
    <col min="5378" max="5378" width="15.21875" style="10" customWidth="1"/>
    <col min="5379" max="5379" width="21.44140625" style="10" customWidth="1"/>
    <col min="5380" max="5395" width="9.6640625" style="10"/>
    <col min="5396" max="5397" width="13.44140625" style="10" customWidth="1"/>
    <col min="5398" max="5398" width="9.6640625" style="10"/>
    <col min="5399" max="5399" width="13.88671875" style="10" customWidth="1"/>
    <col min="5400" max="5400" width="10.6640625" style="10" customWidth="1"/>
    <col min="5401" max="5401" width="17.33203125" style="10" customWidth="1"/>
    <col min="5402" max="5403" width="12.6640625" style="10" customWidth="1"/>
    <col min="5404" max="5404" width="11.21875" style="10" customWidth="1"/>
    <col min="5405" max="5405" width="18.33203125" style="10" customWidth="1"/>
    <col min="5406" max="5406" width="12.88671875" style="10" customWidth="1"/>
    <col min="5407" max="5408" width="13.21875" style="10" customWidth="1"/>
    <col min="5409" max="5409" width="10.88671875" style="10" customWidth="1"/>
    <col min="5410" max="5410" width="11.109375" style="10" customWidth="1"/>
    <col min="5411" max="5411" width="15.21875" style="10" customWidth="1"/>
    <col min="5412" max="5412" width="9.6640625" style="10"/>
    <col min="5413" max="5413" width="11" style="10" customWidth="1"/>
    <col min="5414" max="5414" width="10.77734375" style="10" customWidth="1"/>
    <col min="5415" max="5415" width="11.44140625" style="10" customWidth="1"/>
    <col min="5416" max="5416" width="4" style="10" customWidth="1"/>
    <col min="5417" max="5607" width="9.6640625" style="10"/>
    <col min="5608" max="5608" width="6.44140625" style="10" customWidth="1"/>
    <col min="5609" max="5609" width="13.88671875" style="10" customWidth="1"/>
    <col min="5610" max="5610" width="14.33203125" style="10" customWidth="1"/>
    <col min="5611" max="5627" width="9.6640625" style="10"/>
    <col min="5628" max="5628" width="12" style="10" customWidth="1"/>
    <col min="5629" max="5629" width="12.77734375" style="10" customWidth="1"/>
    <col min="5630" max="5630" width="11.109375" style="10" customWidth="1"/>
    <col min="5631" max="5631" width="12" style="10" customWidth="1"/>
    <col min="5632" max="5632" width="9.6640625" style="10"/>
    <col min="5633" max="5633" width="15.33203125" style="10" customWidth="1"/>
    <col min="5634" max="5634" width="15.21875" style="10" customWidth="1"/>
    <col min="5635" max="5635" width="21.44140625" style="10" customWidth="1"/>
    <col min="5636" max="5651" width="9.6640625" style="10"/>
    <col min="5652" max="5653" width="13.44140625" style="10" customWidth="1"/>
    <col min="5654" max="5654" width="9.6640625" style="10"/>
    <col min="5655" max="5655" width="13.88671875" style="10" customWidth="1"/>
    <col min="5656" max="5656" width="10.6640625" style="10" customWidth="1"/>
    <col min="5657" max="5657" width="17.33203125" style="10" customWidth="1"/>
    <col min="5658" max="5659" width="12.6640625" style="10" customWidth="1"/>
    <col min="5660" max="5660" width="11.21875" style="10" customWidth="1"/>
    <col min="5661" max="5661" width="18.33203125" style="10" customWidth="1"/>
    <col min="5662" max="5662" width="12.88671875" style="10" customWidth="1"/>
    <col min="5663" max="5664" width="13.21875" style="10" customWidth="1"/>
    <col min="5665" max="5665" width="10.88671875" style="10" customWidth="1"/>
    <col min="5666" max="5666" width="11.109375" style="10" customWidth="1"/>
    <col min="5667" max="5667" width="15.21875" style="10" customWidth="1"/>
    <col min="5668" max="5668" width="9.6640625" style="10"/>
    <col min="5669" max="5669" width="11" style="10" customWidth="1"/>
    <col min="5670" max="5670" width="10.77734375" style="10" customWidth="1"/>
    <col min="5671" max="5671" width="11.44140625" style="10" customWidth="1"/>
    <col min="5672" max="5672" width="4" style="10" customWidth="1"/>
    <col min="5673" max="5863" width="9.6640625" style="10"/>
    <col min="5864" max="5864" width="6.44140625" style="10" customWidth="1"/>
    <col min="5865" max="5865" width="13.88671875" style="10" customWidth="1"/>
    <col min="5866" max="5866" width="14.33203125" style="10" customWidth="1"/>
    <col min="5867" max="5883" width="9.6640625" style="10"/>
    <col min="5884" max="5884" width="12" style="10" customWidth="1"/>
    <col min="5885" max="5885" width="12.77734375" style="10" customWidth="1"/>
    <col min="5886" max="5886" width="11.109375" style="10" customWidth="1"/>
    <col min="5887" max="5887" width="12" style="10" customWidth="1"/>
    <col min="5888" max="5888" width="9.6640625" style="10"/>
    <col min="5889" max="5889" width="15.33203125" style="10" customWidth="1"/>
    <col min="5890" max="5890" width="15.21875" style="10" customWidth="1"/>
    <col min="5891" max="5891" width="21.44140625" style="10" customWidth="1"/>
    <col min="5892" max="5907" width="9.6640625" style="10"/>
    <col min="5908" max="5909" width="13.44140625" style="10" customWidth="1"/>
    <col min="5910" max="5910" width="9.6640625" style="10"/>
    <col min="5911" max="5911" width="13.88671875" style="10" customWidth="1"/>
    <col min="5912" max="5912" width="10.6640625" style="10" customWidth="1"/>
    <col min="5913" max="5913" width="17.33203125" style="10" customWidth="1"/>
    <col min="5914" max="5915" width="12.6640625" style="10" customWidth="1"/>
    <col min="5916" max="5916" width="11.21875" style="10" customWidth="1"/>
    <col min="5917" max="5917" width="18.33203125" style="10" customWidth="1"/>
    <col min="5918" max="5918" width="12.88671875" style="10" customWidth="1"/>
    <col min="5919" max="5920" width="13.21875" style="10" customWidth="1"/>
    <col min="5921" max="5921" width="10.88671875" style="10" customWidth="1"/>
    <col min="5922" max="5922" width="11.109375" style="10" customWidth="1"/>
    <col min="5923" max="5923" width="15.21875" style="10" customWidth="1"/>
    <col min="5924" max="5924" width="9.6640625" style="10"/>
    <col min="5925" max="5925" width="11" style="10" customWidth="1"/>
    <col min="5926" max="5926" width="10.77734375" style="10" customWidth="1"/>
    <col min="5927" max="5927" width="11.44140625" style="10" customWidth="1"/>
    <col min="5928" max="5928" width="4" style="10" customWidth="1"/>
    <col min="5929" max="6119" width="9.6640625" style="10"/>
    <col min="6120" max="6120" width="6.44140625" style="10" customWidth="1"/>
    <col min="6121" max="6121" width="13.88671875" style="10" customWidth="1"/>
    <col min="6122" max="6122" width="14.33203125" style="10" customWidth="1"/>
    <col min="6123" max="6139" width="9.6640625" style="10"/>
    <col min="6140" max="6140" width="12" style="10" customWidth="1"/>
    <col min="6141" max="6141" width="12.77734375" style="10" customWidth="1"/>
    <col min="6142" max="6142" width="11.109375" style="10" customWidth="1"/>
    <col min="6143" max="6143" width="12" style="10" customWidth="1"/>
    <col min="6144" max="6144" width="9.6640625" style="10"/>
    <col min="6145" max="6145" width="15.33203125" style="10" customWidth="1"/>
    <col min="6146" max="6146" width="15.21875" style="10" customWidth="1"/>
    <col min="6147" max="6147" width="21.44140625" style="10" customWidth="1"/>
    <col min="6148" max="6163" width="9.6640625" style="10"/>
    <col min="6164" max="6165" width="13.44140625" style="10" customWidth="1"/>
    <col min="6166" max="6166" width="9.6640625" style="10"/>
    <col min="6167" max="6167" width="13.88671875" style="10" customWidth="1"/>
    <col min="6168" max="6168" width="10.6640625" style="10" customWidth="1"/>
    <col min="6169" max="6169" width="17.33203125" style="10" customWidth="1"/>
    <col min="6170" max="6171" width="12.6640625" style="10" customWidth="1"/>
    <col min="6172" max="6172" width="11.21875" style="10" customWidth="1"/>
    <col min="6173" max="6173" width="18.33203125" style="10" customWidth="1"/>
    <col min="6174" max="6174" width="12.88671875" style="10" customWidth="1"/>
    <col min="6175" max="6176" width="13.21875" style="10" customWidth="1"/>
    <col min="6177" max="6177" width="10.88671875" style="10" customWidth="1"/>
    <col min="6178" max="6178" width="11.109375" style="10" customWidth="1"/>
    <col min="6179" max="6179" width="15.21875" style="10" customWidth="1"/>
    <col min="6180" max="6180" width="9.6640625" style="10"/>
    <col min="6181" max="6181" width="11" style="10" customWidth="1"/>
    <col min="6182" max="6182" width="10.77734375" style="10" customWidth="1"/>
    <col min="6183" max="6183" width="11.44140625" style="10" customWidth="1"/>
    <col min="6184" max="6184" width="4" style="10" customWidth="1"/>
    <col min="6185" max="6375" width="9.6640625" style="10"/>
    <col min="6376" max="6376" width="6.44140625" style="10" customWidth="1"/>
    <col min="6377" max="6377" width="13.88671875" style="10" customWidth="1"/>
    <col min="6378" max="6378" width="14.33203125" style="10" customWidth="1"/>
    <col min="6379" max="6395" width="9.6640625" style="10"/>
    <col min="6396" max="6396" width="12" style="10" customWidth="1"/>
    <col min="6397" max="6397" width="12.77734375" style="10" customWidth="1"/>
    <col min="6398" max="6398" width="11.109375" style="10" customWidth="1"/>
    <col min="6399" max="6399" width="12" style="10" customWidth="1"/>
    <col min="6400" max="6400" width="9.6640625" style="10"/>
    <col min="6401" max="6401" width="15.33203125" style="10" customWidth="1"/>
    <col min="6402" max="6402" width="15.21875" style="10" customWidth="1"/>
    <col min="6403" max="6403" width="21.44140625" style="10" customWidth="1"/>
    <col min="6404" max="6419" width="9.6640625" style="10"/>
    <col min="6420" max="6421" width="13.44140625" style="10" customWidth="1"/>
    <col min="6422" max="6422" width="9.6640625" style="10"/>
    <col min="6423" max="6423" width="13.88671875" style="10" customWidth="1"/>
    <col min="6424" max="6424" width="10.6640625" style="10" customWidth="1"/>
    <col min="6425" max="6425" width="17.33203125" style="10" customWidth="1"/>
    <col min="6426" max="6427" width="12.6640625" style="10" customWidth="1"/>
    <col min="6428" max="6428" width="11.21875" style="10" customWidth="1"/>
    <col min="6429" max="6429" width="18.33203125" style="10" customWidth="1"/>
    <col min="6430" max="6430" width="12.88671875" style="10" customWidth="1"/>
    <col min="6431" max="6432" width="13.21875" style="10" customWidth="1"/>
    <col min="6433" max="6433" width="10.88671875" style="10" customWidth="1"/>
    <col min="6434" max="6434" width="11.109375" style="10" customWidth="1"/>
    <col min="6435" max="6435" width="15.21875" style="10" customWidth="1"/>
    <col min="6436" max="6436" width="9.6640625" style="10"/>
    <col min="6437" max="6437" width="11" style="10" customWidth="1"/>
    <col min="6438" max="6438" width="10.77734375" style="10" customWidth="1"/>
    <col min="6439" max="6439" width="11.44140625" style="10" customWidth="1"/>
    <col min="6440" max="6440" width="4" style="10" customWidth="1"/>
    <col min="6441" max="6631" width="9.6640625" style="10"/>
    <col min="6632" max="6632" width="6.44140625" style="10" customWidth="1"/>
    <col min="6633" max="6633" width="13.88671875" style="10" customWidth="1"/>
    <col min="6634" max="6634" width="14.33203125" style="10" customWidth="1"/>
    <col min="6635" max="6651" width="9.6640625" style="10"/>
    <col min="6652" max="6652" width="12" style="10" customWidth="1"/>
    <col min="6653" max="6653" width="12.77734375" style="10" customWidth="1"/>
    <col min="6654" max="6654" width="11.109375" style="10" customWidth="1"/>
    <col min="6655" max="6655" width="12" style="10" customWidth="1"/>
    <col min="6656" max="6656" width="9.6640625" style="10"/>
    <col min="6657" max="6657" width="15.33203125" style="10" customWidth="1"/>
    <col min="6658" max="6658" width="15.21875" style="10" customWidth="1"/>
    <col min="6659" max="6659" width="21.44140625" style="10" customWidth="1"/>
    <col min="6660" max="6675" width="9.6640625" style="10"/>
    <col min="6676" max="6677" width="13.44140625" style="10" customWidth="1"/>
    <col min="6678" max="6678" width="9.6640625" style="10"/>
    <col min="6679" max="6679" width="13.88671875" style="10" customWidth="1"/>
    <col min="6680" max="6680" width="10.6640625" style="10" customWidth="1"/>
    <col min="6681" max="6681" width="17.33203125" style="10" customWidth="1"/>
    <col min="6682" max="6683" width="12.6640625" style="10" customWidth="1"/>
    <col min="6684" max="6684" width="11.21875" style="10" customWidth="1"/>
    <col min="6685" max="6685" width="18.33203125" style="10" customWidth="1"/>
    <col min="6686" max="6686" width="12.88671875" style="10" customWidth="1"/>
    <col min="6687" max="6688" width="13.21875" style="10" customWidth="1"/>
    <col min="6689" max="6689" width="10.88671875" style="10" customWidth="1"/>
    <col min="6690" max="6690" width="11.109375" style="10" customWidth="1"/>
    <col min="6691" max="6691" width="15.21875" style="10" customWidth="1"/>
    <col min="6692" max="6692" width="9.6640625" style="10"/>
    <col min="6693" max="6693" width="11" style="10" customWidth="1"/>
    <col min="6694" max="6694" width="10.77734375" style="10" customWidth="1"/>
    <col min="6695" max="6695" width="11.44140625" style="10" customWidth="1"/>
    <col min="6696" max="6696" width="4" style="10" customWidth="1"/>
    <col min="6697" max="6887" width="9.6640625" style="10"/>
    <col min="6888" max="6888" width="6.44140625" style="10" customWidth="1"/>
    <col min="6889" max="6889" width="13.88671875" style="10" customWidth="1"/>
    <col min="6890" max="6890" width="14.33203125" style="10" customWidth="1"/>
    <col min="6891" max="6907" width="9.6640625" style="10"/>
    <col min="6908" max="6908" width="12" style="10" customWidth="1"/>
    <col min="6909" max="6909" width="12.77734375" style="10" customWidth="1"/>
    <col min="6910" max="6910" width="11.109375" style="10" customWidth="1"/>
    <col min="6911" max="6911" width="12" style="10" customWidth="1"/>
    <col min="6912" max="6912" width="9.6640625" style="10"/>
    <col min="6913" max="6913" width="15.33203125" style="10" customWidth="1"/>
    <col min="6914" max="6914" width="15.21875" style="10" customWidth="1"/>
    <col min="6915" max="6915" width="21.44140625" style="10" customWidth="1"/>
    <col min="6916" max="6931" width="9.6640625" style="10"/>
    <col min="6932" max="6933" width="13.44140625" style="10" customWidth="1"/>
    <col min="6934" max="6934" width="9.6640625" style="10"/>
    <col min="6935" max="6935" width="13.88671875" style="10" customWidth="1"/>
    <col min="6936" max="6936" width="10.6640625" style="10" customWidth="1"/>
    <col min="6937" max="6937" width="17.33203125" style="10" customWidth="1"/>
    <col min="6938" max="6939" width="12.6640625" style="10" customWidth="1"/>
    <col min="6940" max="6940" width="11.21875" style="10" customWidth="1"/>
    <col min="6941" max="6941" width="18.33203125" style="10" customWidth="1"/>
    <col min="6942" max="6942" width="12.88671875" style="10" customWidth="1"/>
    <col min="6943" max="6944" width="13.21875" style="10" customWidth="1"/>
    <col min="6945" max="6945" width="10.88671875" style="10" customWidth="1"/>
    <col min="6946" max="6946" width="11.109375" style="10" customWidth="1"/>
    <col min="6947" max="6947" width="15.21875" style="10" customWidth="1"/>
    <col min="6948" max="6948" width="9.6640625" style="10"/>
    <col min="6949" max="6949" width="11" style="10" customWidth="1"/>
    <col min="6950" max="6950" width="10.77734375" style="10" customWidth="1"/>
    <col min="6951" max="6951" width="11.44140625" style="10" customWidth="1"/>
    <col min="6952" max="6952" width="4" style="10" customWidth="1"/>
    <col min="6953" max="7143" width="9.6640625" style="10"/>
    <col min="7144" max="7144" width="6.44140625" style="10" customWidth="1"/>
    <col min="7145" max="7145" width="13.88671875" style="10" customWidth="1"/>
    <col min="7146" max="7146" width="14.33203125" style="10" customWidth="1"/>
    <col min="7147" max="7163" width="9.6640625" style="10"/>
    <col min="7164" max="7164" width="12" style="10" customWidth="1"/>
    <col min="7165" max="7165" width="12.77734375" style="10" customWidth="1"/>
    <col min="7166" max="7166" width="11.109375" style="10" customWidth="1"/>
    <col min="7167" max="7167" width="12" style="10" customWidth="1"/>
    <col min="7168" max="7168" width="9.6640625" style="10"/>
    <col min="7169" max="7169" width="15.33203125" style="10" customWidth="1"/>
    <col min="7170" max="7170" width="15.21875" style="10" customWidth="1"/>
    <col min="7171" max="7171" width="21.44140625" style="10" customWidth="1"/>
    <col min="7172" max="7187" width="9.6640625" style="10"/>
    <col min="7188" max="7189" width="13.44140625" style="10" customWidth="1"/>
    <col min="7190" max="7190" width="9.6640625" style="10"/>
    <col min="7191" max="7191" width="13.88671875" style="10" customWidth="1"/>
    <col min="7192" max="7192" width="10.6640625" style="10" customWidth="1"/>
    <col min="7193" max="7193" width="17.33203125" style="10" customWidth="1"/>
    <col min="7194" max="7195" width="12.6640625" style="10" customWidth="1"/>
    <col min="7196" max="7196" width="11.21875" style="10" customWidth="1"/>
    <col min="7197" max="7197" width="18.33203125" style="10" customWidth="1"/>
    <col min="7198" max="7198" width="12.88671875" style="10" customWidth="1"/>
    <col min="7199" max="7200" width="13.21875" style="10" customWidth="1"/>
    <col min="7201" max="7201" width="10.88671875" style="10" customWidth="1"/>
    <col min="7202" max="7202" width="11.109375" style="10" customWidth="1"/>
    <col min="7203" max="7203" width="15.21875" style="10" customWidth="1"/>
    <col min="7204" max="7204" width="9.6640625" style="10"/>
    <col min="7205" max="7205" width="11" style="10" customWidth="1"/>
    <col min="7206" max="7206" width="10.77734375" style="10" customWidth="1"/>
    <col min="7207" max="7207" width="11.44140625" style="10" customWidth="1"/>
    <col min="7208" max="7208" width="4" style="10" customWidth="1"/>
    <col min="7209" max="7399" width="9.6640625" style="10"/>
    <col min="7400" max="7400" width="6.44140625" style="10" customWidth="1"/>
    <col min="7401" max="7401" width="13.88671875" style="10" customWidth="1"/>
    <col min="7402" max="7402" width="14.33203125" style="10" customWidth="1"/>
    <col min="7403" max="7419" width="9.6640625" style="10"/>
    <col min="7420" max="7420" width="12" style="10" customWidth="1"/>
    <col min="7421" max="7421" width="12.77734375" style="10" customWidth="1"/>
    <col min="7422" max="7422" width="11.109375" style="10" customWidth="1"/>
    <col min="7423" max="7423" width="12" style="10" customWidth="1"/>
    <col min="7424" max="7424" width="9.6640625" style="10"/>
    <col min="7425" max="7425" width="15.33203125" style="10" customWidth="1"/>
    <col min="7426" max="7426" width="15.21875" style="10" customWidth="1"/>
    <col min="7427" max="7427" width="21.44140625" style="10" customWidth="1"/>
    <col min="7428" max="7443" width="9.6640625" style="10"/>
    <col min="7444" max="7445" width="13.44140625" style="10" customWidth="1"/>
    <col min="7446" max="7446" width="9.6640625" style="10"/>
    <col min="7447" max="7447" width="13.88671875" style="10" customWidth="1"/>
    <col min="7448" max="7448" width="10.6640625" style="10" customWidth="1"/>
    <col min="7449" max="7449" width="17.33203125" style="10" customWidth="1"/>
    <col min="7450" max="7451" width="12.6640625" style="10" customWidth="1"/>
    <col min="7452" max="7452" width="11.21875" style="10" customWidth="1"/>
    <col min="7453" max="7453" width="18.33203125" style="10" customWidth="1"/>
    <col min="7454" max="7454" width="12.88671875" style="10" customWidth="1"/>
    <col min="7455" max="7456" width="13.21875" style="10" customWidth="1"/>
    <col min="7457" max="7457" width="10.88671875" style="10" customWidth="1"/>
    <col min="7458" max="7458" width="11.109375" style="10" customWidth="1"/>
    <col min="7459" max="7459" width="15.21875" style="10" customWidth="1"/>
    <col min="7460" max="7460" width="9.6640625" style="10"/>
    <col min="7461" max="7461" width="11" style="10" customWidth="1"/>
    <col min="7462" max="7462" width="10.77734375" style="10" customWidth="1"/>
    <col min="7463" max="7463" width="11.44140625" style="10" customWidth="1"/>
    <col min="7464" max="7464" width="4" style="10" customWidth="1"/>
    <col min="7465" max="7655" width="9.6640625" style="10"/>
    <col min="7656" max="7656" width="6.44140625" style="10" customWidth="1"/>
    <col min="7657" max="7657" width="13.88671875" style="10" customWidth="1"/>
    <col min="7658" max="7658" width="14.33203125" style="10" customWidth="1"/>
    <col min="7659" max="7675" width="9.6640625" style="10"/>
    <col min="7676" max="7676" width="12" style="10" customWidth="1"/>
    <col min="7677" max="7677" width="12.77734375" style="10" customWidth="1"/>
    <col min="7678" max="7678" width="11.109375" style="10" customWidth="1"/>
    <col min="7679" max="7679" width="12" style="10" customWidth="1"/>
    <col min="7680" max="7680" width="9.6640625" style="10"/>
    <col min="7681" max="7681" width="15.33203125" style="10" customWidth="1"/>
    <col min="7682" max="7682" width="15.21875" style="10" customWidth="1"/>
    <col min="7683" max="7683" width="21.44140625" style="10" customWidth="1"/>
    <col min="7684" max="7699" width="9.6640625" style="10"/>
    <col min="7700" max="7701" width="13.44140625" style="10" customWidth="1"/>
    <col min="7702" max="7702" width="9.6640625" style="10"/>
    <col min="7703" max="7703" width="13.88671875" style="10" customWidth="1"/>
    <col min="7704" max="7704" width="10.6640625" style="10" customWidth="1"/>
    <col min="7705" max="7705" width="17.33203125" style="10" customWidth="1"/>
    <col min="7706" max="7707" width="12.6640625" style="10" customWidth="1"/>
    <col min="7708" max="7708" width="11.21875" style="10" customWidth="1"/>
    <col min="7709" max="7709" width="18.33203125" style="10" customWidth="1"/>
    <col min="7710" max="7710" width="12.88671875" style="10" customWidth="1"/>
    <col min="7711" max="7712" width="13.21875" style="10" customWidth="1"/>
    <col min="7713" max="7713" width="10.88671875" style="10" customWidth="1"/>
    <col min="7714" max="7714" width="11.109375" style="10" customWidth="1"/>
    <col min="7715" max="7715" width="15.21875" style="10" customWidth="1"/>
    <col min="7716" max="7716" width="9.6640625" style="10"/>
    <col min="7717" max="7717" width="11" style="10" customWidth="1"/>
    <col min="7718" max="7718" width="10.77734375" style="10" customWidth="1"/>
    <col min="7719" max="7719" width="11.44140625" style="10" customWidth="1"/>
    <col min="7720" max="7720" width="4" style="10" customWidth="1"/>
    <col min="7721" max="7911" width="9.6640625" style="10"/>
    <col min="7912" max="7912" width="6.44140625" style="10" customWidth="1"/>
    <col min="7913" max="7913" width="13.88671875" style="10" customWidth="1"/>
    <col min="7914" max="7914" width="14.33203125" style="10" customWidth="1"/>
    <col min="7915" max="7931" width="9.6640625" style="10"/>
    <col min="7932" max="7932" width="12" style="10" customWidth="1"/>
    <col min="7933" max="7933" width="12.77734375" style="10" customWidth="1"/>
    <col min="7934" max="7934" width="11.109375" style="10" customWidth="1"/>
    <col min="7935" max="7935" width="12" style="10" customWidth="1"/>
    <col min="7936" max="7936" width="9.6640625" style="10"/>
    <col min="7937" max="7937" width="15.33203125" style="10" customWidth="1"/>
    <col min="7938" max="7938" width="15.21875" style="10" customWidth="1"/>
    <col min="7939" max="7939" width="21.44140625" style="10" customWidth="1"/>
    <col min="7940" max="7955" width="9.6640625" style="10"/>
    <col min="7956" max="7957" width="13.44140625" style="10" customWidth="1"/>
    <col min="7958" max="7958" width="9.6640625" style="10"/>
    <col min="7959" max="7959" width="13.88671875" style="10" customWidth="1"/>
    <col min="7960" max="7960" width="10.6640625" style="10" customWidth="1"/>
    <col min="7961" max="7961" width="17.33203125" style="10" customWidth="1"/>
    <col min="7962" max="7963" width="12.6640625" style="10" customWidth="1"/>
    <col min="7964" max="7964" width="11.21875" style="10" customWidth="1"/>
    <col min="7965" max="7965" width="18.33203125" style="10" customWidth="1"/>
    <col min="7966" max="7966" width="12.88671875" style="10" customWidth="1"/>
    <col min="7967" max="7968" width="13.21875" style="10" customWidth="1"/>
    <col min="7969" max="7969" width="10.88671875" style="10" customWidth="1"/>
    <col min="7970" max="7970" width="11.109375" style="10" customWidth="1"/>
    <col min="7971" max="7971" width="15.21875" style="10" customWidth="1"/>
    <col min="7972" max="7972" width="9.6640625" style="10"/>
    <col min="7973" max="7973" width="11" style="10" customWidth="1"/>
    <col min="7974" max="7974" width="10.77734375" style="10" customWidth="1"/>
    <col min="7975" max="7975" width="11.44140625" style="10" customWidth="1"/>
    <col min="7976" max="7976" width="4" style="10" customWidth="1"/>
    <col min="7977" max="8167" width="9.6640625" style="10"/>
    <col min="8168" max="8168" width="6.44140625" style="10" customWidth="1"/>
    <col min="8169" max="8169" width="13.88671875" style="10" customWidth="1"/>
    <col min="8170" max="8170" width="14.33203125" style="10" customWidth="1"/>
    <col min="8171" max="8187" width="9.6640625" style="10"/>
    <col min="8188" max="8188" width="12" style="10" customWidth="1"/>
    <col min="8189" max="8189" width="12.77734375" style="10" customWidth="1"/>
    <col min="8190" max="8190" width="11.109375" style="10" customWidth="1"/>
    <col min="8191" max="8191" width="12" style="10" customWidth="1"/>
    <col min="8192" max="8192" width="9.6640625" style="10"/>
    <col min="8193" max="8193" width="15.33203125" style="10" customWidth="1"/>
    <col min="8194" max="8194" width="15.21875" style="10" customWidth="1"/>
    <col min="8195" max="8195" width="21.44140625" style="10" customWidth="1"/>
    <col min="8196" max="8211" width="9.6640625" style="10"/>
    <col min="8212" max="8213" width="13.44140625" style="10" customWidth="1"/>
    <col min="8214" max="8214" width="9.6640625" style="10"/>
    <col min="8215" max="8215" width="13.88671875" style="10" customWidth="1"/>
    <col min="8216" max="8216" width="10.6640625" style="10" customWidth="1"/>
    <col min="8217" max="8217" width="17.33203125" style="10" customWidth="1"/>
    <col min="8218" max="8219" width="12.6640625" style="10" customWidth="1"/>
    <col min="8220" max="8220" width="11.21875" style="10" customWidth="1"/>
    <col min="8221" max="8221" width="18.33203125" style="10" customWidth="1"/>
    <col min="8222" max="8222" width="12.88671875" style="10" customWidth="1"/>
    <col min="8223" max="8224" width="13.21875" style="10" customWidth="1"/>
    <col min="8225" max="8225" width="10.88671875" style="10" customWidth="1"/>
    <col min="8226" max="8226" width="11.109375" style="10" customWidth="1"/>
    <col min="8227" max="8227" width="15.21875" style="10" customWidth="1"/>
    <col min="8228" max="8228" width="9.6640625" style="10"/>
    <col min="8229" max="8229" width="11" style="10" customWidth="1"/>
    <col min="8230" max="8230" width="10.77734375" style="10" customWidth="1"/>
    <col min="8231" max="8231" width="11.44140625" style="10" customWidth="1"/>
    <col min="8232" max="8232" width="4" style="10" customWidth="1"/>
    <col min="8233" max="8423" width="9.6640625" style="10"/>
    <col min="8424" max="8424" width="6.44140625" style="10" customWidth="1"/>
    <col min="8425" max="8425" width="13.88671875" style="10" customWidth="1"/>
    <col min="8426" max="8426" width="14.33203125" style="10" customWidth="1"/>
    <col min="8427" max="8443" width="9.6640625" style="10"/>
    <col min="8444" max="8444" width="12" style="10" customWidth="1"/>
    <col min="8445" max="8445" width="12.77734375" style="10" customWidth="1"/>
    <col min="8446" max="8446" width="11.109375" style="10" customWidth="1"/>
    <col min="8447" max="8447" width="12" style="10" customWidth="1"/>
    <col min="8448" max="8448" width="9.6640625" style="10"/>
    <col min="8449" max="8449" width="15.33203125" style="10" customWidth="1"/>
    <col min="8450" max="8450" width="15.21875" style="10" customWidth="1"/>
    <col min="8451" max="8451" width="21.44140625" style="10" customWidth="1"/>
    <col min="8452" max="8467" width="9.6640625" style="10"/>
    <col min="8468" max="8469" width="13.44140625" style="10" customWidth="1"/>
    <col min="8470" max="8470" width="9.6640625" style="10"/>
    <col min="8471" max="8471" width="13.88671875" style="10" customWidth="1"/>
    <col min="8472" max="8472" width="10.6640625" style="10" customWidth="1"/>
    <col min="8473" max="8473" width="17.33203125" style="10" customWidth="1"/>
    <col min="8474" max="8475" width="12.6640625" style="10" customWidth="1"/>
    <col min="8476" max="8476" width="11.21875" style="10" customWidth="1"/>
    <col min="8477" max="8477" width="18.33203125" style="10" customWidth="1"/>
    <col min="8478" max="8478" width="12.88671875" style="10" customWidth="1"/>
    <col min="8479" max="8480" width="13.21875" style="10" customWidth="1"/>
    <col min="8481" max="8481" width="10.88671875" style="10" customWidth="1"/>
    <col min="8482" max="8482" width="11.109375" style="10" customWidth="1"/>
    <col min="8483" max="8483" width="15.21875" style="10" customWidth="1"/>
    <col min="8484" max="8484" width="9.6640625" style="10"/>
    <col min="8485" max="8485" width="11" style="10" customWidth="1"/>
    <col min="8486" max="8486" width="10.77734375" style="10" customWidth="1"/>
    <col min="8487" max="8487" width="11.44140625" style="10" customWidth="1"/>
    <col min="8488" max="8488" width="4" style="10" customWidth="1"/>
    <col min="8489" max="8679" width="9.6640625" style="10"/>
    <col min="8680" max="8680" width="6.44140625" style="10" customWidth="1"/>
    <col min="8681" max="8681" width="13.88671875" style="10" customWidth="1"/>
    <col min="8682" max="8682" width="14.33203125" style="10" customWidth="1"/>
    <col min="8683" max="8699" width="9.6640625" style="10"/>
    <col min="8700" max="8700" width="12" style="10" customWidth="1"/>
    <col min="8701" max="8701" width="12.77734375" style="10" customWidth="1"/>
    <col min="8702" max="8702" width="11.109375" style="10" customWidth="1"/>
    <col min="8703" max="8703" width="12" style="10" customWidth="1"/>
    <col min="8704" max="8704" width="9.6640625" style="10"/>
    <col min="8705" max="8705" width="15.33203125" style="10" customWidth="1"/>
    <col min="8706" max="8706" width="15.21875" style="10" customWidth="1"/>
    <col min="8707" max="8707" width="21.44140625" style="10" customWidth="1"/>
    <col min="8708" max="8723" width="9.6640625" style="10"/>
    <col min="8724" max="8725" width="13.44140625" style="10" customWidth="1"/>
    <col min="8726" max="8726" width="9.6640625" style="10"/>
    <col min="8727" max="8727" width="13.88671875" style="10" customWidth="1"/>
    <col min="8728" max="8728" width="10.6640625" style="10" customWidth="1"/>
    <col min="8729" max="8729" width="17.33203125" style="10" customWidth="1"/>
    <col min="8730" max="8731" width="12.6640625" style="10" customWidth="1"/>
    <col min="8732" max="8732" width="11.21875" style="10" customWidth="1"/>
    <col min="8733" max="8733" width="18.33203125" style="10" customWidth="1"/>
    <col min="8734" max="8734" width="12.88671875" style="10" customWidth="1"/>
    <col min="8735" max="8736" width="13.21875" style="10" customWidth="1"/>
    <col min="8737" max="8737" width="10.88671875" style="10" customWidth="1"/>
    <col min="8738" max="8738" width="11.109375" style="10" customWidth="1"/>
    <col min="8739" max="8739" width="15.21875" style="10" customWidth="1"/>
    <col min="8740" max="8740" width="9.6640625" style="10"/>
    <col min="8741" max="8741" width="11" style="10" customWidth="1"/>
    <col min="8742" max="8742" width="10.77734375" style="10" customWidth="1"/>
    <col min="8743" max="8743" width="11.44140625" style="10" customWidth="1"/>
    <col min="8744" max="8744" width="4" style="10" customWidth="1"/>
    <col min="8745" max="8935" width="9.6640625" style="10"/>
    <col min="8936" max="8936" width="6.44140625" style="10" customWidth="1"/>
    <col min="8937" max="8937" width="13.88671875" style="10" customWidth="1"/>
    <col min="8938" max="8938" width="14.33203125" style="10" customWidth="1"/>
    <col min="8939" max="8955" width="9.6640625" style="10"/>
    <col min="8956" max="8956" width="12" style="10" customWidth="1"/>
    <col min="8957" max="8957" width="12.77734375" style="10" customWidth="1"/>
    <col min="8958" max="8958" width="11.109375" style="10" customWidth="1"/>
    <col min="8959" max="8959" width="12" style="10" customWidth="1"/>
    <col min="8960" max="8960" width="9.6640625" style="10"/>
    <col min="8961" max="8961" width="15.33203125" style="10" customWidth="1"/>
    <col min="8962" max="8962" width="15.21875" style="10" customWidth="1"/>
    <col min="8963" max="8963" width="21.44140625" style="10" customWidth="1"/>
    <col min="8964" max="8979" width="9.6640625" style="10"/>
    <col min="8980" max="8981" width="13.44140625" style="10" customWidth="1"/>
    <col min="8982" max="8982" width="9.6640625" style="10"/>
    <col min="8983" max="8983" width="13.88671875" style="10" customWidth="1"/>
    <col min="8984" max="8984" width="10.6640625" style="10" customWidth="1"/>
    <col min="8985" max="8985" width="17.33203125" style="10" customWidth="1"/>
    <col min="8986" max="8987" width="12.6640625" style="10" customWidth="1"/>
    <col min="8988" max="8988" width="11.21875" style="10" customWidth="1"/>
    <col min="8989" max="8989" width="18.33203125" style="10" customWidth="1"/>
    <col min="8990" max="8990" width="12.88671875" style="10" customWidth="1"/>
    <col min="8991" max="8992" width="13.21875" style="10" customWidth="1"/>
    <col min="8993" max="8993" width="10.88671875" style="10" customWidth="1"/>
    <col min="8994" max="8994" width="11.109375" style="10" customWidth="1"/>
    <col min="8995" max="8995" width="15.21875" style="10" customWidth="1"/>
    <col min="8996" max="8996" width="9.6640625" style="10"/>
    <col min="8997" max="8997" width="11" style="10" customWidth="1"/>
    <col min="8998" max="8998" width="10.77734375" style="10" customWidth="1"/>
    <col min="8999" max="8999" width="11.44140625" style="10" customWidth="1"/>
    <col min="9000" max="9000" width="4" style="10" customWidth="1"/>
    <col min="9001" max="9191" width="9.6640625" style="10"/>
    <col min="9192" max="9192" width="6.44140625" style="10" customWidth="1"/>
    <col min="9193" max="9193" width="13.88671875" style="10" customWidth="1"/>
    <col min="9194" max="9194" width="14.33203125" style="10" customWidth="1"/>
    <col min="9195" max="9211" width="9.6640625" style="10"/>
    <col min="9212" max="9212" width="12" style="10" customWidth="1"/>
    <col min="9213" max="9213" width="12.77734375" style="10" customWidth="1"/>
    <col min="9214" max="9214" width="11.109375" style="10" customWidth="1"/>
    <col min="9215" max="9215" width="12" style="10" customWidth="1"/>
    <col min="9216" max="9216" width="9.6640625" style="10"/>
    <col min="9217" max="9217" width="15.33203125" style="10" customWidth="1"/>
    <col min="9218" max="9218" width="15.21875" style="10" customWidth="1"/>
    <col min="9219" max="9219" width="21.44140625" style="10" customWidth="1"/>
    <col min="9220" max="9235" width="9.6640625" style="10"/>
    <col min="9236" max="9237" width="13.44140625" style="10" customWidth="1"/>
    <col min="9238" max="9238" width="9.6640625" style="10"/>
    <col min="9239" max="9239" width="13.88671875" style="10" customWidth="1"/>
    <col min="9240" max="9240" width="10.6640625" style="10" customWidth="1"/>
    <col min="9241" max="9241" width="17.33203125" style="10" customWidth="1"/>
    <col min="9242" max="9243" width="12.6640625" style="10" customWidth="1"/>
    <col min="9244" max="9244" width="11.21875" style="10" customWidth="1"/>
    <col min="9245" max="9245" width="18.33203125" style="10" customWidth="1"/>
    <col min="9246" max="9246" width="12.88671875" style="10" customWidth="1"/>
    <col min="9247" max="9248" width="13.21875" style="10" customWidth="1"/>
    <col min="9249" max="9249" width="10.88671875" style="10" customWidth="1"/>
    <col min="9250" max="9250" width="11.109375" style="10" customWidth="1"/>
    <col min="9251" max="9251" width="15.21875" style="10" customWidth="1"/>
    <col min="9252" max="9252" width="9.6640625" style="10"/>
    <col min="9253" max="9253" width="11" style="10" customWidth="1"/>
    <col min="9254" max="9254" width="10.77734375" style="10" customWidth="1"/>
    <col min="9255" max="9255" width="11.44140625" style="10" customWidth="1"/>
    <col min="9256" max="9256" width="4" style="10" customWidth="1"/>
    <col min="9257" max="9447" width="9.6640625" style="10"/>
    <col min="9448" max="9448" width="6.44140625" style="10" customWidth="1"/>
    <col min="9449" max="9449" width="13.88671875" style="10" customWidth="1"/>
    <col min="9450" max="9450" width="14.33203125" style="10" customWidth="1"/>
    <col min="9451" max="9467" width="9.6640625" style="10"/>
    <col min="9468" max="9468" width="12" style="10" customWidth="1"/>
    <col min="9469" max="9469" width="12.77734375" style="10" customWidth="1"/>
    <col min="9470" max="9470" width="11.109375" style="10" customWidth="1"/>
    <col min="9471" max="9471" width="12" style="10" customWidth="1"/>
    <col min="9472" max="9472" width="9.6640625" style="10"/>
    <col min="9473" max="9473" width="15.33203125" style="10" customWidth="1"/>
    <col min="9474" max="9474" width="15.21875" style="10" customWidth="1"/>
    <col min="9475" max="9475" width="21.44140625" style="10" customWidth="1"/>
    <col min="9476" max="9491" width="9.6640625" style="10"/>
    <col min="9492" max="9493" width="13.44140625" style="10" customWidth="1"/>
    <col min="9494" max="9494" width="9.6640625" style="10"/>
    <col min="9495" max="9495" width="13.88671875" style="10" customWidth="1"/>
    <col min="9496" max="9496" width="10.6640625" style="10" customWidth="1"/>
    <col min="9497" max="9497" width="17.33203125" style="10" customWidth="1"/>
    <col min="9498" max="9499" width="12.6640625" style="10" customWidth="1"/>
    <col min="9500" max="9500" width="11.21875" style="10" customWidth="1"/>
    <col min="9501" max="9501" width="18.33203125" style="10" customWidth="1"/>
    <col min="9502" max="9502" width="12.88671875" style="10" customWidth="1"/>
    <col min="9503" max="9504" width="13.21875" style="10" customWidth="1"/>
    <col min="9505" max="9505" width="10.88671875" style="10" customWidth="1"/>
    <col min="9506" max="9506" width="11.109375" style="10" customWidth="1"/>
    <col min="9507" max="9507" width="15.21875" style="10" customWidth="1"/>
    <col min="9508" max="9508" width="9.6640625" style="10"/>
    <col min="9509" max="9509" width="11" style="10" customWidth="1"/>
    <col min="9510" max="9510" width="10.77734375" style="10" customWidth="1"/>
    <col min="9511" max="9511" width="11.44140625" style="10" customWidth="1"/>
    <col min="9512" max="9512" width="4" style="10" customWidth="1"/>
    <col min="9513" max="9703" width="9.6640625" style="10"/>
    <col min="9704" max="9704" width="6.44140625" style="10" customWidth="1"/>
    <col min="9705" max="9705" width="13.88671875" style="10" customWidth="1"/>
    <col min="9706" max="9706" width="14.33203125" style="10" customWidth="1"/>
    <col min="9707" max="9723" width="9.6640625" style="10"/>
    <col min="9724" max="9724" width="12" style="10" customWidth="1"/>
    <col min="9725" max="9725" width="12.77734375" style="10" customWidth="1"/>
    <col min="9726" max="9726" width="11.109375" style="10" customWidth="1"/>
    <col min="9727" max="9727" width="12" style="10" customWidth="1"/>
    <col min="9728" max="9728" width="9.6640625" style="10"/>
    <col min="9729" max="9729" width="15.33203125" style="10" customWidth="1"/>
    <col min="9730" max="9730" width="15.21875" style="10" customWidth="1"/>
    <col min="9731" max="9731" width="21.44140625" style="10" customWidth="1"/>
    <col min="9732" max="9747" width="9.6640625" style="10"/>
    <col min="9748" max="9749" width="13.44140625" style="10" customWidth="1"/>
    <col min="9750" max="9750" width="9.6640625" style="10"/>
    <col min="9751" max="9751" width="13.88671875" style="10" customWidth="1"/>
    <col min="9752" max="9752" width="10.6640625" style="10" customWidth="1"/>
    <col min="9753" max="9753" width="17.33203125" style="10" customWidth="1"/>
    <col min="9754" max="9755" width="12.6640625" style="10" customWidth="1"/>
    <col min="9756" max="9756" width="11.21875" style="10" customWidth="1"/>
    <col min="9757" max="9757" width="18.33203125" style="10" customWidth="1"/>
    <col min="9758" max="9758" width="12.88671875" style="10" customWidth="1"/>
    <col min="9759" max="9760" width="13.21875" style="10" customWidth="1"/>
    <col min="9761" max="9761" width="10.88671875" style="10" customWidth="1"/>
    <col min="9762" max="9762" width="11.109375" style="10" customWidth="1"/>
    <col min="9763" max="9763" width="15.21875" style="10" customWidth="1"/>
    <col min="9764" max="9764" width="9.6640625" style="10"/>
    <col min="9765" max="9765" width="11" style="10" customWidth="1"/>
    <col min="9766" max="9766" width="10.77734375" style="10" customWidth="1"/>
    <col min="9767" max="9767" width="11.44140625" style="10" customWidth="1"/>
    <col min="9768" max="9768" width="4" style="10" customWidth="1"/>
    <col min="9769" max="9959" width="9.6640625" style="10"/>
    <col min="9960" max="9960" width="6.44140625" style="10" customWidth="1"/>
    <col min="9961" max="9961" width="13.88671875" style="10" customWidth="1"/>
    <col min="9962" max="9962" width="14.33203125" style="10" customWidth="1"/>
    <col min="9963" max="9979" width="9.6640625" style="10"/>
    <col min="9980" max="9980" width="12" style="10" customWidth="1"/>
    <col min="9981" max="9981" width="12.77734375" style="10" customWidth="1"/>
    <col min="9982" max="9982" width="11.109375" style="10" customWidth="1"/>
    <col min="9983" max="9983" width="12" style="10" customWidth="1"/>
    <col min="9984" max="9984" width="9.6640625" style="10"/>
    <col min="9985" max="9985" width="15.33203125" style="10" customWidth="1"/>
    <col min="9986" max="9986" width="15.21875" style="10" customWidth="1"/>
    <col min="9987" max="9987" width="21.44140625" style="10" customWidth="1"/>
    <col min="9988" max="10003" width="9.6640625" style="10"/>
    <col min="10004" max="10005" width="13.44140625" style="10" customWidth="1"/>
    <col min="10006" max="10006" width="9.6640625" style="10"/>
    <col min="10007" max="10007" width="13.88671875" style="10" customWidth="1"/>
    <col min="10008" max="10008" width="10.6640625" style="10" customWidth="1"/>
    <col min="10009" max="10009" width="17.33203125" style="10" customWidth="1"/>
    <col min="10010" max="10011" width="12.6640625" style="10" customWidth="1"/>
    <col min="10012" max="10012" width="11.21875" style="10" customWidth="1"/>
    <col min="10013" max="10013" width="18.33203125" style="10" customWidth="1"/>
    <col min="10014" max="10014" width="12.88671875" style="10" customWidth="1"/>
    <col min="10015" max="10016" width="13.21875" style="10" customWidth="1"/>
    <col min="10017" max="10017" width="10.88671875" style="10" customWidth="1"/>
    <col min="10018" max="10018" width="11.109375" style="10" customWidth="1"/>
    <col min="10019" max="10019" width="15.21875" style="10" customWidth="1"/>
    <col min="10020" max="10020" width="9.6640625" style="10"/>
    <col min="10021" max="10021" width="11" style="10" customWidth="1"/>
    <col min="10022" max="10022" width="10.77734375" style="10" customWidth="1"/>
    <col min="10023" max="10023" width="11.44140625" style="10" customWidth="1"/>
    <col min="10024" max="10024" width="4" style="10" customWidth="1"/>
    <col min="10025" max="10215" width="9.6640625" style="10"/>
    <col min="10216" max="10216" width="6.44140625" style="10" customWidth="1"/>
    <col min="10217" max="10217" width="13.88671875" style="10" customWidth="1"/>
    <col min="10218" max="10218" width="14.33203125" style="10" customWidth="1"/>
    <col min="10219" max="10235" width="9.6640625" style="10"/>
    <col min="10236" max="10236" width="12" style="10" customWidth="1"/>
    <col min="10237" max="10237" width="12.77734375" style="10" customWidth="1"/>
    <col min="10238" max="10238" width="11.109375" style="10" customWidth="1"/>
    <col min="10239" max="10239" width="12" style="10" customWidth="1"/>
    <col min="10240" max="10240" width="9.6640625" style="10"/>
    <col min="10241" max="10241" width="15.33203125" style="10" customWidth="1"/>
    <col min="10242" max="10242" width="15.21875" style="10" customWidth="1"/>
    <col min="10243" max="10243" width="21.44140625" style="10" customWidth="1"/>
    <col min="10244" max="10259" width="9.6640625" style="10"/>
    <col min="10260" max="10261" width="13.44140625" style="10" customWidth="1"/>
    <col min="10262" max="10262" width="9.6640625" style="10"/>
    <col min="10263" max="10263" width="13.88671875" style="10" customWidth="1"/>
    <col min="10264" max="10264" width="10.6640625" style="10" customWidth="1"/>
    <col min="10265" max="10265" width="17.33203125" style="10" customWidth="1"/>
    <col min="10266" max="10267" width="12.6640625" style="10" customWidth="1"/>
    <col min="10268" max="10268" width="11.21875" style="10" customWidth="1"/>
    <col min="10269" max="10269" width="18.33203125" style="10" customWidth="1"/>
    <col min="10270" max="10270" width="12.88671875" style="10" customWidth="1"/>
    <col min="10271" max="10272" width="13.21875" style="10" customWidth="1"/>
    <col min="10273" max="10273" width="10.88671875" style="10" customWidth="1"/>
    <col min="10274" max="10274" width="11.109375" style="10" customWidth="1"/>
    <col min="10275" max="10275" width="15.21875" style="10" customWidth="1"/>
    <col min="10276" max="10276" width="9.6640625" style="10"/>
    <col min="10277" max="10277" width="11" style="10" customWidth="1"/>
    <col min="10278" max="10278" width="10.77734375" style="10" customWidth="1"/>
    <col min="10279" max="10279" width="11.44140625" style="10" customWidth="1"/>
    <col min="10280" max="10280" width="4" style="10" customWidth="1"/>
    <col min="10281" max="10471" width="9.6640625" style="10"/>
    <col min="10472" max="10472" width="6.44140625" style="10" customWidth="1"/>
    <col min="10473" max="10473" width="13.88671875" style="10" customWidth="1"/>
    <col min="10474" max="10474" width="14.33203125" style="10" customWidth="1"/>
    <col min="10475" max="10491" width="9.6640625" style="10"/>
    <col min="10492" max="10492" width="12" style="10" customWidth="1"/>
    <col min="10493" max="10493" width="12.77734375" style="10" customWidth="1"/>
    <col min="10494" max="10494" width="11.109375" style="10" customWidth="1"/>
    <col min="10495" max="10495" width="12" style="10" customWidth="1"/>
    <col min="10496" max="10496" width="9.6640625" style="10"/>
    <col min="10497" max="10497" width="15.33203125" style="10" customWidth="1"/>
    <col min="10498" max="10498" width="15.21875" style="10" customWidth="1"/>
    <col min="10499" max="10499" width="21.44140625" style="10" customWidth="1"/>
    <col min="10500" max="10515" width="9.6640625" style="10"/>
    <col min="10516" max="10517" width="13.44140625" style="10" customWidth="1"/>
    <col min="10518" max="10518" width="9.6640625" style="10"/>
    <col min="10519" max="10519" width="13.88671875" style="10" customWidth="1"/>
    <col min="10520" max="10520" width="10.6640625" style="10" customWidth="1"/>
    <col min="10521" max="10521" width="17.33203125" style="10" customWidth="1"/>
    <col min="10522" max="10523" width="12.6640625" style="10" customWidth="1"/>
    <col min="10524" max="10524" width="11.21875" style="10" customWidth="1"/>
    <col min="10525" max="10525" width="18.33203125" style="10" customWidth="1"/>
    <col min="10526" max="10526" width="12.88671875" style="10" customWidth="1"/>
    <col min="10527" max="10528" width="13.21875" style="10" customWidth="1"/>
    <col min="10529" max="10529" width="10.88671875" style="10" customWidth="1"/>
    <col min="10530" max="10530" width="11.109375" style="10" customWidth="1"/>
    <col min="10531" max="10531" width="15.21875" style="10" customWidth="1"/>
    <col min="10532" max="10532" width="9.6640625" style="10"/>
    <col min="10533" max="10533" width="11" style="10" customWidth="1"/>
    <col min="10534" max="10534" width="10.77734375" style="10" customWidth="1"/>
    <col min="10535" max="10535" width="11.44140625" style="10" customWidth="1"/>
    <col min="10536" max="10536" width="4" style="10" customWidth="1"/>
    <col min="10537" max="10727" width="9.6640625" style="10"/>
    <col min="10728" max="10728" width="6.44140625" style="10" customWidth="1"/>
    <col min="10729" max="10729" width="13.88671875" style="10" customWidth="1"/>
    <col min="10730" max="10730" width="14.33203125" style="10" customWidth="1"/>
    <col min="10731" max="10747" width="9.6640625" style="10"/>
    <col min="10748" max="10748" width="12" style="10" customWidth="1"/>
    <col min="10749" max="10749" width="12.77734375" style="10" customWidth="1"/>
    <col min="10750" max="10750" width="11.109375" style="10" customWidth="1"/>
    <col min="10751" max="10751" width="12" style="10" customWidth="1"/>
    <col min="10752" max="10752" width="9.6640625" style="10"/>
    <col min="10753" max="10753" width="15.33203125" style="10" customWidth="1"/>
    <col min="10754" max="10754" width="15.21875" style="10" customWidth="1"/>
    <col min="10755" max="10755" width="21.44140625" style="10" customWidth="1"/>
    <col min="10756" max="10771" width="9.6640625" style="10"/>
    <col min="10772" max="10773" width="13.44140625" style="10" customWidth="1"/>
    <col min="10774" max="10774" width="9.6640625" style="10"/>
    <col min="10775" max="10775" width="13.88671875" style="10" customWidth="1"/>
    <col min="10776" max="10776" width="10.6640625" style="10" customWidth="1"/>
    <col min="10777" max="10777" width="17.33203125" style="10" customWidth="1"/>
    <col min="10778" max="10779" width="12.6640625" style="10" customWidth="1"/>
    <col min="10780" max="10780" width="11.21875" style="10" customWidth="1"/>
    <col min="10781" max="10781" width="18.33203125" style="10" customWidth="1"/>
    <col min="10782" max="10782" width="12.88671875" style="10" customWidth="1"/>
    <col min="10783" max="10784" width="13.21875" style="10" customWidth="1"/>
    <col min="10785" max="10785" width="10.88671875" style="10" customWidth="1"/>
    <col min="10786" max="10786" width="11.109375" style="10" customWidth="1"/>
    <col min="10787" max="10787" width="15.21875" style="10" customWidth="1"/>
    <col min="10788" max="10788" width="9.6640625" style="10"/>
    <col min="10789" max="10789" width="11" style="10" customWidth="1"/>
    <col min="10790" max="10790" width="10.77734375" style="10" customWidth="1"/>
    <col min="10791" max="10791" width="11.44140625" style="10" customWidth="1"/>
    <col min="10792" max="10792" width="4" style="10" customWidth="1"/>
    <col min="10793" max="10983" width="9.6640625" style="10"/>
    <col min="10984" max="10984" width="6.44140625" style="10" customWidth="1"/>
    <col min="10985" max="10985" width="13.88671875" style="10" customWidth="1"/>
    <col min="10986" max="10986" width="14.33203125" style="10" customWidth="1"/>
    <col min="10987" max="11003" width="9.6640625" style="10"/>
    <col min="11004" max="11004" width="12" style="10" customWidth="1"/>
    <col min="11005" max="11005" width="12.77734375" style="10" customWidth="1"/>
    <col min="11006" max="11006" width="11.109375" style="10" customWidth="1"/>
    <col min="11007" max="11007" width="12" style="10" customWidth="1"/>
    <col min="11008" max="11008" width="9.6640625" style="10"/>
    <col min="11009" max="11009" width="15.33203125" style="10" customWidth="1"/>
    <col min="11010" max="11010" width="15.21875" style="10" customWidth="1"/>
    <col min="11011" max="11011" width="21.44140625" style="10" customWidth="1"/>
    <col min="11012" max="11027" width="9.6640625" style="10"/>
    <col min="11028" max="11029" width="13.44140625" style="10" customWidth="1"/>
    <col min="11030" max="11030" width="9.6640625" style="10"/>
    <col min="11031" max="11031" width="13.88671875" style="10" customWidth="1"/>
    <col min="11032" max="11032" width="10.6640625" style="10" customWidth="1"/>
    <col min="11033" max="11033" width="17.33203125" style="10" customWidth="1"/>
    <col min="11034" max="11035" width="12.6640625" style="10" customWidth="1"/>
    <col min="11036" max="11036" width="11.21875" style="10" customWidth="1"/>
    <col min="11037" max="11037" width="18.33203125" style="10" customWidth="1"/>
    <col min="11038" max="11038" width="12.88671875" style="10" customWidth="1"/>
    <col min="11039" max="11040" width="13.21875" style="10" customWidth="1"/>
    <col min="11041" max="11041" width="10.88671875" style="10" customWidth="1"/>
    <col min="11042" max="11042" width="11.109375" style="10" customWidth="1"/>
    <col min="11043" max="11043" width="15.21875" style="10" customWidth="1"/>
    <col min="11044" max="11044" width="9.6640625" style="10"/>
    <col min="11045" max="11045" width="11" style="10" customWidth="1"/>
    <col min="11046" max="11046" width="10.77734375" style="10" customWidth="1"/>
    <col min="11047" max="11047" width="11.44140625" style="10" customWidth="1"/>
    <col min="11048" max="11048" width="4" style="10" customWidth="1"/>
    <col min="11049" max="11239" width="9.6640625" style="10"/>
    <col min="11240" max="11240" width="6.44140625" style="10" customWidth="1"/>
    <col min="11241" max="11241" width="13.88671875" style="10" customWidth="1"/>
    <col min="11242" max="11242" width="14.33203125" style="10" customWidth="1"/>
    <col min="11243" max="11259" width="9.6640625" style="10"/>
    <col min="11260" max="11260" width="12" style="10" customWidth="1"/>
    <col min="11261" max="11261" width="12.77734375" style="10" customWidth="1"/>
    <col min="11262" max="11262" width="11.109375" style="10" customWidth="1"/>
    <col min="11263" max="11263" width="12" style="10" customWidth="1"/>
    <col min="11264" max="11264" width="9.6640625" style="10"/>
    <col min="11265" max="11265" width="15.33203125" style="10" customWidth="1"/>
    <col min="11266" max="11266" width="15.21875" style="10" customWidth="1"/>
    <col min="11267" max="11267" width="21.44140625" style="10" customWidth="1"/>
    <col min="11268" max="11283" width="9.6640625" style="10"/>
    <col min="11284" max="11285" width="13.44140625" style="10" customWidth="1"/>
    <col min="11286" max="11286" width="9.6640625" style="10"/>
    <col min="11287" max="11287" width="13.88671875" style="10" customWidth="1"/>
    <col min="11288" max="11288" width="10.6640625" style="10" customWidth="1"/>
    <col min="11289" max="11289" width="17.33203125" style="10" customWidth="1"/>
    <col min="11290" max="11291" width="12.6640625" style="10" customWidth="1"/>
    <col min="11292" max="11292" width="11.21875" style="10" customWidth="1"/>
    <col min="11293" max="11293" width="18.33203125" style="10" customWidth="1"/>
    <col min="11294" max="11294" width="12.88671875" style="10" customWidth="1"/>
    <col min="11295" max="11296" width="13.21875" style="10" customWidth="1"/>
    <col min="11297" max="11297" width="10.88671875" style="10" customWidth="1"/>
    <col min="11298" max="11298" width="11.109375" style="10" customWidth="1"/>
    <col min="11299" max="11299" width="15.21875" style="10" customWidth="1"/>
    <col min="11300" max="11300" width="9.6640625" style="10"/>
    <col min="11301" max="11301" width="11" style="10" customWidth="1"/>
    <col min="11302" max="11302" width="10.77734375" style="10" customWidth="1"/>
    <col min="11303" max="11303" width="11.44140625" style="10" customWidth="1"/>
    <col min="11304" max="11304" width="4" style="10" customWidth="1"/>
    <col min="11305" max="11495" width="9.6640625" style="10"/>
    <col min="11496" max="11496" width="6.44140625" style="10" customWidth="1"/>
    <col min="11497" max="11497" width="13.88671875" style="10" customWidth="1"/>
    <col min="11498" max="11498" width="14.33203125" style="10" customWidth="1"/>
    <col min="11499" max="11515" width="9.6640625" style="10"/>
    <col min="11516" max="11516" width="12" style="10" customWidth="1"/>
    <col min="11517" max="11517" width="12.77734375" style="10" customWidth="1"/>
    <col min="11518" max="11518" width="11.109375" style="10" customWidth="1"/>
    <col min="11519" max="11519" width="12" style="10" customWidth="1"/>
    <col min="11520" max="11520" width="9.6640625" style="10"/>
    <col min="11521" max="11521" width="15.33203125" style="10" customWidth="1"/>
    <col min="11522" max="11522" width="15.21875" style="10" customWidth="1"/>
    <col min="11523" max="11523" width="21.44140625" style="10" customWidth="1"/>
    <col min="11524" max="11539" width="9.6640625" style="10"/>
    <col min="11540" max="11541" width="13.44140625" style="10" customWidth="1"/>
    <col min="11542" max="11542" width="9.6640625" style="10"/>
    <col min="11543" max="11543" width="13.88671875" style="10" customWidth="1"/>
    <col min="11544" max="11544" width="10.6640625" style="10" customWidth="1"/>
    <col min="11545" max="11545" width="17.33203125" style="10" customWidth="1"/>
    <col min="11546" max="11547" width="12.6640625" style="10" customWidth="1"/>
    <col min="11548" max="11548" width="11.21875" style="10" customWidth="1"/>
    <col min="11549" max="11549" width="18.33203125" style="10" customWidth="1"/>
    <col min="11550" max="11550" width="12.88671875" style="10" customWidth="1"/>
    <col min="11551" max="11552" width="13.21875" style="10" customWidth="1"/>
    <col min="11553" max="11553" width="10.88671875" style="10" customWidth="1"/>
    <col min="11554" max="11554" width="11.109375" style="10" customWidth="1"/>
    <col min="11555" max="11555" width="15.21875" style="10" customWidth="1"/>
    <col min="11556" max="11556" width="9.6640625" style="10"/>
    <col min="11557" max="11557" width="11" style="10" customWidth="1"/>
    <col min="11558" max="11558" width="10.77734375" style="10" customWidth="1"/>
    <col min="11559" max="11559" width="11.44140625" style="10" customWidth="1"/>
    <col min="11560" max="11560" width="4" style="10" customWidth="1"/>
    <col min="11561" max="11751" width="9.6640625" style="10"/>
    <col min="11752" max="11752" width="6.44140625" style="10" customWidth="1"/>
    <col min="11753" max="11753" width="13.88671875" style="10" customWidth="1"/>
    <col min="11754" max="11754" width="14.33203125" style="10" customWidth="1"/>
    <col min="11755" max="11771" width="9.6640625" style="10"/>
    <col min="11772" max="11772" width="12" style="10" customWidth="1"/>
    <col min="11773" max="11773" width="12.77734375" style="10" customWidth="1"/>
    <col min="11774" max="11774" width="11.109375" style="10" customWidth="1"/>
    <col min="11775" max="11775" width="12" style="10" customWidth="1"/>
    <col min="11776" max="11776" width="9.6640625" style="10"/>
    <col min="11777" max="11777" width="15.33203125" style="10" customWidth="1"/>
    <col min="11778" max="11778" width="15.21875" style="10" customWidth="1"/>
    <col min="11779" max="11779" width="21.44140625" style="10" customWidth="1"/>
    <col min="11780" max="11795" width="9.6640625" style="10"/>
    <col min="11796" max="11797" width="13.44140625" style="10" customWidth="1"/>
    <col min="11798" max="11798" width="9.6640625" style="10"/>
    <col min="11799" max="11799" width="13.88671875" style="10" customWidth="1"/>
    <col min="11800" max="11800" width="10.6640625" style="10" customWidth="1"/>
    <col min="11801" max="11801" width="17.33203125" style="10" customWidth="1"/>
    <col min="11802" max="11803" width="12.6640625" style="10" customWidth="1"/>
    <col min="11804" max="11804" width="11.21875" style="10" customWidth="1"/>
    <col min="11805" max="11805" width="18.33203125" style="10" customWidth="1"/>
    <col min="11806" max="11806" width="12.88671875" style="10" customWidth="1"/>
    <col min="11807" max="11808" width="13.21875" style="10" customWidth="1"/>
    <col min="11809" max="11809" width="10.88671875" style="10" customWidth="1"/>
    <col min="11810" max="11810" width="11.109375" style="10" customWidth="1"/>
    <col min="11811" max="11811" width="15.21875" style="10" customWidth="1"/>
    <col min="11812" max="11812" width="9.6640625" style="10"/>
    <col min="11813" max="11813" width="11" style="10" customWidth="1"/>
    <col min="11814" max="11814" width="10.77734375" style="10" customWidth="1"/>
    <col min="11815" max="11815" width="11.44140625" style="10" customWidth="1"/>
    <col min="11816" max="11816" width="4" style="10" customWidth="1"/>
    <col min="11817" max="12007" width="9.6640625" style="10"/>
    <col min="12008" max="12008" width="6.44140625" style="10" customWidth="1"/>
    <col min="12009" max="12009" width="13.88671875" style="10" customWidth="1"/>
    <col min="12010" max="12010" width="14.33203125" style="10" customWidth="1"/>
    <col min="12011" max="12027" width="9.6640625" style="10"/>
    <col min="12028" max="12028" width="12" style="10" customWidth="1"/>
    <col min="12029" max="12029" width="12.77734375" style="10" customWidth="1"/>
    <col min="12030" max="12030" width="11.109375" style="10" customWidth="1"/>
    <col min="12031" max="12031" width="12" style="10" customWidth="1"/>
    <col min="12032" max="12032" width="9.6640625" style="10"/>
    <col min="12033" max="12033" width="15.33203125" style="10" customWidth="1"/>
    <col min="12034" max="12034" width="15.21875" style="10" customWidth="1"/>
    <col min="12035" max="12035" width="21.44140625" style="10" customWidth="1"/>
    <col min="12036" max="12051" width="9.6640625" style="10"/>
    <col min="12052" max="12053" width="13.44140625" style="10" customWidth="1"/>
    <col min="12054" max="12054" width="9.6640625" style="10"/>
    <col min="12055" max="12055" width="13.88671875" style="10" customWidth="1"/>
    <col min="12056" max="12056" width="10.6640625" style="10" customWidth="1"/>
    <col min="12057" max="12057" width="17.33203125" style="10" customWidth="1"/>
    <col min="12058" max="12059" width="12.6640625" style="10" customWidth="1"/>
    <col min="12060" max="12060" width="11.21875" style="10" customWidth="1"/>
    <col min="12061" max="12061" width="18.33203125" style="10" customWidth="1"/>
    <col min="12062" max="12062" width="12.88671875" style="10" customWidth="1"/>
    <col min="12063" max="12064" width="13.21875" style="10" customWidth="1"/>
    <col min="12065" max="12065" width="10.88671875" style="10" customWidth="1"/>
    <col min="12066" max="12066" width="11.109375" style="10" customWidth="1"/>
    <col min="12067" max="12067" width="15.21875" style="10" customWidth="1"/>
    <col min="12068" max="12068" width="9.6640625" style="10"/>
    <col min="12069" max="12069" width="11" style="10" customWidth="1"/>
    <col min="12070" max="12070" width="10.77734375" style="10" customWidth="1"/>
    <col min="12071" max="12071" width="11.44140625" style="10" customWidth="1"/>
    <col min="12072" max="12072" width="4" style="10" customWidth="1"/>
    <col min="12073" max="12263" width="9.6640625" style="10"/>
    <col min="12264" max="12264" width="6.44140625" style="10" customWidth="1"/>
    <col min="12265" max="12265" width="13.88671875" style="10" customWidth="1"/>
    <col min="12266" max="12266" width="14.33203125" style="10" customWidth="1"/>
    <col min="12267" max="12283" width="9.6640625" style="10"/>
    <col min="12284" max="12284" width="12" style="10" customWidth="1"/>
    <col min="12285" max="12285" width="12.77734375" style="10" customWidth="1"/>
    <col min="12286" max="12286" width="11.109375" style="10" customWidth="1"/>
    <col min="12287" max="12287" width="12" style="10" customWidth="1"/>
    <col min="12288" max="12288" width="9.6640625" style="10"/>
    <col min="12289" max="12289" width="15.33203125" style="10" customWidth="1"/>
    <col min="12290" max="12290" width="15.21875" style="10" customWidth="1"/>
    <col min="12291" max="12291" width="21.44140625" style="10" customWidth="1"/>
    <col min="12292" max="12307" width="9.6640625" style="10"/>
    <col min="12308" max="12309" width="13.44140625" style="10" customWidth="1"/>
    <col min="12310" max="12310" width="9.6640625" style="10"/>
    <col min="12311" max="12311" width="13.88671875" style="10" customWidth="1"/>
    <col min="12312" max="12312" width="10.6640625" style="10" customWidth="1"/>
    <col min="12313" max="12313" width="17.33203125" style="10" customWidth="1"/>
    <col min="12314" max="12315" width="12.6640625" style="10" customWidth="1"/>
    <col min="12316" max="12316" width="11.21875" style="10" customWidth="1"/>
    <col min="12317" max="12317" width="18.33203125" style="10" customWidth="1"/>
    <col min="12318" max="12318" width="12.88671875" style="10" customWidth="1"/>
    <col min="12319" max="12320" width="13.21875" style="10" customWidth="1"/>
    <col min="12321" max="12321" width="10.88671875" style="10" customWidth="1"/>
    <col min="12322" max="12322" width="11.109375" style="10" customWidth="1"/>
    <col min="12323" max="12323" width="15.21875" style="10" customWidth="1"/>
    <col min="12324" max="12324" width="9.6640625" style="10"/>
    <col min="12325" max="12325" width="11" style="10" customWidth="1"/>
    <col min="12326" max="12326" width="10.77734375" style="10" customWidth="1"/>
    <col min="12327" max="12327" width="11.44140625" style="10" customWidth="1"/>
    <col min="12328" max="12328" width="4" style="10" customWidth="1"/>
    <col min="12329" max="12519" width="9.6640625" style="10"/>
    <col min="12520" max="12520" width="6.44140625" style="10" customWidth="1"/>
    <col min="12521" max="12521" width="13.88671875" style="10" customWidth="1"/>
    <col min="12522" max="12522" width="14.33203125" style="10" customWidth="1"/>
    <col min="12523" max="12539" width="9.6640625" style="10"/>
    <col min="12540" max="12540" width="12" style="10" customWidth="1"/>
    <col min="12541" max="12541" width="12.77734375" style="10" customWidth="1"/>
    <col min="12542" max="12542" width="11.109375" style="10" customWidth="1"/>
    <col min="12543" max="12543" width="12" style="10" customWidth="1"/>
    <col min="12544" max="12544" width="9.6640625" style="10"/>
    <col min="12545" max="12545" width="15.33203125" style="10" customWidth="1"/>
    <col min="12546" max="12546" width="15.21875" style="10" customWidth="1"/>
    <col min="12547" max="12547" width="21.44140625" style="10" customWidth="1"/>
    <col min="12548" max="12563" width="9.6640625" style="10"/>
    <col min="12564" max="12565" width="13.44140625" style="10" customWidth="1"/>
    <col min="12566" max="12566" width="9.6640625" style="10"/>
    <col min="12567" max="12567" width="13.88671875" style="10" customWidth="1"/>
    <col min="12568" max="12568" width="10.6640625" style="10" customWidth="1"/>
    <col min="12569" max="12569" width="17.33203125" style="10" customWidth="1"/>
    <col min="12570" max="12571" width="12.6640625" style="10" customWidth="1"/>
    <col min="12572" max="12572" width="11.21875" style="10" customWidth="1"/>
    <col min="12573" max="12573" width="18.33203125" style="10" customWidth="1"/>
    <col min="12574" max="12574" width="12.88671875" style="10" customWidth="1"/>
    <col min="12575" max="12576" width="13.21875" style="10" customWidth="1"/>
    <col min="12577" max="12577" width="10.88671875" style="10" customWidth="1"/>
    <col min="12578" max="12578" width="11.109375" style="10" customWidth="1"/>
    <col min="12579" max="12579" width="15.21875" style="10" customWidth="1"/>
    <col min="12580" max="12580" width="9.6640625" style="10"/>
    <col min="12581" max="12581" width="11" style="10" customWidth="1"/>
    <col min="12582" max="12582" width="10.77734375" style="10" customWidth="1"/>
    <col min="12583" max="12583" width="11.44140625" style="10" customWidth="1"/>
    <col min="12584" max="12584" width="4" style="10" customWidth="1"/>
    <col min="12585" max="12775" width="9.6640625" style="10"/>
    <col min="12776" max="12776" width="6.44140625" style="10" customWidth="1"/>
    <col min="12777" max="12777" width="13.88671875" style="10" customWidth="1"/>
    <col min="12778" max="12778" width="14.33203125" style="10" customWidth="1"/>
    <col min="12779" max="12795" width="9.6640625" style="10"/>
    <col min="12796" max="12796" width="12" style="10" customWidth="1"/>
    <col min="12797" max="12797" width="12.77734375" style="10" customWidth="1"/>
    <col min="12798" max="12798" width="11.109375" style="10" customWidth="1"/>
    <col min="12799" max="12799" width="12" style="10" customWidth="1"/>
    <col min="12800" max="12800" width="9.6640625" style="10"/>
    <col min="12801" max="12801" width="15.33203125" style="10" customWidth="1"/>
    <col min="12802" max="12802" width="15.21875" style="10" customWidth="1"/>
    <col min="12803" max="12803" width="21.44140625" style="10" customWidth="1"/>
    <col min="12804" max="12819" width="9.6640625" style="10"/>
    <col min="12820" max="12821" width="13.44140625" style="10" customWidth="1"/>
    <col min="12822" max="12822" width="9.6640625" style="10"/>
    <col min="12823" max="12823" width="13.88671875" style="10" customWidth="1"/>
    <col min="12824" max="12824" width="10.6640625" style="10" customWidth="1"/>
    <col min="12825" max="12825" width="17.33203125" style="10" customWidth="1"/>
    <col min="12826" max="12827" width="12.6640625" style="10" customWidth="1"/>
    <col min="12828" max="12828" width="11.21875" style="10" customWidth="1"/>
    <col min="12829" max="12829" width="18.33203125" style="10" customWidth="1"/>
    <col min="12830" max="12830" width="12.88671875" style="10" customWidth="1"/>
    <col min="12831" max="12832" width="13.21875" style="10" customWidth="1"/>
    <col min="12833" max="12833" width="10.88671875" style="10" customWidth="1"/>
    <col min="12834" max="12834" width="11.109375" style="10" customWidth="1"/>
    <col min="12835" max="12835" width="15.21875" style="10" customWidth="1"/>
    <col min="12836" max="12836" width="9.6640625" style="10"/>
    <col min="12837" max="12837" width="11" style="10" customWidth="1"/>
    <col min="12838" max="12838" width="10.77734375" style="10" customWidth="1"/>
    <col min="12839" max="12839" width="11.44140625" style="10" customWidth="1"/>
    <col min="12840" max="12840" width="4" style="10" customWidth="1"/>
    <col min="12841" max="13031" width="9.6640625" style="10"/>
    <col min="13032" max="13032" width="6.44140625" style="10" customWidth="1"/>
    <col min="13033" max="13033" width="13.88671875" style="10" customWidth="1"/>
    <col min="13034" max="13034" width="14.33203125" style="10" customWidth="1"/>
    <col min="13035" max="13051" width="9.6640625" style="10"/>
    <col min="13052" max="13052" width="12" style="10" customWidth="1"/>
    <col min="13053" max="13053" width="12.77734375" style="10" customWidth="1"/>
    <col min="13054" max="13054" width="11.109375" style="10" customWidth="1"/>
    <col min="13055" max="13055" width="12" style="10" customWidth="1"/>
    <col min="13056" max="13056" width="9.6640625" style="10"/>
    <col min="13057" max="13057" width="15.33203125" style="10" customWidth="1"/>
    <col min="13058" max="13058" width="15.21875" style="10" customWidth="1"/>
    <col min="13059" max="13059" width="21.44140625" style="10" customWidth="1"/>
    <col min="13060" max="13075" width="9.6640625" style="10"/>
    <col min="13076" max="13077" width="13.44140625" style="10" customWidth="1"/>
    <col min="13078" max="13078" width="9.6640625" style="10"/>
    <col min="13079" max="13079" width="13.88671875" style="10" customWidth="1"/>
    <col min="13080" max="13080" width="10.6640625" style="10" customWidth="1"/>
    <col min="13081" max="13081" width="17.33203125" style="10" customWidth="1"/>
    <col min="13082" max="13083" width="12.6640625" style="10" customWidth="1"/>
    <col min="13084" max="13084" width="11.21875" style="10" customWidth="1"/>
    <col min="13085" max="13085" width="18.33203125" style="10" customWidth="1"/>
    <col min="13086" max="13086" width="12.88671875" style="10" customWidth="1"/>
    <col min="13087" max="13088" width="13.21875" style="10" customWidth="1"/>
    <col min="13089" max="13089" width="10.88671875" style="10" customWidth="1"/>
    <col min="13090" max="13090" width="11.109375" style="10" customWidth="1"/>
    <col min="13091" max="13091" width="15.21875" style="10" customWidth="1"/>
    <col min="13092" max="13092" width="9.6640625" style="10"/>
    <col min="13093" max="13093" width="11" style="10" customWidth="1"/>
    <col min="13094" max="13094" width="10.77734375" style="10" customWidth="1"/>
    <col min="13095" max="13095" width="11.44140625" style="10" customWidth="1"/>
    <col min="13096" max="13096" width="4" style="10" customWidth="1"/>
    <col min="13097" max="13287" width="9.6640625" style="10"/>
    <col min="13288" max="13288" width="6.44140625" style="10" customWidth="1"/>
    <col min="13289" max="13289" width="13.88671875" style="10" customWidth="1"/>
    <col min="13290" max="13290" width="14.33203125" style="10" customWidth="1"/>
    <col min="13291" max="13307" width="9.6640625" style="10"/>
    <col min="13308" max="13308" width="12" style="10" customWidth="1"/>
    <col min="13309" max="13309" width="12.77734375" style="10" customWidth="1"/>
    <col min="13310" max="13310" width="11.109375" style="10" customWidth="1"/>
    <col min="13311" max="13311" width="12" style="10" customWidth="1"/>
    <col min="13312" max="13312" width="9.6640625" style="10"/>
    <col min="13313" max="13313" width="15.33203125" style="10" customWidth="1"/>
    <col min="13314" max="13314" width="15.21875" style="10" customWidth="1"/>
    <col min="13315" max="13315" width="21.44140625" style="10" customWidth="1"/>
    <col min="13316" max="13331" width="9.6640625" style="10"/>
    <col min="13332" max="13333" width="13.44140625" style="10" customWidth="1"/>
    <col min="13334" max="13334" width="9.6640625" style="10"/>
    <col min="13335" max="13335" width="13.88671875" style="10" customWidth="1"/>
    <col min="13336" max="13336" width="10.6640625" style="10" customWidth="1"/>
    <col min="13337" max="13337" width="17.33203125" style="10" customWidth="1"/>
    <col min="13338" max="13339" width="12.6640625" style="10" customWidth="1"/>
    <col min="13340" max="13340" width="11.21875" style="10" customWidth="1"/>
    <col min="13341" max="13341" width="18.33203125" style="10" customWidth="1"/>
    <col min="13342" max="13342" width="12.88671875" style="10" customWidth="1"/>
    <col min="13343" max="13344" width="13.21875" style="10" customWidth="1"/>
    <col min="13345" max="13345" width="10.88671875" style="10" customWidth="1"/>
    <col min="13346" max="13346" width="11.109375" style="10" customWidth="1"/>
    <col min="13347" max="13347" width="15.21875" style="10" customWidth="1"/>
    <col min="13348" max="13348" width="9.6640625" style="10"/>
    <col min="13349" max="13349" width="11" style="10" customWidth="1"/>
    <col min="13350" max="13350" width="10.77734375" style="10" customWidth="1"/>
    <col min="13351" max="13351" width="11.44140625" style="10" customWidth="1"/>
    <col min="13352" max="13352" width="4" style="10" customWidth="1"/>
    <col min="13353" max="13543" width="9.6640625" style="10"/>
    <col min="13544" max="13544" width="6.44140625" style="10" customWidth="1"/>
    <col min="13545" max="13545" width="13.88671875" style="10" customWidth="1"/>
    <col min="13546" max="13546" width="14.33203125" style="10" customWidth="1"/>
    <col min="13547" max="13563" width="9.6640625" style="10"/>
    <col min="13564" max="13564" width="12" style="10" customWidth="1"/>
    <col min="13565" max="13565" width="12.77734375" style="10" customWidth="1"/>
    <col min="13566" max="13566" width="11.109375" style="10" customWidth="1"/>
    <col min="13567" max="13567" width="12" style="10" customWidth="1"/>
    <col min="13568" max="13568" width="9.6640625" style="10"/>
    <col min="13569" max="13569" width="15.33203125" style="10" customWidth="1"/>
    <col min="13570" max="13570" width="15.21875" style="10" customWidth="1"/>
    <col min="13571" max="13571" width="21.44140625" style="10" customWidth="1"/>
    <col min="13572" max="13587" width="9.6640625" style="10"/>
    <col min="13588" max="13589" width="13.44140625" style="10" customWidth="1"/>
    <col min="13590" max="13590" width="9.6640625" style="10"/>
    <col min="13591" max="13591" width="13.88671875" style="10" customWidth="1"/>
    <col min="13592" max="13592" width="10.6640625" style="10" customWidth="1"/>
    <col min="13593" max="13593" width="17.33203125" style="10" customWidth="1"/>
    <col min="13594" max="13595" width="12.6640625" style="10" customWidth="1"/>
    <col min="13596" max="13596" width="11.21875" style="10" customWidth="1"/>
    <col min="13597" max="13597" width="18.33203125" style="10" customWidth="1"/>
    <col min="13598" max="13598" width="12.88671875" style="10" customWidth="1"/>
    <col min="13599" max="13600" width="13.21875" style="10" customWidth="1"/>
    <col min="13601" max="13601" width="10.88671875" style="10" customWidth="1"/>
    <col min="13602" max="13602" width="11.109375" style="10" customWidth="1"/>
    <col min="13603" max="13603" width="15.21875" style="10" customWidth="1"/>
    <col min="13604" max="13604" width="9.6640625" style="10"/>
    <col min="13605" max="13605" width="11" style="10" customWidth="1"/>
    <col min="13606" max="13606" width="10.77734375" style="10" customWidth="1"/>
    <col min="13607" max="13607" width="11.44140625" style="10" customWidth="1"/>
    <col min="13608" max="13608" width="4" style="10" customWidth="1"/>
    <col min="13609" max="13799" width="9.6640625" style="10"/>
    <col min="13800" max="13800" width="6.44140625" style="10" customWidth="1"/>
    <col min="13801" max="13801" width="13.88671875" style="10" customWidth="1"/>
    <col min="13802" max="13802" width="14.33203125" style="10" customWidth="1"/>
    <col min="13803" max="13819" width="9.6640625" style="10"/>
    <col min="13820" max="13820" width="12" style="10" customWidth="1"/>
    <col min="13821" max="13821" width="12.77734375" style="10" customWidth="1"/>
    <col min="13822" max="13822" width="11.109375" style="10" customWidth="1"/>
    <col min="13823" max="13823" width="12" style="10" customWidth="1"/>
    <col min="13824" max="13824" width="9.6640625" style="10"/>
    <col min="13825" max="13825" width="15.33203125" style="10" customWidth="1"/>
    <col min="13826" max="13826" width="15.21875" style="10" customWidth="1"/>
    <col min="13827" max="13827" width="21.44140625" style="10" customWidth="1"/>
    <col min="13828" max="13843" width="9.6640625" style="10"/>
    <col min="13844" max="13845" width="13.44140625" style="10" customWidth="1"/>
    <col min="13846" max="13846" width="9.6640625" style="10"/>
    <col min="13847" max="13847" width="13.88671875" style="10" customWidth="1"/>
    <col min="13848" max="13848" width="10.6640625" style="10" customWidth="1"/>
    <col min="13849" max="13849" width="17.33203125" style="10" customWidth="1"/>
    <col min="13850" max="13851" width="12.6640625" style="10" customWidth="1"/>
    <col min="13852" max="13852" width="11.21875" style="10" customWidth="1"/>
    <col min="13853" max="13853" width="18.33203125" style="10" customWidth="1"/>
    <col min="13854" max="13854" width="12.88671875" style="10" customWidth="1"/>
    <col min="13855" max="13856" width="13.21875" style="10" customWidth="1"/>
    <col min="13857" max="13857" width="10.88671875" style="10" customWidth="1"/>
    <col min="13858" max="13858" width="11.109375" style="10" customWidth="1"/>
    <col min="13859" max="13859" width="15.21875" style="10" customWidth="1"/>
    <col min="13860" max="13860" width="9.6640625" style="10"/>
    <col min="13861" max="13861" width="11" style="10" customWidth="1"/>
    <col min="13862" max="13862" width="10.77734375" style="10" customWidth="1"/>
    <col min="13863" max="13863" width="11.44140625" style="10" customWidth="1"/>
    <col min="13864" max="13864" width="4" style="10" customWidth="1"/>
    <col min="13865" max="14055" width="9.6640625" style="10"/>
    <col min="14056" max="14056" width="6.44140625" style="10" customWidth="1"/>
    <col min="14057" max="14057" width="13.88671875" style="10" customWidth="1"/>
    <col min="14058" max="14058" width="14.33203125" style="10" customWidth="1"/>
    <col min="14059" max="14075" width="9.6640625" style="10"/>
    <col min="14076" max="14076" width="12" style="10" customWidth="1"/>
    <col min="14077" max="14077" width="12.77734375" style="10" customWidth="1"/>
    <col min="14078" max="14078" width="11.109375" style="10" customWidth="1"/>
    <col min="14079" max="14079" width="12" style="10" customWidth="1"/>
    <col min="14080" max="14080" width="9.6640625" style="10"/>
    <col min="14081" max="14081" width="15.33203125" style="10" customWidth="1"/>
    <col min="14082" max="14082" width="15.21875" style="10" customWidth="1"/>
    <col min="14083" max="14083" width="21.44140625" style="10" customWidth="1"/>
    <col min="14084" max="14099" width="9.6640625" style="10"/>
    <col min="14100" max="14101" width="13.44140625" style="10" customWidth="1"/>
    <col min="14102" max="14102" width="9.6640625" style="10"/>
    <col min="14103" max="14103" width="13.88671875" style="10" customWidth="1"/>
    <col min="14104" max="14104" width="10.6640625" style="10" customWidth="1"/>
    <col min="14105" max="14105" width="17.33203125" style="10" customWidth="1"/>
    <col min="14106" max="14107" width="12.6640625" style="10" customWidth="1"/>
    <col min="14108" max="14108" width="11.21875" style="10" customWidth="1"/>
    <col min="14109" max="14109" width="18.33203125" style="10" customWidth="1"/>
    <col min="14110" max="14110" width="12.88671875" style="10" customWidth="1"/>
    <col min="14111" max="14112" width="13.21875" style="10" customWidth="1"/>
    <col min="14113" max="14113" width="10.88671875" style="10" customWidth="1"/>
    <col min="14114" max="14114" width="11.109375" style="10" customWidth="1"/>
    <col min="14115" max="14115" width="15.21875" style="10" customWidth="1"/>
    <col min="14116" max="14116" width="9.6640625" style="10"/>
    <col min="14117" max="14117" width="11" style="10" customWidth="1"/>
    <col min="14118" max="14118" width="10.77734375" style="10" customWidth="1"/>
    <col min="14119" max="14119" width="11.44140625" style="10" customWidth="1"/>
    <col min="14120" max="14120" width="4" style="10" customWidth="1"/>
    <col min="14121" max="14311" width="9.6640625" style="10"/>
    <col min="14312" max="14312" width="6.44140625" style="10" customWidth="1"/>
    <col min="14313" max="14313" width="13.88671875" style="10" customWidth="1"/>
    <col min="14314" max="14314" width="14.33203125" style="10" customWidth="1"/>
    <col min="14315" max="14331" width="9.6640625" style="10"/>
    <col min="14332" max="14332" width="12" style="10" customWidth="1"/>
    <col min="14333" max="14333" width="12.77734375" style="10" customWidth="1"/>
    <col min="14334" max="14334" width="11.109375" style="10" customWidth="1"/>
    <col min="14335" max="14335" width="12" style="10" customWidth="1"/>
    <col min="14336" max="14336" width="9.6640625" style="10"/>
    <col min="14337" max="14337" width="15.33203125" style="10" customWidth="1"/>
    <col min="14338" max="14338" width="15.21875" style="10" customWidth="1"/>
    <col min="14339" max="14339" width="21.44140625" style="10" customWidth="1"/>
    <col min="14340" max="14355" width="9.6640625" style="10"/>
    <col min="14356" max="14357" width="13.44140625" style="10" customWidth="1"/>
    <col min="14358" max="14358" width="9.6640625" style="10"/>
    <col min="14359" max="14359" width="13.88671875" style="10" customWidth="1"/>
    <col min="14360" max="14360" width="10.6640625" style="10" customWidth="1"/>
    <col min="14361" max="14361" width="17.33203125" style="10" customWidth="1"/>
    <col min="14362" max="14363" width="12.6640625" style="10" customWidth="1"/>
    <col min="14364" max="14364" width="11.21875" style="10" customWidth="1"/>
    <col min="14365" max="14365" width="18.33203125" style="10" customWidth="1"/>
    <col min="14366" max="14366" width="12.88671875" style="10" customWidth="1"/>
    <col min="14367" max="14368" width="13.21875" style="10" customWidth="1"/>
    <col min="14369" max="14369" width="10.88671875" style="10" customWidth="1"/>
    <col min="14370" max="14370" width="11.109375" style="10" customWidth="1"/>
    <col min="14371" max="14371" width="15.21875" style="10" customWidth="1"/>
    <col min="14372" max="14372" width="9.6640625" style="10"/>
    <col min="14373" max="14373" width="11" style="10" customWidth="1"/>
    <col min="14374" max="14374" width="10.77734375" style="10" customWidth="1"/>
    <col min="14375" max="14375" width="11.44140625" style="10" customWidth="1"/>
    <col min="14376" max="14376" width="4" style="10" customWidth="1"/>
    <col min="14377" max="14567" width="9.6640625" style="10"/>
    <col min="14568" max="14568" width="6.44140625" style="10" customWidth="1"/>
    <col min="14569" max="14569" width="13.88671875" style="10" customWidth="1"/>
    <col min="14570" max="14570" width="14.33203125" style="10" customWidth="1"/>
    <col min="14571" max="14587" width="9.6640625" style="10"/>
    <col min="14588" max="14588" width="12" style="10" customWidth="1"/>
    <col min="14589" max="14589" width="12.77734375" style="10" customWidth="1"/>
    <col min="14590" max="14590" width="11.109375" style="10" customWidth="1"/>
    <col min="14591" max="14591" width="12" style="10" customWidth="1"/>
    <col min="14592" max="14592" width="9.6640625" style="10"/>
    <col min="14593" max="14593" width="15.33203125" style="10" customWidth="1"/>
    <col min="14594" max="14594" width="15.21875" style="10" customWidth="1"/>
    <col min="14595" max="14595" width="21.44140625" style="10" customWidth="1"/>
    <col min="14596" max="14611" width="9.6640625" style="10"/>
    <col min="14612" max="14613" width="13.44140625" style="10" customWidth="1"/>
    <col min="14614" max="14614" width="9.6640625" style="10"/>
    <col min="14615" max="14615" width="13.88671875" style="10" customWidth="1"/>
    <col min="14616" max="14616" width="10.6640625" style="10" customWidth="1"/>
    <col min="14617" max="14617" width="17.33203125" style="10" customWidth="1"/>
    <col min="14618" max="14619" width="12.6640625" style="10" customWidth="1"/>
    <col min="14620" max="14620" width="11.21875" style="10" customWidth="1"/>
    <col min="14621" max="14621" width="18.33203125" style="10" customWidth="1"/>
    <col min="14622" max="14622" width="12.88671875" style="10" customWidth="1"/>
    <col min="14623" max="14624" width="13.21875" style="10" customWidth="1"/>
    <col min="14625" max="14625" width="10.88671875" style="10" customWidth="1"/>
    <col min="14626" max="14626" width="11.109375" style="10" customWidth="1"/>
    <col min="14627" max="14627" width="15.21875" style="10" customWidth="1"/>
    <col min="14628" max="14628" width="9.6640625" style="10"/>
    <col min="14629" max="14629" width="11" style="10" customWidth="1"/>
    <col min="14630" max="14630" width="10.77734375" style="10" customWidth="1"/>
    <col min="14631" max="14631" width="11.44140625" style="10" customWidth="1"/>
    <col min="14632" max="14632" width="4" style="10" customWidth="1"/>
    <col min="14633" max="14823" width="9.6640625" style="10"/>
    <col min="14824" max="14824" width="6.44140625" style="10" customWidth="1"/>
    <col min="14825" max="14825" width="13.88671875" style="10" customWidth="1"/>
    <col min="14826" max="14826" width="14.33203125" style="10" customWidth="1"/>
    <col min="14827" max="14843" width="9.6640625" style="10"/>
    <col min="14844" max="14844" width="12" style="10" customWidth="1"/>
    <col min="14845" max="14845" width="12.77734375" style="10" customWidth="1"/>
    <col min="14846" max="14846" width="11.109375" style="10" customWidth="1"/>
    <col min="14847" max="14847" width="12" style="10" customWidth="1"/>
    <col min="14848" max="14848" width="9.6640625" style="10"/>
    <col min="14849" max="14849" width="15.33203125" style="10" customWidth="1"/>
    <col min="14850" max="14850" width="15.21875" style="10" customWidth="1"/>
    <col min="14851" max="14851" width="21.44140625" style="10" customWidth="1"/>
    <col min="14852" max="14867" width="9.6640625" style="10"/>
    <col min="14868" max="14869" width="13.44140625" style="10" customWidth="1"/>
    <col min="14870" max="14870" width="9.6640625" style="10"/>
    <col min="14871" max="14871" width="13.88671875" style="10" customWidth="1"/>
    <col min="14872" max="14872" width="10.6640625" style="10" customWidth="1"/>
    <col min="14873" max="14873" width="17.33203125" style="10" customWidth="1"/>
    <col min="14874" max="14875" width="12.6640625" style="10" customWidth="1"/>
    <col min="14876" max="14876" width="11.21875" style="10" customWidth="1"/>
    <col min="14877" max="14877" width="18.33203125" style="10" customWidth="1"/>
    <col min="14878" max="14878" width="12.88671875" style="10" customWidth="1"/>
    <col min="14879" max="14880" width="13.21875" style="10" customWidth="1"/>
    <col min="14881" max="14881" width="10.88671875" style="10" customWidth="1"/>
    <col min="14882" max="14882" width="11.109375" style="10" customWidth="1"/>
    <col min="14883" max="14883" width="15.21875" style="10" customWidth="1"/>
    <col min="14884" max="14884" width="9.6640625" style="10"/>
    <col min="14885" max="14885" width="11" style="10" customWidth="1"/>
    <col min="14886" max="14886" width="10.77734375" style="10" customWidth="1"/>
    <col min="14887" max="14887" width="11.44140625" style="10" customWidth="1"/>
    <col min="14888" max="14888" width="4" style="10" customWidth="1"/>
    <col min="14889" max="15079" width="9.6640625" style="10"/>
    <col min="15080" max="15080" width="6.44140625" style="10" customWidth="1"/>
    <col min="15081" max="15081" width="13.88671875" style="10" customWidth="1"/>
    <col min="15082" max="15082" width="14.33203125" style="10" customWidth="1"/>
    <col min="15083" max="15099" width="9.6640625" style="10"/>
    <col min="15100" max="15100" width="12" style="10" customWidth="1"/>
    <col min="15101" max="15101" width="12.77734375" style="10" customWidth="1"/>
    <col min="15102" max="15102" width="11.109375" style="10" customWidth="1"/>
    <col min="15103" max="15103" width="12" style="10" customWidth="1"/>
    <col min="15104" max="15104" width="9.6640625" style="10"/>
    <col min="15105" max="15105" width="15.33203125" style="10" customWidth="1"/>
    <col min="15106" max="15106" width="15.21875" style="10" customWidth="1"/>
    <col min="15107" max="15107" width="21.44140625" style="10" customWidth="1"/>
    <col min="15108" max="15123" width="9.6640625" style="10"/>
    <col min="15124" max="15125" width="13.44140625" style="10" customWidth="1"/>
    <col min="15126" max="15126" width="9.6640625" style="10"/>
    <col min="15127" max="15127" width="13.88671875" style="10" customWidth="1"/>
    <col min="15128" max="15128" width="10.6640625" style="10" customWidth="1"/>
    <col min="15129" max="15129" width="17.33203125" style="10" customWidth="1"/>
    <col min="15130" max="15131" width="12.6640625" style="10" customWidth="1"/>
    <col min="15132" max="15132" width="11.21875" style="10" customWidth="1"/>
    <col min="15133" max="15133" width="18.33203125" style="10" customWidth="1"/>
    <col min="15134" max="15134" width="12.88671875" style="10" customWidth="1"/>
    <col min="15135" max="15136" width="13.21875" style="10" customWidth="1"/>
    <col min="15137" max="15137" width="10.88671875" style="10" customWidth="1"/>
    <col min="15138" max="15138" width="11.109375" style="10" customWidth="1"/>
    <col min="15139" max="15139" width="15.21875" style="10" customWidth="1"/>
    <col min="15140" max="15140" width="9.6640625" style="10"/>
    <col min="15141" max="15141" width="11" style="10" customWidth="1"/>
    <col min="15142" max="15142" width="10.77734375" style="10" customWidth="1"/>
    <col min="15143" max="15143" width="11.44140625" style="10" customWidth="1"/>
    <col min="15144" max="15144" width="4" style="10" customWidth="1"/>
    <col min="15145" max="15335" width="9.6640625" style="10"/>
    <col min="15336" max="15336" width="6.44140625" style="10" customWidth="1"/>
    <col min="15337" max="15337" width="13.88671875" style="10" customWidth="1"/>
    <col min="15338" max="15338" width="14.33203125" style="10" customWidth="1"/>
    <col min="15339" max="15355" width="9.6640625" style="10"/>
    <col min="15356" max="15356" width="12" style="10" customWidth="1"/>
    <col min="15357" max="15357" width="12.77734375" style="10" customWidth="1"/>
    <col min="15358" max="15358" width="11.109375" style="10" customWidth="1"/>
    <col min="15359" max="15359" width="12" style="10" customWidth="1"/>
    <col min="15360" max="15360" width="9.6640625" style="10"/>
    <col min="15361" max="15361" width="15.33203125" style="10" customWidth="1"/>
    <col min="15362" max="15362" width="15.21875" style="10" customWidth="1"/>
    <col min="15363" max="15363" width="21.44140625" style="10" customWidth="1"/>
    <col min="15364" max="15379" width="9.6640625" style="10"/>
    <col min="15380" max="15381" width="13.44140625" style="10" customWidth="1"/>
    <col min="15382" max="15382" width="9.6640625" style="10"/>
    <col min="15383" max="15383" width="13.88671875" style="10" customWidth="1"/>
    <col min="15384" max="15384" width="10.6640625" style="10" customWidth="1"/>
    <col min="15385" max="15385" width="17.33203125" style="10" customWidth="1"/>
    <col min="15386" max="15387" width="12.6640625" style="10" customWidth="1"/>
    <col min="15388" max="15388" width="11.21875" style="10" customWidth="1"/>
    <col min="15389" max="15389" width="18.33203125" style="10" customWidth="1"/>
    <col min="15390" max="15390" width="12.88671875" style="10" customWidth="1"/>
    <col min="15391" max="15392" width="13.21875" style="10" customWidth="1"/>
    <col min="15393" max="15393" width="10.88671875" style="10" customWidth="1"/>
    <col min="15394" max="15394" width="11.109375" style="10" customWidth="1"/>
    <col min="15395" max="15395" width="15.21875" style="10" customWidth="1"/>
    <col min="15396" max="15396" width="9.6640625" style="10"/>
    <col min="15397" max="15397" width="11" style="10" customWidth="1"/>
    <col min="15398" max="15398" width="10.77734375" style="10" customWidth="1"/>
    <col min="15399" max="15399" width="11.44140625" style="10" customWidth="1"/>
    <col min="15400" max="15400" width="4" style="10" customWidth="1"/>
    <col min="15401" max="15591" width="9.6640625" style="10"/>
    <col min="15592" max="15592" width="6.44140625" style="10" customWidth="1"/>
    <col min="15593" max="15593" width="13.88671875" style="10" customWidth="1"/>
    <col min="15594" max="15594" width="14.33203125" style="10" customWidth="1"/>
    <col min="15595" max="15611" width="9.6640625" style="10"/>
    <col min="15612" max="15612" width="12" style="10" customWidth="1"/>
    <col min="15613" max="15613" width="12.77734375" style="10" customWidth="1"/>
    <col min="15614" max="15614" width="11.109375" style="10" customWidth="1"/>
    <col min="15615" max="15615" width="12" style="10" customWidth="1"/>
    <col min="15616" max="15616" width="9.6640625" style="10"/>
    <col min="15617" max="15617" width="15.33203125" style="10" customWidth="1"/>
    <col min="15618" max="15618" width="15.21875" style="10" customWidth="1"/>
    <col min="15619" max="15619" width="21.44140625" style="10" customWidth="1"/>
    <col min="15620" max="15635" width="9.6640625" style="10"/>
    <col min="15636" max="15637" width="13.44140625" style="10" customWidth="1"/>
    <col min="15638" max="15638" width="9.6640625" style="10"/>
    <col min="15639" max="15639" width="13.88671875" style="10" customWidth="1"/>
    <col min="15640" max="15640" width="10.6640625" style="10" customWidth="1"/>
    <col min="15641" max="15641" width="17.33203125" style="10" customWidth="1"/>
    <col min="15642" max="15643" width="12.6640625" style="10" customWidth="1"/>
    <col min="15644" max="15644" width="11.21875" style="10" customWidth="1"/>
    <col min="15645" max="15645" width="18.33203125" style="10" customWidth="1"/>
    <col min="15646" max="15646" width="12.88671875" style="10" customWidth="1"/>
    <col min="15647" max="15648" width="13.21875" style="10" customWidth="1"/>
    <col min="15649" max="15649" width="10.88671875" style="10" customWidth="1"/>
    <col min="15650" max="15650" width="11.109375" style="10" customWidth="1"/>
    <col min="15651" max="15651" width="15.21875" style="10" customWidth="1"/>
    <col min="15652" max="15652" width="9.6640625" style="10"/>
    <col min="15653" max="15653" width="11" style="10" customWidth="1"/>
    <col min="15654" max="15654" width="10.77734375" style="10" customWidth="1"/>
    <col min="15655" max="15655" width="11.44140625" style="10" customWidth="1"/>
    <col min="15656" max="15656" width="4" style="10" customWidth="1"/>
    <col min="15657" max="15847" width="9.6640625" style="10"/>
    <col min="15848" max="15848" width="6.44140625" style="10" customWidth="1"/>
    <col min="15849" max="15849" width="13.88671875" style="10" customWidth="1"/>
    <col min="15850" max="15850" width="14.33203125" style="10" customWidth="1"/>
    <col min="15851" max="15867" width="9.6640625" style="10"/>
    <col min="15868" max="15868" width="12" style="10" customWidth="1"/>
    <col min="15869" max="15869" width="12.77734375" style="10" customWidth="1"/>
    <col min="15870" max="15870" width="11.109375" style="10" customWidth="1"/>
    <col min="15871" max="15871" width="12" style="10" customWidth="1"/>
    <col min="15872" max="15872" width="9.6640625" style="10"/>
    <col min="15873" max="15873" width="15.33203125" style="10" customWidth="1"/>
    <col min="15874" max="15874" width="15.21875" style="10" customWidth="1"/>
    <col min="15875" max="15875" width="21.44140625" style="10" customWidth="1"/>
    <col min="15876" max="15891" width="9.6640625" style="10"/>
    <col min="15892" max="15893" width="13.44140625" style="10" customWidth="1"/>
    <col min="15894" max="15894" width="9.6640625" style="10"/>
    <col min="15895" max="15895" width="13.88671875" style="10" customWidth="1"/>
    <col min="15896" max="15896" width="10.6640625" style="10" customWidth="1"/>
    <col min="15897" max="15897" width="17.33203125" style="10" customWidth="1"/>
    <col min="15898" max="15899" width="12.6640625" style="10" customWidth="1"/>
    <col min="15900" max="15900" width="11.21875" style="10" customWidth="1"/>
    <col min="15901" max="15901" width="18.33203125" style="10" customWidth="1"/>
    <col min="15902" max="15902" width="12.88671875" style="10" customWidth="1"/>
    <col min="15903" max="15904" width="13.21875" style="10" customWidth="1"/>
    <col min="15905" max="15905" width="10.88671875" style="10" customWidth="1"/>
    <col min="15906" max="15906" width="11.109375" style="10" customWidth="1"/>
    <col min="15907" max="15907" width="15.21875" style="10" customWidth="1"/>
    <col min="15908" max="15908" width="9.6640625" style="10"/>
    <col min="15909" max="15909" width="11" style="10" customWidth="1"/>
    <col min="15910" max="15910" width="10.77734375" style="10" customWidth="1"/>
    <col min="15911" max="15911" width="11.44140625" style="10" customWidth="1"/>
    <col min="15912" max="15912" width="4" style="10" customWidth="1"/>
    <col min="15913" max="16103" width="9.6640625" style="10"/>
    <col min="16104" max="16104" width="6.44140625" style="10" customWidth="1"/>
    <col min="16105" max="16105" width="13.88671875" style="10" customWidth="1"/>
    <col min="16106" max="16106" width="14.33203125" style="10" customWidth="1"/>
    <col min="16107" max="16123" width="9.6640625" style="10"/>
    <col min="16124" max="16124" width="12" style="10" customWidth="1"/>
    <col min="16125" max="16125" width="12.77734375" style="10" customWidth="1"/>
    <col min="16126" max="16126" width="11.109375" style="10" customWidth="1"/>
    <col min="16127" max="16127" width="12" style="10" customWidth="1"/>
    <col min="16128" max="16128" width="9.6640625" style="10"/>
    <col min="16129" max="16129" width="15.33203125" style="10" customWidth="1"/>
    <col min="16130" max="16130" width="15.21875" style="10" customWidth="1"/>
    <col min="16131" max="16131" width="21.44140625" style="10" customWidth="1"/>
    <col min="16132" max="16147" width="9.6640625" style="10"/>
    <col min="16148" max="16149" width="13.44140625" style="10" customWidth="1"/>
    <col min="16150" max="16150" width="9.6640625" style="10"/>
    <col min="16151" max="16151" width="13.88671875" style="10" customWidth="1"/>
    <col min="16152" max="16152" width="10.6640625" style="10" customWidth="1"/>
    <col min="16153" max="16153" width="17.33203125" style="10" customWidth="1"/>
    <col min="16154" max="16155" width="12.6640625" style="10" customWidth="1"/>
    <col min="16156" max="16156" width="11.21875" style="10" customWidth="1"/>
    <col min="16157" max="16157" width="18.33203125" style="10" customWidth="1"/>
    <col min="16158" max="16158" width="12.88671875" style="10" customWidth="1"/>
    <col min="16159" max="16160" width="13.21875" style="10" customWidth="1"/>
    <col min="16161" max="16161" width="10.88671875" style="10" customWidth="1"/>
    <col min="16162" max="16162" width="11.109375" style="10" customWidth="1"/>
    <col min="16163" max="16163" width="15.21875" style="10" customWidth="1"/>
    <col min="16164" max="16164" width="9.6640625" style="10"/>
    <col min="16165" max="16165" width="11" style="10" customWidth="1"/>
    <col min="16166" max="16166" width="10.77734375" style="10" customWidth="1"/>
    <col min="16167" max="16167" width="11.44140625" style="10" customWidth="1"/>
    <col min="16168" max="16168" width="4" style="10" customWidth="1"/>
    <col min="16169" max="16384" width="9.6640625" style="10"/>
  </cols>
  <sheetData>
    <row r="1" spans="1:214" ht="13.2" x14ac:dyDescent="0.2">
      <c r="A1" s="9" t="s">
        <v>70</v>
      </c>
    </row>
    <row r="2" spans="1:214" x14ac:dyDescent="0.2">
      <c r="C2" s="12" t="s">
        <v>71</v>
      </c>
    </row>
    <row r="3" spans="1:214" s="11" customFormat="1" x14ac:dyDescent="0.2">
      <c r="A3" s="13"/>
      <c r="B3" s="14" t="s">
        <v>72</v>
      </c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  <c r="BF3" s="15"/>
      <c r="BG3" s="15"/>
      <c r="BH3" s="15"/>
      <c r="BI3" s="15"/>
      <c r="BJ3" s="15"/>
      <c r="BK3" s="15"/>
      <c r="BL3" s="15"/>
      <c r="BM3" s="15"/>
      <c r="BN3" s="15"/>
      <c r="BO3" s="15"/>
      <c r="BP3" s="15"/>
      <c r="BQ3" s="15"/>
      <c r="BR3" s="15"/>
      <c r="BS3" s="15"/>
      <c r="BT3" s="15"/>
      <c r="BU3" s="15"/>
      <c r="BV3" s="15"/>
      <c r="BW3" s="15"/>
      <c r="BX3" s="15"/>
      <c r="BY3" s="15"/>
      <c r="BZ3" s="15"/>
      <c r="CA3" s="15"/>
      <c r="CB3" s="15"/>
      <c r="CC3" s="15"/>
      <c r="CD3" s="15"/>
      <c r="CE3" s="15"/>
      <c r="CF3" s="15"/>
      <c r="CG3" s="15"/>
      <c r="CH3" s="15"/>
      <c r="CI3" s="15"/>
      <c r="CJ3" s="15"/>
      <c r="CK3" s="15"/>
      <c r="CL3" s="15"/>
      <c r="CM3" s="15"/>
      <c r="CN3" s="15"/>
      <c r="CO3" s="15"/>
      <c r="CP3" s="15"/>
      <c r="CQ3" s="15"/>
      <c r="CR3" s="15"/>
      <c r="CS3" s="15"/>
      <c r="CT3" s="15"/>
      <c r="CU3" s="15"/>
      <c r="CV3" s="15"/>
      <c r="CW3" s="15"/>
      <c r="CX3" s="15"/>
      <c r="CY3" s="15"/>
      <c r="CZ3" s="15"/>
      <c r="DA3" s="15"/>
      <c r="DB3" s="15"/>
      <c r="DC3" s="15"/>
      <c r="DD3" s="15"/>
      <c r="DE3" s="15"/>
      <c r="DF3" s="15"/>
      <c r="DG3" s="15"/>
      <c r="DH3" s="15"/>
      <c r="DI3" s="15"/>
      <c r="DJ3" s="15"/>
      <c r="DK3" s="15"/>
      <c r="DL3" s="15"/>
      <c r="DM3" s="15"/>
      <c r="DN3" s="15"/>
      <c r="DO3" s="15"/>
      <c r="DP3" s="15"/>
      <c r="DQ3" s="15"/>
      <c r="DR3" s="15"/>
      <c r="DS3" s="15"/>
      <c r="DT3" s="15"/>
      <c r="DU3" s="15"/>
      <c r="DV3" s="15"/>
      <c r="DW3" s="15"/>
      <c r="DX3" s="15"/>
      <c r="DY3" s="15"/>
      <c r="DZ3" s="15"/>
      <c r="EA3" s="15"/>
      <c r="EB3" s="15"/>
      <c r="EC3" s="15"/>
      <c r="ED3" s="15"/>
      <c r="EE3" s="15"/>
      <c r="EF3" s="15"/>
      <c r="EG3" s="15"/>
      <c r="EH3" s="15"/>
      <c r="EI3" s="15"/>
      <c r="EJ3" s="15"/>
      <c r="EK3" s="15"/>
      <c r="EL3" s="15"/>
      <c r="EM3" s="15"/>
      <c r="EN3" s="15"/>
      <c r="EO3" s="15"/>
      <c r="EP3" s="15"/>
      <c r="EQ3" s="15"/>
      <c r="ER3" s="15"/>
      <c r="ES3" s="15"/>
      <c r="ET3" s="15"/>
      <c r="EU3" s="15"/>
      <c r="EV3" s="15"/>
      <c r="EW3" s="15"/>
      <c r="EX3" s="15"/>
      <c r="EY3" s="15"/>
      <c r="EZ3" s="15"/>
      <c r="FA3" s="15"/>
      <c r="FB3" s="15"/>
      <c r="FC3" s="15"/>
      <c r="FD3" s="15"/>
      <c r="FE3" s="15"/>
      <c r="FF3" s="15"/>
      <c r="FG3" s="15"/>
      <c r="FH3" s="15"/>
      <c r="FI3" s="15"/>
      <c r="FJ3" s="15"/>
      <c r="FK3" s="15"/>
      <c r="FL3" s="15"/>
      <c r="FM3" s="15"/>
      <c r="FN3" s="15"/>
      <c r="FO3" s="15"/>
      <c r="FP3" s="15"/>
      <c r="FQ3" s="15"/>
      <c r="FR3" s="15"/>
      <c r="FS3" s="15"/>
      <c r="FT3" s="15"/>
      <c r="FU3" s="15"/>
      <c r="FV3" s="15"/>
      <c r="FW3" s="15"/>
      <c r="FX3" s="15"/>
      <c r="FY3" s="15"/>
      <c r="FZ3" s="15"/>
      <c r="GA3" s="15"/>
      <c r="GB3" s="15"/>
      <c r="GC3" s="15"/>
      <c r="GD3" s="15"/>
      <c r="GE3" s="15"/>
      <c r="GF3" s="15"/>
      <c r="GG3" s="15"/>
      <c r="GH3" s="15"/>
      <c r="GI3" s="15"/>
      <c r="GJ3" s="15"/>
      <c r="GK3" s="15"/>
      <c r="GL3" s="15"/>
      <c r="GM3" s="15"/>
      <c r="GN3" s="15"/>
      <c r="GO3" s="15"/>
      <c r="GP3" s="15"/>
      <c r="GQ3" s="15"/>
      <c r="GR3" s="15"/>
      <c r="GS3" s="15"/>
      <c r="GT3" s="15"/>
      <c r="GU3" s="15"/>
      <c r="GV3" s="15"/>
      <c r="GW3" s="15"/>
      <c r="GX3" s="15"/>
      <c r="GY3" s="15"/>
      <c r="GZ3" s="15"/>
      <c r="HA3" s="15"/>
      <c r="HB3" s="15"/>
      <c r="HC3" s="15"/>
      <c r="HD3" s="15"/>
      <c r="HE3" s="15"/>
      <c r="HF3" s="15"/>
    </row>
    <row r="4" spans="1:214" s="11" customFormat="1" x14ac:dyDescent="0.2">
      <c r="A4" s="13"/>
      <c r="B4" s="16" t="s">
        <v>73</v>
      </c>
      <c r="C4" s="15" t="s">
        <v>75</v>
      </c>
      <c r="D4" s="15" t="s">
        <v>75</v>
      </c>
      <c r="E4" s="15" t="s">
        <v>75</v>
      </c>
      <c r="F4" s="15" t="s">
        <v>75</v>
      </c>
      <c r="G4" s="15" t="s">
        <v>75</v>
      </c>
      <c r="H4" s="15" t="s">
        <v>75</v>
      </c>
      <c r="I4" s="15" t="s">
        <v>75</v>
      </c>
      <c r="J4" s="15" t="s">
        <v>75</v>
      </c>
      <c r="K4" s="15" t="s">
        <v>75</v>
      </c>
      <c r="L4" s="15" t="s">
        <v>75</v>
      </c>
      <c r="M4" s="15" t="s">
        <v>75</v>
      </c>
      <c r="N4" s="15" t="s">
        <v>75</v>
      </c>
      <c r="O4" s="15" t="s">
        <v>75</v>
      </c>
      <c r="P4" s="15" t="s">
        <v>75</v>
      </c>
      <c r="Q4" s="15" t="s">
        <v>75</v>
      </c>
      <c r="R4" s="15" t="s">
        <v>75</v>
      </c>
      <c r="S4" s="15" t="s">
        <v>75</v>
      </c>
      <c r="T4" s="15" t="s">
        <v>75</v>
      </c>
      <c r="U4" s="15" t="s">
        <v>75</v>
      </c>
      <c r="V4" s="15" t="s">
        <v>75</v>
      </c>
      <c r="W4" s="15" t="s">
        <v>75</v>
      </c>
      <c r="X4" s="15" t="s">
        <v>75</v>
      </c>
      <c r="Y4" s="15" t="s">
        <v>75</v>
      </c>
      <c r="Z4" s="15" t="s">
        <v>75</v>
      </c>
      <c r="AA4" s="15" t="s">
        <v>75</v>
      </c>
      <c r="AB4" s="15" t="s">
        <v>75</v>
      </c>
      <c r="AC4" s="15" t="s">
        <v>75</v>
      </c>
      <c r="AD4" s="15" t="s">
        <v>75</v>
      </c>
      <c r="AE4" s="15" t="s">
        <v>75</v>
      </c>
      <c r="AF4" s="15" t="s">
        <v>75</v>
      </c>
      <c r="AG4" s="15" t="s">
        <v>75</v>
      </c>
      <c r="AH4" s="15" t="s">
        <v>75</v>
      </c>
      <c r="AI4" s="15" t="s">
        <v>75</v>
      </c>
      <c r="AJ4" s="15" t="s">
        <v>75</v>
      </c>
      <c r="AK4" s="15" t="s">
        <v>75</v>
      </c>
      <c r="AL4" s="15" t="s">
        <v>75</v>
      </c>
      <c r="AM4" s="15" t="s">
        <v>75</v>
      </c>
      <c r="AN4" s="15" t="s">
        <v>75</v>
      </c>
      <c r="AO4" s="15" t="s">
        <v>75</v>
      </c>
      <c r="AP4" s="15" t="s">
        <v>75</v>
      </c>
      <c r="AQ4" s="15" t="s">
        <v>75</v>
      </c>
      <c r="AR4" s="15" t="s">
        <v>75</v>
      </c>
      <c r="AS4" s="15" t="s">
        <v>75</v>
      </c>
      <c r="AT4" s="15" t="s">
        <v>75</v>
      </c>
      <c r="AU4" s="15" t="s">
        <v>75</v>
      </c>
      <c r="AV4" s="15" t="s">
        <v>75</v>
      </c>
      <c r="AW4" s="15" t="s">
        <v>75</v>
      </c>
      <c r="AX4" s="15" t="s">
        <v>75</v>
      </c>
      <c r="AY4" s="15" t="s">
        <v>75</v>
      </c>
      <c r="AZ4" s="15" t="s">
        <v>75</v>
      </c>
      <c r="BA4" s="15" t="s">
        <v>75</v>
      </c>
      <c r="BB4" s="15" t="s">
        <v>75</v>
      </c>
      <c r="BC4" s="15" t="s">
        <v>75</v>
      </c>
      <c r="BD4" s="15" t="s">
        <v>75</v>
      </c>
      <c r="BE4" s="15" t="s">
        <v>75</v>
      </c>
      <c r="BF4" s="15" t="s">
        <v>75</v>
      </c>
      <c r="BG4" s="15" t="s">
        <v>75</v>
      </c>
      <c r="BH4" s="15" t="s">
        <v>75</v>
      </c>
      <c r="BI4" s="15" t="s">
        <v>75</v>
      </c>
      <c r="BJ4" s="15" t="s">
        <v>75</v>
      </c>
      <c r="BK4" s="15" t="s">
        <v>75</v>
      </c>
      <c r="BL4" s="15" t="s">
        <v>75</v>
      </c>
      <c r="BM4" s="15" t="s">
        <v>75</v>
      </c>
      <c r="BN4" s="15" t="s">
        <v>75</v>
      </c>
      <c r="BO4" s="15" t="s">
        <v>75</v>
      </c>
      <c r="BP4" s="15" t="s">
        <v>75</v>
      </c>
      <c r="BQ4" s="15" t="s">
        <v>75</v>
      </c>
      <c r="BR4" s="15" t="s">
        <v>75</v>
      </c>
      <c r="BS4" s="15" t="s">
        <v>75</v>
      </c>
      <c r="BT4" s="15" t="s">
        <v>75</v>
      </c>
      <c r="BU4" s="15" t="s">
        <v>75</v>
      </c>
      <c r="BV4" s="15" t="s">
        <v>75</v>
      </c>
      <c r="BW4" s="15" t="s">
        <v>75</v>
      </c>
      <c r="BX4" s="15" t="s">
        <v>75</v>
      </c>
      <c r="BY4" s="15" t="s">
        <v>75</v>
      </c>
      <c r="BZ4" s="15" t="s">
        <v>75</v>
      </c>
      <c r="CA4" s="15" t="s">
        <v>75</v>
      </c>
      <c r="CB4" s="15" t="s">
        <v>75</v>
      </c>
      <c r="CC4" s="15" t="s">
        <v>75</v>
      </c>
      <c r="CD4" s="15" t="s">
        <v>75</v>
      </c>
      <c r="CE4" s="15" t="s">
        <v>133</v>
      </c>
      <c r="CF4" s="15" t="s">
        <v>75</v>
      </c>
      <c r="CG4" s="15" t="s">
        <v>75</v>
      </c>
      <c r="CH4" s="15" t="s">
        <v>75</v>
      </c>
      <c r="CI4" s="15" t="s">
        <v>75</v>
      </c>
      <c r="CJ4" s="15" t="s">
        <v>75</v>
      </c>
      <c r="CK4" s="15" t="s">
        <v>75</v>
      </c>
      <c r="CL4" s="15" t="s">
        <v>75</v>
      </c>
      <c r="CM4" s="15" t="s">
        <v>75</v>
      </c>
      <c r="CN4" s="15" t="s">
        <v>75</v>
      </c>
      <c r="CO4" s="15" t="s">
        <v>75</v>
      </c>
      <c r="CP4" s="15" t="s">
        <v>75</v>
      </c>
      <c r="CQ4" s="15" t="s">
        <v>75</v>
      </c>
      <c r="CR4" s="15" t="s">
        <v>75</v>
      </c>
      <c r="CS4" s="15" t="s">
        <v>75</v>
      </c>
      <c r="CT4" s="15" t="s">
        <v>75</v>
      </c>
      <c r="CU4" s="15" t="s">
        <v>75</v>
      </c>
      <c r="CV4" s="15" t="s">
        <v>75</v>
      </c>
      <c r="CW4" s="15" t="s">
        <v>75</v>
      </c>
      <c r="CX4" s="15" t="s">
        <v>360</v>
      </c>
      <c r="CY4" s="15" t="s">
        <v>75</v>
      </c>
      <c r="CZ4" s="15" t="s">
        <v>75</v>
      </c>
      <c r="DA4" s="15" t="s">
        <v>75</v>
      </c>
      <c r="DB4" s="15" t="s">
        <v>75</v>
      </c>
      <c r="DC4" s="15" t="s">
        <v>75</v>
      </c>
      <c r="DD4" s="15" t="s">
        <v>75</v>
      </c>
      <c r="DE4" s="15" t="s">
        <v>75</v>
      </c>
      <c r="DF4" s="15" t="s">
        <v>75</v>
      </c>
      <c r="DG4" s="15" t="s">
        <v>75</v>
      </c>
      <c r="DH4" s="15" t="s">
        <v>75</v>
      </c>
      <c r="DI4" s="15" t="s">
        <v>75</v>
      </c>
      <c r="DJ4" s="15" t="s">
        <v>75</v>
      </c>
      <c r="DK4" s="15" t="s">
        <v>75</v>
      </c>
      <c r="DL4" s="15" t="s">
        <v>75</v>
      </c>
      <c r="DM4" s="15" t="s">
        <v>75</v>
      </c>
      <c r="DN4" s="15" t="s">
        <v>75</v>
      </c>
      <c r="DO4" s="15" t="s">
        <v>75</v>
      </c>
      <c r="DP4" s="15" t="s">
        <v>133</v>
      </c>
      <c r="DQ4" s="15" t="s">
        <v>359</v>
      </c>
      <c r="DR4" s="15" t="s">
        <v>75</v>
      </c>
      <c r="DS4" s="15" t="s">
        <v>75</v>
      </c>
      <c r="DT4" s="15" t="s">
        <v>75</v>
      </c>
      <c r="DU4" s="15" t="s">
        <v>75</v>
      </c>
      <c r="DV4" s="15" t="s">
        <v>75</v>
      </c>
      <c r="DW4" s="15" t="s">
        <v>75</v>
      </c>
      <c r="DX4" s="15" t="s">
        <v>75</v>
      </c>
      <c r="DY4" s="15" t="s">
        <v>132</v>
      </c>
      <c r="DZ4" s="15" t="s">
        <v>132</v>
      </c>
      <c r="EA4" s="15" t="s">
        <v>132</v>
      </c>
      <c r="EB4" s="15" t="s">
        <v>132</v>
      </c>
      <c r="EC4" s="15" t="s">
        <v>133</v>
      </c>
      <c r="ED4" s="15" t="s">
        <v>133</v>
      </c>
      <c r="EE4" s="15" t="s">
        <v>133</v>
      </c>
      <c r="EF4" s="15" t="s">
        <v>133</v>
      </c>
      <c r="EG4" s="15" t="s">
        <v>133</v>
      </c>
      <c r="EH4" s="15" t="s">
        <v>133</v>
      </c>
      <c r="EI4" s="15" t="s">
        <v>133</v>
      </c>
      <c r="EJ4" s="15" t="s">
        <v>133</v>
      </c>
      <c r="EK4" s="15" t="s">
        <v>74</v>
      </c>
      <c r="EL4" s="15" t="s">
        <v>75</v>
      </c>
      <c r="EM4" s="15" t="s">
        <v>75</v>
      </c>
      <c r="EN4" s="15" t="s">
        <v>75</v>
      </c>
      <c r="EO4" s="15" t="s">
        <v>75</v>
      </c>
      <c r="EP4" s="15" t="s">
        <v>75</v>
      </c>
      <c r="EQ4" s="15" t="s">
        <v>75</v>
      </c>
      <c r="ER4" s="15" t="s">
        <v>75</v>
      </c>
      <c r="ES4" s="15" t="s">
        <v>75</v>
      </c>
      <c r="ET4" s="15" t="s">
        <v>75</v>
      </c>
      <c r="EU4" s="15" t="s">
        <v>75</v>
      </c>
      <c r="EV4" s="15" t="s">
        <v>75</v>
      </c>
      <c r="EW4" s="15" t="s">
        <v>75</v>
      </c>
      <c r="EX4" s="15" t="s">
        <v>75</v>
      </c>
      <c r="EY4" s="15" t="s">
        <v>75</v>
      </c>
      <c r="EZ4" s="15" t="s">
        <v>75</v>
      </c>
      <c r="FA4" s="15" t="s">
        <v>75</v>
      </c>
      <c r="FB4" s="15" t="s">
        <v>75</v>
      </c>
      <c r="FC4" s="15" t="s">
        <v>75</v>
      </c>
      <c r="FD4" s="15" t="s">
        <v>75</v>
      </c>
      <c r="FE4" s="15" t="s">
        <v>75</v>
      </c>
      <c r="FF4" s="15" t="s">
        <v>75</v>
      </c>
      <c r="FG4" s="15" t="s">
        <v>75</v>
      </c>
      <c r="FH4" s="15" t="s">
        <v>75</v>
      </c>
      <c r="FI4" s="15" t="s">
        <v>75</v>
      </c>
      <c r="FJ4" s="15" t="s">
        <v>75</v>
      </c>
      <c r="FK4" s="15" t="s">
        <v>75</v>
      </c>
      <c r="FL4" s="15" t="s">
        <v>75</v>
      </c>
      <c r="FM4" s="15" t="s">
        <v>75</v>
      </c>
      <c r="FN4" s="15" t="s">
        <v>75</v>
      </c>
      <c r="FO4" s="15" t="s">
        <v>75</v>
      </c>
      <c r="FP4" s="15" t="s">
        <v>75</v>
      </c>
      <c r="FQ4" s="15" t="s">
        <v>75</v>
      </c>
      <c r="FR4" s="15" t="s">
        <v>75</v>
      </c>
      <c r="FS4" s="15"/>
      <c r="FT4" s="15"/>
      <c r="FU4" s="15"/>
      <c r="FV4" s="15"/>
      <c r="FW4" s="15"/>
      <c r="FX4" s="15"/>
      <c r="FY4" s="15"/>
      <c r="FZ4" s="15"/>
      <c r="GA4" s="15"/>
      <c r="GB4" s="15"/>
      <c r="GC4" s="15"/>
      <c r="GD4" s="15"/>
      <c r="GE4" s="15"/>
      <c r="GF4" s="15"/>
      <c r="GG4" s="15"/>
      <c r="GH4" s="15"/>
      <c r="GI4" s="15"/>
      <c r="GJ4" s="15"/>
      <c r="GK4" s="15"/>
      <c r="GL4" s="15"/>
      <c r="GM4" s="15"/>
      <c r="GN4" s="15"/>
      <c r="GO4" s="15"/>
      <c r="GP4" s="15"/>
      <c r="GQ4" s="15"/>
      <c r="GR4" s="15"/>
      <c r="GS4" s="15"/>
      <c r="GT4" s="15"/>
      <c r="GU4" s="15"/>
      <c r="GV4" s="15"/>
      <c r="GW4" s="15"/>
      <c r="GX4" s="15"/>
      <c r="GY4" s="15"/>
      <c r="GZ4" s="15"/>
      <c r="HA4" s="15"/>
      <c r="HB4" s="15"/>
      <c r="HC4" s="15"/>
      <c r="HD4" s="15"/>
      <c r="HE4" s="15"/>
      <c r="HF4" s="15"/>
    </row>
    <row r="5" spans="1:214" s="11" customFormat="1" x14ac:dyDescent="0.2">
      <c r="A5" s="13"/>
      <c r="B5" s="14" t="s">
        <v>76</v>
      </c>
      <c r="C5" s="136"/>
      <c r="D5" s="136"/>
      <c r="E5" s="136"/>
      <c r="F5" s="136"/>
      <c r="G5" s="136"/>
      <c r="H5" s="136"/>
      <c r="I5" s="136"/>
      <c r="J5" s="136"/>
      <c r="K5" s="136"/>
      <c r="L5" s="136"/>
      <c r="M5" s="136"/>
      <c r="N5" s="136"/>
      <c r="O5" s="136"/>
      <c r="P5" s="136"/>
      <c r="Q5" s="136"/>
      <c r="R5" s="136"/>
      <c r="S5" s="136"/>
      <c r="T5" s="136"/>
      <c r="U5" s="136"/>
      <c r="V5" s="136"/>
      <c r="W5" s="136"/>
      <c r="X5" s="136"/>
      <c r="Y5" s="136"/>
      <c r="Z5" s="136"/>
      <c r="AA5" s="136"/>
      <c r="AB5" s="136"/>
      <c r="AC5" s="136"/>
      <c r="AD5" s="136"/>
      <c r="AE5" s="136"/>
      <c r="AF5" s="136"/>
      <c r="AG5" s="136"/>
      <c r="AH5" s="136"/>
      <c r="AI5" s="136"/>
      <c r="AJ5" s="136"/>
      <c r="AK5" s="136"/>
      <c r="AL5" s="136"/>
      <c r="AM5" s="136"/>
      <c r="AN5" s="136"/>
      <c r="AO5" s="136"/>
      <c r="AP5" s="136"/>
      <c r="AQ5" s="136"/>
      <c r="AR5" s="136"/>
      <c r="AS5" s="136"/>
      <c r="AT5" s="136"/>
      <c r="AU5" s="136"/>
      <c r="AV5" s="136"/>
      <c r="AW5" s="136"/>
      <c r="AX5" s="136"/>
      <c r="AY5" s="136"/>
      <c r="AZ5" s="136"/>
      <c r="BA5" s="136"/>
      <c r="BB5" s="136"/>
      <c r="BC5" s="136"/>
      <c r="BD5" s="136"/>
      <c r="BE5" s="136"/>
      <c r="BF5" s="136"/>
      <c r="BG5" s="136"/>
      <c r="BH5" s="136"/>
      <c r="BI5" s="136"/>
      <c r="BJ5" s="136"/>
      <c r="BK5" s="136"/>
      <c r="BL5" s="136"/>
      <c r="BM5" s="136"/>
      <c r="BN5" s="136"/>
      <c r="BO5" s="136"/>
      <c r="BP5" s="136"/>
      <c r="BQ5" s="136"/>
      <c r="BR5" s="136"/>
      <c r="BS5" s="136"/>
      <c r="BT5" s="136"/>
      <c r="BU5" s="136"/>
      <c r="BV5" s="136"/>
      <c r="BW5" s="136"/>
      <c r="BX5" s="136"/>
      <c r="BY5" s="136"/>
      <c r="BZ5" s="136"/>
      <c r="CA5" s="136"/>
      <c r="CB5" s="136"/>
      <c r="CC5" s="136"/>
      <c r="CD5" s="136"/>
      <c r="CE5" s="136"/>
      <c r="CF5" s="136"/>
      <c r="CG5" s="136"/>
      <c r="CH5" s="136"/>
      <c r="CI5" s="136"/>
      <c r="CJ5" s="136"/>
      <c r="CK5" s="136"/>
      <c r="CL5" s="136"/>
      <c r="CM5" s="136"/>
      <c r="CN5" s="136"/>
      <c r="CO5" s="136"/>
      <c r="CP5" s="136"/>
      <c r="CQ5" s="136"/>
      <c r="CR5" s="136"/>
      <c r="CS5" s="136"/>
      <c r="CT5" s="136"/>
      <c r="CU5" s="136"/>
      <c r="CV5" s="136"/>
      <c r="CW5" s="136"/>
      <c r="CX5" s="136"/>
      <c r="CY5" s="136"/>
      <c r="CZ5" s="136"/>
      <c r="DA5" s="136"/>
      <c r="DB5" s="136"/>
      <c r="DC5" s="136"/>
      <c r="DD5" s="136"/>
      <c r="DE5" s="136"/>
      <c r="DF5" s="136"/>
      <c r="DG5" s="136"/>
      <c r="DH5" s="136"/>
      <c r="DI5" s="136"/>
      <c r="DJ5" s="136"/>
      <c r="DK5" s="136"/>
      <c r="DL5" s="136"/>
      <c r="DM5" s="136"/>
      <c r="DN5" s="136"/>
      <c r="DO5" s="136"/>
      <c r="DP5" s="136"/>
      <c r="DQ5" s="136"/>
      <c r="DR5" s="136"/>
      <c r="DS5" s="136"/>
      <c r="DT5" s="136"/>
      <c r="DU5" s="136"/>
      <c r="DV5" s="136"/>
      <c r="DW5" s="136"/>
      <c r="DX5" s="136"/>
      <c r="DY5" s="136"/>
      <c r="DZ5" s="136"/>
      <c r="EA5" s="136"/>
      <c r="EB5" s="136"/>
      <c r="EC5" s="136"/>
      <c r="ED5" s="136"/>
      <c r="EE5" s="136"/>
      <c r="EF5" s="136"/>
      <c r="EG5" s="136"/>
      <c r="EH5" s="136"/>
      <c r="EI5" s="136"/>
      <c r="EJ5" s="136"/>
      <c r="EK5" s="136"/>
      <c r="EL5" s="136"/>
      <c r="EM5" s="136"/>
      <c r="EN5" s="136"/>
      <c r="EO5" s="136"/>
      <c r="EP5" s="136"/>
      <c r="EQ5" s="136"/>
      <c r="ER5" s="136"/>
      <c r="ES5" s="136"/>
      <c r="ET5" s="136"/>
      <c r="EU5" s="136"/>
      <c r="EV5" s="136"/>
      <c r="EW5" s="136"/>
      <c r="EX5" s="136"/>
      <c r="EY5" s="136"/>
      <c r="EZ5" s="136"/>
      <c r="FA5" s="136"/>
      <c r="FB5" s="136"/>
      <c r="FC5" s="136"/>
      <c r="FD5" s="136"/>
      <c r="FE5" s="136"/>
      <c r="FF5" s="136"/>
      <c r="FG5" s="136"/>
      <c r="FH5" s="136"/>
      <c r="FI5" s="136"/>
      <c r="FJ5" s="136"/>
      <c r="FK5" s="136"/>
      <c r="FL5" s="136"/>
      <c r="FM5" s="136"/>
      <c r="FN5" s="136"/>
      <c r="FO5" s="136"/>
      <c r="FP5" s="136"/>
      <c r="FQ5" s="136"/>
      <c r="FR5" s="136"/>
      <c r="FS5" s="136"/>
      <c r="FT5" s="136"/>
      <c r="FU5" s="136"/>
      <c r="FV5" s="136"/>
      <c r="FW5" s="136"/>
      <c r="FX5" s="136"/>
      <c r="FY5" s="136"/>
      <c r="FZ5" s="136"/>
      <c r="GA5" s="136"/>
      <c r="GB5" s="136"/>
      <c r="GC5" s="136"/>
      <c r="GD5" s="136"/>
      <c r="GE5" s="136"/>
      <c r="GF5" s="136"/>
      <c r="GG5" s="136"/>
      <c r="GH5" s="136"/>
      <c r="GI5" s="136"/>
      <c r="GJ5" s="136"/>
      <c r="GK5" s="136"/>
      <c r="GL5" s="136"/>
      <c r="GM5" s="136"/>
      <c r="GN5" s="136"/>
      <c r="GO5" s="136"/>
      <c r="GP5" s="136"/>
      <c r="GQ5" s="136"/>
      <c r="GR5" s="136"/>
      <c r="GS5" s="136"/>
      <c r="GT5" s="136"/>
      <c r="GU5" s="136"/>
      <c r="GV5" s="136"/>
      <c r="GW5" s="136"/>
      <c r="GX5" s="136"/>
      <c r="GY5" s="136"/>
      <c r="GZ5" s="136"/>
      <c r="HA5" s="136"/>
      <c r="HB5" s="136"/>
      <c r="HC5" s="136"/>
      <c r="HD5" s="136"/>
      <c r="HE5" s="136"/>
      <c r="HF5" s="136"/>
    </row>
    <row r="6" spans="1:214" s="19" customFormat="1" ht="25.8" customHeight="1" x14ac:dyDescent="0.2">
      <c r="A6" s="17"/>
      <c r="B6" s="16" t="s">
        <v>226</v>
      </c>
      <c r="C6" s="137"/>
      <c r="D6" s="137"/>
      <c r="E6" s="137"/>
      <c r="F6" s="137"/>
      <c r="G6" s="137"/>
      <c r="H6" s="137"/>
      <c r="I6" s="137"/>
      <c r="J6" s="137"/>
      <c r="K6" s="137"/>
      <c r="L6" s="137"/>
      <c r="M6" s="137"/>
      <c r="N6" s="137"/>
      <c r="O6" s="137"/>
      <c r="P6" s="137"/>
      <c r="Q6" s="137"/>
      <c r="R6" s="137"/>
      <c r="S6" s="137"/>
      <c r="T6" s="137"/>
      <c r="U6" s="137"/>
      <c r="V6" s="137"/>
      <c r="W6" s="137"/>
      <c r="X6" s="137"/>
      <c r="Y6" s="137"/>
      <c r="Z6" s="137"/>
      <c r="AA6" s="137"/>
      <c r="AB6" s="137" t="s">
        <v>345</v>
      </c>
      <c r="AC6" s="137" t="s">
        <v>345</v>
      </c>
      <c r="AD6" s="137" t="s">
        <v>345</v>
      </c>
      <c r="AE6" s="137"/>
      <c r="AF6" s="137"/>
      <c r="AG6" s="137"/>
      <c r="AH6" s="137"/>
      <c r="AI6" s="137"/>
      <c r="AJ6" s="137"/>
      <c r="AK6" s="137"/>
      <c r="AL6" s="137"/>
      <c r="AM6" s="137"/>
      <c r="AN6" s="137"/>
      <c r="AO6" s="137"/>
      <c r="AP6" s="137"/>
      <c r="AQ6" s="137"/>
      <c r="AR6" s="137"/>
      <c r="AS6" s="137"/>
      <c r="AT6" s="137"/>
      <c r="AU6" s="137"/>
      <c r="AV6" s="137"/>
      <c r="AW6" s="137"/>
      <c r="AX6" s="137"/>
      <c r="AY6" s="137"/>
      <c r="AZ6" s="137"/>
      <c r="BA6" s="137"/>
      <c r="BB6" s="137"/>
      <c r="BC6" s="137"/>
      <c r="BD6" s="137"/>
      <c r="BE6" s="137"/>
      <c r="BF6" s="137"/>
      <c r="BG6" s="137"/>
      <c r="BH6" s="137"/>
      <c r="BI6" s="137"/>
      <c r="BJ6" s="137"/>
      <c r="BK6" s="137"/>
      <c r="BL6" s="137"/>
      <c r="BM6" s="137" t="s">
        <v>346</v>
      </c>
      <c r="BN6" s="137" t="s">
        <v>346</v>
      </c>
      <c r="BO6" s="137" t="s">
        <v>346</v>
      </c>
      <c r="BP6" s="137" t="s">
        <v>347</v>
      </c>
      <c r="BQ6" s="137"/>
      <c r="BR6" s="137" t="s">
        <v>345</v>
      </c>
      <c r="BS6" s="137"/>
      <c r="BT6" s="137"/>
      <c r="BU6" s="137"/>
      <c r="BV6" s="137"/>
      <c r="BW6" s="137"/>
      <c r="BX6" s="137"/>
      <c r="BY6" s="137"/>
      <c r="BZ6" s="137"/>
      <c r="CA6" s="137"/>
      <c r="CB6" s="137"/>
      <c r="CC6" s="137"/>
      <c r="CD6" s="137"/>
      <c r="CE6" s="137"/>
      <c r="CF6" s="137"/>
      <c r="CG6" s="137"/>
      <c r="CH6" s="137"/>
      <c r="CI6" s="137"/>
      <c r="CJ6" s="137"/>
      <c r="CK6" s="137"/>
      <c r="CL6" s="137"/>
      <c r="CM6" s="137"/>
      <c r="CN6" s="137"/>
      <c r="CO6" s="137"/>
      <c r="CP6" s="137"/>
      <c r="CQ6" s="137"/>
      <c r="CR6" s="137"/>
      <c r="CS6" s="137"/>
      <c r="CT6" s="137"/>
      <c r="CU6" s="137"/>
      <c r="CV6" s="137" t="s">
        <v>345</v>
      </c>
      <c r="CW6" s="137"/>
      <c r="CX6" s="137"/>
      <c r="CY6" s="137"/>
      <c r="CZ6" s="137"/>
      <c r="DA6" s="137"/>
      <c r="DB6" s="137"/>
      <c r="DC6" s="137"/>
      <c r="DD6" s="137"/>
      <c r="DE6" s="137"/>
      <c r="DF6" s="137"/>
      <c r="DG6" s="137"/>
      <c r="DH6" s="137"/>
      <c r="DI6" s="137"/>
      <c r="DJ6" s="137"/>
      <c r="DK6" s="137"/>
      <c r="DL6" s="137"/>
      <c r="DM6" s="137"/>
      <c r="DN6" s="137"/>
      <c r="DO6" s="137" t="s">
        <v>345</v>
      </c>
      <c r="DP6" s="137" t="s">
        <v>227</v>
      </c>
      <c r="DQ6" s="137" t="s">
        <v>227</v>
      </c>
      <c r="DR6" s="137" t="s">
        <v>227</v>
      </c>
      <c r="DS6" s="137" t="s">
        <v>227</v>
      </c>
      <c r="DT6" s="137" t="s">
        <v>227</v>
      </c>
      <c r="DU6" s="137" t="s">
        <v>227</v>
      </c>
      <c r="DV6" s="137" t="s">
        <v>227</v>
      </c>
      <c r="DW6" s="137" t="s">
        <v>227</v>
      </c>
      <c r="DX6" s="137" t="s">
        <v>227</v>
      </c>
      <c r="DY6" s="137" t="s">
        <v>227</v>
      </c>
      <c r="DZ6" s="137" t="s">
        <v>227</v>
      </c>
      <c r="EA6" s="137" t="s">
        <v>227</v>
      </c>
      <c r="EB6" s="137" t="s">
        <v>227</v>
      </c>
      <c r="EC6" s="137" t="s">
        <v>227</v>
      </c>
      <c r="ED6" s="137" t="s">
        <v>227</v>
      </c>
      <c r="EE6" s="137" t="s">
        <v>227</v>
      </c>
      <c r="EF6" s="137" t="s">
        <v>227</v>
      </c>
      <c r="EG6" s="137" t="s">
        <v>227</v>
      </c>
      <c r="EH6" s="137" t="s">
        <v>227</v>
      </c>
      <c r="EI6" s="137" t="s">
        <v>227</v>
      </c>
      <c r="EJ6" s="137" t="s">
        <v>227</v>
      </c>
      <c r="EK6" s="137" t="s">
        <v>227</v>
      </c>
      <c r="EL6" s="137" t="s">
        <v>348</v>
      </c>
      <c r="EM6" s="137" t="s">
        <v>348</v>
      </c>
      <c r="EN6" s="137" t="s">
        <v>349</v>
      </c>
      <c r="EO6" s="137" t="s">
        <v>349</v>
      </c>
      <c r="EP6" s="137" t="s">
        <v>345</v>
      </c>
      <c r="EQ6" s="137"/>
      <c r="ER6" s="137"/>
      <c r="ES6" s="137"/>
      <c r="ET6" s="137"/>
      <c r="EU6" s="137"/>
      <c r="EV6" s="137"/>
      <c r="EW6" s="137"/>
      <c r="EX6" s="137"/>
      <c r="EY6" s="137"/>
      <c r="EZ6" s="137"/>
      <c r="FA6" s="137"/>
      <c r="FB6" s="137"/>
      <c r="FC6" s="137"/>
      <c r="FD6" s="137"/>
      <c r="FE6" s="137"/>
      <c r="FF6" s="137"/>
      <c r="FG6" s="137"/>
      <c r="FH6" s="137" t="s">
        <v>346</v>
      </c>
      <c r="FI6" s="137"/>
      <c r="FJ6" s="137"/>
      <c r="FK6" s="137"/>
      <c r="FL6" s="137"/>
      <c r="FM6" s="137"/>
      <c r="FN6" s="137"/>
      <c r="FO6" s="137"/>
      <c r="FP6" s="137"/>
      <c r="FQ6" s="137"/>
      <c r="FR6" s="137"/>
      <c r="FS6" s="137"/>
      <c r="FT6" s="137"/>
      <c r="FU6" s="137"/>
      <c r="FV6" s="137"/>
      <c r="FW6" s="137"/>
      <c r="FX6" s="137"/>
      <c r="FY6" s="137"/>
      <c r="FZ6" s="137"/>
      <c r="GA6" s="137"/>
      <c r="GB6" s="137"/>
      <c r="GC6" s="137"/>
      <c r="GD6" s="137"/>
      <c r="GE6" s="137"/>
      <c r="GF6" s="137"/>
      <c r="GG6" s="137"/>
      <c r="GH6" s="137"/>
      <c r="GI6" s="137"/>
      <c r="GJ6" s="137"/>
      <c r="GK6" s="137"/>
      <c r="GL6" s="137"/>
      <c r="GM6" s="137"/>
      <c r="GN6" s="137"/>
      <c r="GO6" s="137"/>
      <c r="GP6" s="137"/>
      <c r="GQ6" s="137"/>
      <c r="GR6" s="137"/>
      <c r="GS6" s="137"/>
      <c r="GT6" s="137"/>
      <c r="GU6" s="137"/>
      <c r="GV6" s="137"/>
      <c r="GW6" s="137"/>
      <c r="GX6" s="137"/>
      <c r="GY6" s="137"/>
      <c r="GZ6" s="137"/>
      <c r="HA6" s="137"/>
      <c r="HB6" s="137"/>
      <c r="HC6" s="137"/>
      <c r="HD6" s="137"/>
      <c r="HE6" s="137"/>
      <c r="HF6" s="137"/>
    </row>
    <row r="7" spans="1:214" s="22" customFormat="1" ht="47.4" customHeight="1" x14ac:dyDescent="0.3">
      <c r="A7" s="20"/>
      <c r="B7" s="21" t="s">
        <v>78</v>
      </c>
      <c r="C7" s="21" t="s">
        <v>137</v>
      </c>
      <c r="D7" s="21" t="s">
        <v>134</v>
      </c>
      <c r="E7" s="21" t="s">
        <v>138</v>
      </c>
      <c r="F7" s="21" t="s">
        <v>55</v>
      </c>
      <c r="G7" s="21" t="s">
        <v>8</v>
      </c>
      <c r="H7" s="21" t="s">
        <v>139</v>
      </c>
      <c r="I7" s="21" t="s">
        <v>395</v>
      </c>
      <c r="J7" s="21" t="s">
        <v>140</v>
      </c>
      <c r="K7" s="21" t="s">
        <v>4</v>
      </c>
      <c r="L7" s="21" t="s">
        <v>21</v>
      </c>
      <c r="M7" s="21" t="s">
        <v>141</v>
      </c>
      <c r="N7" s="21" t="s">
        <v>135</v>
      </c>
      <c r="O7" s="21" t="s">
        <v>219</v>
      </c>
      <c r="P7" s="21" t="s">
        <v>11</v>
      </c>
      <c r="Q7" s="21" t="s">
        <v>142</v>
      </c>
      <c r="R7" s="21" t="s">
        <v>136</v>
      </c>
      <c r="S7" s="21" t="s">
        <v>12</v>
      </c>
      <c r="T7" s="21" t="s">
        <v>9</v>
      </c>
      <c r="U7" s="21" t="s">
        <v>143</v>
      </c>
      <c r="V7" s="21" t="s">
        <v>144</v>
      </c>
      <c r="W7" s="21" t="s">
        <v>145</v>
      </c>
      <c r="X7" s="21" t="s">
        <v>146</v>
      </c>
      <c r="Y7" s="21" t="s">
        <v>312</v>
      </c>
      <c r="Z7" s="21" t="s">
        <v>295</v>
      </c>
      <c r="AA7" s="21" t="s">
        <v>7</v>
      </c>
      <c r="AB7" s="21" t="s">
        <v>350</v>
      </c>
      <c r="AC7" s="21" t="s">
        <v>351</v>
      </c>
      <c r="AD7" s="21" t="s">
        <v>352</v>
      </c>
      <c r="AE7" s="21" t="s">
        <v>6</v>
      </c>
      <c r="AF7" s="21" t="s">
        <v>147</v>
      </c>
      <c r="AG7" s="21" t="s">
        <v>220</v>
      </c>
      <c r="AH7" s="21" t="s">
        <v>148</v>
      </c>
      <c r="AI7" s="21" t="s">
        <v>149</v>
      </c>
      <c r="AJ7" s="21" t="s">
        <v>170</v>
      </c>
      <c r="AK7" s="21" t="s">
        <v>302</v>
      </c>
      <c r="AL7" s="21" t="s">
        <v>303</v>
      </c>
      <c r="AM7" s="21" t="s">
        <v>150</v>
      </c>
      <c r="AN7" s="21" t="s">
        <v>221</v>
      </c>
      <c r="AO7" s="21" t="s">
        <v>151</v>
      </c>
      <c r="AP7" s="21" t="s">
        <v>396</v>
      </c>
      <c r="AQ7" s="21" t="s">
        <v>313</v>
      </c>
      <c r="AR7" s="21" t="s">
        <v>337</v>
      </c>
      <c r="AS7" s="21" t="s">
        <v>338</v>
      </c>
      <c r="AT7" s="21" t="s">
        <v>152</v>
      </c>
      <c r="AU7" s="21" t="s">
        <v>222</v>
      </c>
      <c r="AV7" s="21" t="s">
        <v>293</v>
      </c>
      <c r="AW7" s="21" t="s">
        <v>153</v>
      </c>
      <c r="AX7" s="21" t="s">
        <v>154</v>
      </c>
      <c r="AY7" s="21" t="s">
        <v>265</v>
      </c>
      <c r="AZ7" s="21" t="s">
        <v>91</v>
      </c>
      <c r="BA7" s="21" t="s">
        <v>301</v>
      </c>
      <c r="BB7" s="21" t="s">
        <v>88</v>
      </c>
      <c r="BC7" s="21" t="s">
        <v>156</v>
      </c>
      <c r="BD7" s="21" t="s">
        <v>157</v>
      </c>
      <c r="BE7" s="21" t="s">
        <v>158</v>
      </c>
      <c r="BF7" s="21" t="s">
        <v>159</v>
      </c>
      <c r="BG7" s="21" t="s">
        <v>309</v>
      </c>
      <c r="BH7" s="21" t="s">
        <v>160</v>
      </c>
      <c r="BI7" s="21" t="s">
        <v>155</v>
      </c>
      <c r="BJ7" s="21" t="s">
        <v>161</v>
      </c>
      <c r="BK7" s="21" t="s">
        <v>3</v>
      </c>
      <c r="BL7" s="21" t="s">
        <v>397</v>
      </c>
      <c r="BM7" s="21" t="s">
        <v>353</v>
      </c>
      <c r="BN7" s="21" t="s">
        <v>354</v>
      </c>
      <c r="BO7" s="21" t="s">
        <v>355</v>
      </c>
      <c r="BP7" s="21" t="s">
        <v>162</v>
      </c>
      <c r="BQ7" s="21" t="s">
        <v>162</v>
      </c>
      <c r="BR7" s="21" t="s">
        <v>87</v>
      </c>
      <c r="BS7" s="21" t="s">
        <v>399</v>
      </c>
      <c r="BT7" s="21" t="s">
        <v>398</v>
      </c>
      <c r="BU7" s="21" t="s">
        <v>163</v>
      </c>
      <c r="BV7" s="21" t="s">
        <v>400</v>
      </c>
      <c r="BW7" s="21" t="s">
        <v>300</v>
      </c>
      <c r="BX7" s="21" t="s">
        <v>164</v>
      </c>
      <c r="BY7" s="21" t="s">
        <v>165</v>
      </c>
      <c r="BZ7" s="21" t="s">
        <v>166</v>
      </c>
      <c r="CA7" s="21" t="s">
        <v>167</v>
      </c>
      <c r="CB7" s="21" t="s">
        <v>168</v>
      </c>
      <c r="CC7" s="21" t="s">
        <v>169</v>
      </c>
      <c r="CD7" s="21" t="s">
        <v>172</v>
      </c>
      <c r="CE7" s="21" t="s">
        <v>284</v>
      </c>
      <c r="CF7" s="21" t="s">
        <v>173</v>
      </c>
      <c r="CG7" s="21" t="s">
        <v>174</v>
      </c>
      <c r="CH7" s="21" t="s">
        <v>223</v>
      </c>
      <c r="CI7" s="21" t="s">
        <v>175</v>
      </c>
      <c r="CJ7" s="21" t="s">
        <v>176</v>
      </c>
      <c r="CK7" s="21" t="s">
        <v>177</v>
      </c>
      <c r="CL7" s="21" t="s">
        <v>296</v>
      </c>
      <c r="CM7" s="21" t="s">
        <v>224</v>
      </c>
      <c r="CN7" s="21" t="s">
        <v>401</v>
      </c>
      <c r="CO7" s="21" t="s">
        <v>178</v>
      </c>
      <c r="CP7" s="21" t="s">
        <v>402</v>
      </c>
      <c r="CQ7" s="21" t="s">
        <v>179</v>
      </c>
      <c r="CR7" s="21" t="s">
        <v>180</v>
      </c>
      <c r="CS7" s="21" t="s">
        <v>181</v>
      </c>
      <c r="CT7" s="21" t="s">
        <v>171</v>
      </c>
      <c r="CU7" s="21" t="s">
        <v>182</v>
      </c>
      <c r="CV7" s="21" t="s">
        <v>403</v>
      </c>
      <c r="CW7" s="21" t="s">
        <v>183</v>
      </c>
      <c r="CX7" s="21" t="s">
        <v>183</v>
      </c>
      <c r="CY7" s="21" t="s">
        <v>404</v>
      </c>
      <c r="CZ7" s="21" t="s">
        <v>184</v>
      </c>
      <c r="DA7" s="21" t="s">
        <v>185</v>
      </c>
      <c r="DB7" s="21" t="s">
        <v>186</v>
      </c>
      <c r="DC7" s="21" t="s">
        <v>188</v>
      </c>
      <c r="DD7" s="21" t="s">
        <v>189</v>
      </c>
      <c r="DE7" s="21" t="s">
        <v>190</v>
      </c>
      <c r="DF7" s="21" t="s">
        <v>32</v>
      </c>
      <c r="DG7" s="21" t="s">
        <v>191</v>
      </c>
      <c r="DH7" s="21" t="s">
        <v>192</v>
      </c>
      <c r="DI7" s="21" t="s">
        <v>187</v>
      </c>
      <c r="DJ7" s="21" t="s">
        <v>405</v>
      </c>
      <c r="DK7" s="21" t="s">
        <v>193</v>
      </c>
      <c r="DL7" s="21" t="s">
        <v>194</v>
      </c>
      <c r="DM7" s="21" t="s">
        <v>195</v>
      </c>
      <c r="DN7" s="21" t="s">
        <v>196</v>
      </c>
      <c r="DO7" s="21" t="s">
        <v>336</v>
      </c>
      <c r="DP7" s="21" t="s">
        <v>285</v>
      </c>
      <c r="DQ7" s="21" t="s">
        <v>282</v>
      </c>
      <c r="DR7" s="21" t="s">
        <v>144</v>
      </c>
      <c r="DS7" s="21" t="s">
        <v>267</v>
      </c>
      <c r="DT7" s="21" t="s">
        <v>268</v>
      </c>
      <c r="DU7" s="21" t="s">
        <v>269</v>
      </c>
      <c r="DV7" s="21" t="s">
        <v>228</v>
      </c>
      <c r="DW7" s="21" t="s">
        <v>280</v>
      </c>
      <c r="DX7" s="21" t="s">
        <v>229</v>
      </c>
      <c r="DY7" s="21" t="s">
        <v>162</v>
      </c>
      <c r="DZ7" s="21" t="s">
        <v>237</v>
      </c>
      <c r="EA7" s="21" t="s">
        <v>238</v>
      </c>
      <c r="EB7" s="21" t="s">
        <v>279</v>
      </c>
      <c r="EC7" s="21" t="s">
        <v>274</v>
      </c>
      <c r="ED7" s="21" t="s">
        <v>275</v>
      </c>
      <c r="EE7" s="21" t="s">
        <v>276</v>
      </c>
      <c r="EF7" s="21" t="s">
        <v>277</v>
      </c>
      <c r="EG7" s="21" t="s">
        <v>278</v>
      </c>
      <c r="EH7" s="21" t="s">
        <v>233</v>
      </c>
      <c r="EI7" s="21" t="s">
        <v>234</v>
      </c>
      <c r="EJ7" s="21" t="s">
        <v>235</v>
      </c>
      <c r="EK7" s="21" t="s">
        <v>236</v>
      </c>
      <c r="EL7" s="21" t="s">
        <v>234</v>
      </c>
      <c r="EM7" s="21" t="s">
        <v>356</v>
      </c>
      <c r="EN7" s="21" t="s">
        <v>162</v>
      </c>
      <c r="EO7" s="21" t="s">
        <v>357</v>
      </c>
      <c r="EP7" s="21" t="s">
        <v>89</v>
      </c>
      <c r="EQ7" s="21" t="s">
        <v>240</v>
      </c>
      <c r="ER7" s="21" t="s">
        <v>241</v>
      </c>
      <c r="ES7" s="21" t="s">
        <v>242</v>
      </c>
      <c r="ET7" s="21" t="s">
        <v>243</v>
      </c>
      <c r="EU7" s="21" t="s">
        <v>244</v>
      </c>
      <c r="EV7" s="21" t="s">
        <v>246</v>
      </c>
      <c r="EW7" s="21" t="s">
        <v>247</v>
      </c>
      <c r="EX7" s="21" t="s">
        <v>249</v>
      </c>
      <c r="EY7" s="21" t="s">
        <v>248</v>
      </c>
      <c r="EZ7" s="21" t="s">
        <v>250</v>
      </c>
      <c r="FA7" s="21" t="s">
        <v>251</v>
      </c>
      <c r="FB7" s="21" t="s">
        <v>252</v>
      </c>
      <c r="FC7" s="21" t="s">
        <v>245</v>
      </c>
      <c r="FD7" s="21" t="s">
        <v>406</v>
      </c>
      <c r="FE7" s="21" t="s">
        <v>253</v>
      </c>
      <c r="FF7" s="21" t="s">
        <v>407</v>
      </c>
      <c r="FG7" s="21" t="s">
        <v>408</v>
      </c>
      <c r="FH7" s="21" t="s">
        <v>358</v>
      </c>
      <c r="FI7" s="21" t="s">
        <v>254</v>
      </c>
      <c r="FJ7" s="21" t="s">
        <v>256</v>
      </c>
      <c r="FK7" s="21" t="s">
        <v>257</v>
      </c>
      <c r="FL7" s="21" t="s">
        <v>409</v>
      </c>
      <c r="FM7" s="21" t="s">
        <v>262</v>
      </c>
      <c r="FN7" s="21" t="s">
        <v>255</v>
      </c>
      <c r="FO7" s="21" t="s">
        <v>258</v>
      </c>
      <c r="FP7" s="21" t="s">
        <v>259</v>
      </c>
      <c r="FQ7" s="21" t="s">
        <v>260</v>
      </c>
      <c r="FR7" s="21" t="s">
        <v>294</v>
      </c>
      <c r="FS7" s="21"/>
      <c r="FT7" s="21"/>
      <c r="FU7" s="21"/>
      <c r="FV7" s="21"/>
      <c r="FW7" s="21"/>
      <c r="FX7" s="21"/>
      <c r="FY7" s="21"/>
      <c r="FZ7" s="21"/>
      <c r="GA7" s="21"/>
      <c r="GB7" s="21"/>
      <c r="GC7" s="21"/>
      <c r="GD7" s="21"/>
      <c r="GE7" s="21"/>
      <c r="GF7" s="21"/>
      <c r="GG7" s="21"/>
      <c r="GH7" s="21"/>
      <c r="GI7" s="21"/>
      <c r="GJ7" s="21"/>
      <c r="GK7" s="21"/>
      <c r="GL7" s="21"/>
      <c r="GM7" s="21"/>
      <c r="GN7" s="21"/>
      <c r="GO7" s="21"/>
      <c r="GP7" s="21"/>
      <c r="GQ7" s="21"/>
      <c r="GR7" s="21"/>
      <c r="GS7" s="21"/>
      <c r="GT7" s="21"/>
      <c r="GU7" s="21"/>
      <c r="GV7" s="21"/>
      <c r="GW7" s="21"/>
      <c r="GX7" s="21"/>
      <c r="GY7" s="21"/>
      <c r="GZ7" s="21"/>
      <c r="HA7" s="21"/>
      <c r="HB7" s="21"/>
      <c r="HC7" s="21"/>
      <c r="HD7" s="21"/>
      <c r="HE7" s="21"/>
      <c r="HF7" s="21"/>
    </row>
    <row r="8" spans="1:214" x14ac:dyDescent="0.2">
      <c r="A8" s="23" t="s">
        <v>84</v>
      </c>
      <c r="B8" s="24"/>
    </row>
    <row r="9" spans="1:214" x14ac:dyDescent="0.2">
      <c r="A9" s="25" t="s">
        <v>341</v>
      </c>
      <c r="C9" s="26" t="s">
        <v>363</v>
      </c>
      <c r="D9" s="26" t="s">
        <v>363</v>
      </c>
      <c r="E9" s="26" t="s">
        <v>363</v>
      </c>
      <c r="F9" s="26" t="s">
        <v>363</v>
      </c>
      <c r="G9" s="26" t="s">
        <v>363</v>
      </c>
      <c r="H9" s="26" t="s">
        <v>363</v>
      </c>
      <c r="I9" s="26" t="s">
        <v>363</v>
      </c>
      <c r="J9" s="26" t="s">
        <v>363</v>
      </c>
      <c r="K9" s="26" t="s">
        <v>363</v>
      </c>
      <c r="L9" s="26" t="s">
        <v>363</v>
      </c>
      <c r="M9" s="26" t="s">
        <v>363</v>
      </c>
      <c r="N9" s="26" t="s">
        <v>363</v>
      </c>
      <c r="O9" s="26" t="s">
        <v>363</v>
      </c>
      <c r="P9" s="26" t="s">
        <v>363</v>
      </c>
      <c r="Q9" s="26" t="s">
        <v>363</v>
      </c>
      <c r="R9" s="26" t="s">
        <v>363</v>
      </c>
      <c r="S9" s="26" t="s">
        <v>363</v>
      </c>
      <c r="T9" s="26" t="s">
        <v>363</v>
      </c>
      <c r="U9" s="26" t="s">
        <v>363</v>
      </c>
      <c r="V9" s="26" t="s">
        <v>363</v>
      </c>
      <c r="W9" s="26" t="s">
        <v>363</v>
      </c>
      <c r="X9" s="26" t="s">
        <v>363</v>
      </c>
      <c r="Y9" s="26" t="s">
        <v>363</v>
      </c>
      <c r="Z9" s="26" t="s">
        <v>363</v>
      </c>
      <c r="AA9" s="26" t="s">
        <v>363</v>
      </c>
      <c r="AB9" s="26" t="s">
        <v>363</v>
      </c>
      <c r="AC9" s="26" t="s">
        <v>363</v>
      </c>
      <c r="AD9" s="26" t="s">
        <v>363</v>
      </c>
      <c r="AE9" s="26" t="s">
        <v>363</v>
      </c>
      <c r="AF9" s="26" t="s">
        <v>363</v>
      </c>
      <c r="AG9" s="26" t="s">
        <v>363</v>
      </c>
      <c r="AH9" s="26" t="s">
        <v>363</v>
      </c>
      <c r="AI9" s="26" t="s">
        <v>363</v>
      </c>
      <c r="AJ9" s="26" t="s">
        <v>363</v>
      </c>
      <c r="AK9" s="26" t="s">
        <v>363</v>
      </c>
      <c r="AL9" s="26" t="s">
        <v>363</v>
      </c>
      <c r="AM9" s="26" t="s">
        <v>363</v>
      </c>
      <c r="AN9" s="26" t="s">
        <v>363</v>
      </c>
      <c r="AO9" s="26" t="s">
        <v>363</v>
      </c>
      <c r="AP9" s="26" t="s">
        <v>363</v>
      </c>
      <c r="AQ9" s="26" t="s">
        <v>363</v>
      </c>
      <c r="AR9" s="26" t="s">
        <v>363</v>
      </c>
      <c r="AS9" s="26" t="s">
        <v>363</v>
      </c>
      <c r="AT9" s="26" t="s">
        <v>363</v>
      </c>
      <c r="AU9" s="26" t="s">
        <v>363</v>
      </c>
      <c r="AV9" s="26" t="s">
        <v>363</v>
      </c>
      <c r="AW9" s="26" t="s">
        <v>363</v>
      </c>
      <c r="AX9" s="26" t="s">
        <v>363</v>
      </c>
      <c r="AY9" s="26" t="s">
        <v>363</v>
      </c>
      <c r="AZ9" s="26" t="s">
        <v>363</v>
      </c>
      <c r="BA9" s="26" t="s">
        <v>363</v>
      </c>
      <c r="BB9" s="26" t="s">
        <v>363</v>
      </c>
      <c r="BC9" s="26" t="s">
        <v>363</v>
      </c>
      <c r="BD9" s="26" t="s">
        <v>363</v>
      </c>
      <c r="BE9" s="26" t="s">
        <v>363</v>
      </c>
      <c r="BF9" s="26" t="s">
        <v>363</v>
      </c>
      <c r="BG9" s="26" t="s">
        <v>363</v>
      </c>
      <c r="BH9" s="26" t="s">
        <v>363</v>
      </c>
      <c r="BI9" s="26" t="s">
        <v>363</v>
      </c>
      <c r="BJ9" s="26" t="s">
        <v>363</v>
      </c>
      <c r="BK9" s="26" t="s">
        <v>363</v>
      </c>
      <c r="BL9" s="26" t="s">
        <v>363</v>
      </c>
      <c r="BM9" s="26" t="s">
        <v>363</v>
      </c>
      <c r="BN9" s="26" t="s">
        <v>363</v>
      </c>
      <c r="BO9" s="26" t="s">
        <v>363</v>
      </c>
      <c r="BP9" s="26" t="s">
        <v>363</v>
      </c>
      <c r="BQ9" s="26" t="s">
        <v>363</v>
      </c>
      <c r="BR9" s="26" t="s">
        <v>363</v>
      </c>
      <c r="BS9" s="26" t="s">
        <v>363</v>
      </c>
      <c r="BT9" s="26" t="s">
        <v>363</v>
      </c>
      <c r="BU9" s="26" t="s">
        <v>363</v>
      </c>
      <c r="BV9" s="26" t="s">
        <v>363</v>
      </c>
      <c r="BW9" s="26" t="s">
        <v>363</v>
      </c>
      <c r="BX9" s="26" t="s">
        <v>363</v>
      </c>
      <c r="BY9" s="26" t="s">
        <v>363</v>
      </c>
      <c r="BZ9" s="26" t="s">
        <v>363</v>
      </c>
      <c r="CA9" s="26" t="s">
        <v>363</v>
      </c>
      <c r="CB9" s="26" t="s">
        <v>363</v>
      </c>
      <c r="CC9" s="26" t="s">
        <v>363</v>
      </c>
      <c r="CD9" s="26" t="s">
        <v>363</v>
      </c>
      <c r="CE9" s="26" t="s">
        <v>363</v>
      </c>
      <c r="CF9" s="26" t="s">
        <v>363</v>
      </c>
      <c r="CG9" s="26" t="s">
        <v>363</v>
      </c>
      <c r="CH9" s="26" t="s">
        <v>363</v>
      </c>
      <c r="CI9" s="26" t="s">
        <v>363</v>
      </c>
      <c r="CJ9" s="26" t="s">
        <v>363</v>
      </c>
      <c r="CK9" s="26" t="s">
        <v>363</v>
      </c>
      <c r="CL9" s="26" t="s">
        <v>363</v>
      </c>
      <c r="CM9" s="26" t="s">
        <v>363</v>
      </c>
      <c r="CN9" s="26" t="s">
        <v>363</v>
      </c>
      <c r="CO9" s="26" t="s">
        <v>363</v>
      </c>
      <c r="CP9" s="26" t="s">
        <v>363</v>
      </c>
      <c r="CQ9" s="26" t="s">
        <v>363</v>
      </c>
      <c r="CR9" s="26" t="s">
        <v>363</v>
      </c>
      <c r="CS9" s="26" t="s">
        <v>363</v>
      </c>
      <c r="CT9" s="26" t="s">
        <v>363</v>
      </c>
      <c r="CU9" s="26" t="s">
        <v>363</v>
      </c>
      <c r="CV9" s="26" t="s">
        <v>363</v>
      </c>
      <c r="CW9" s="26"/>
      <c r="CX9" s="26" t="s">
        <v>363</v>
      </c>
      <c r="CY9" s="26" t="s">
        <v>363</v>
      </c>
      <c r="CZ9" s="26" t="s">
        <v>363</v>
      </c>
      <c r="DA9" s="26" t="s">
        <v>363</v>
      </c>
      <c r="DB9" s="26" t="s">
        <v>363</v>
      </c>
      <c r="DC9" s="26" t="s">
        <v>363</v>
      </c>
      <c r="DD9" s="26" t="s">
        <v>363</v>
      </c>
      <c r="DE9" s="26" t="s">
        <v>363</v>
      </c>
      <c r="DF9" s="26" t="s">
        <v>363</v>
      </c>
      <c r="DG9" s="26" t="s">
        <v>363</v>
      </c>
      <c r="DH9" s="26" t="s">
        <v>363</v>
      </c>
      <c r="DI9" s="26" t="s">
        <v>363</v>
      </c>
      <c r="DJ9" s="26" t="s">
        <v>363</v>
      </c>
      <c r="DK9" s="26" t="s">
        <v>363</v>
      </c>
      <c r="DL9" s="26" t="s">
        <v>363</v>
      </c>
      <c r="DM9" s="26" t="s">
        <v>363</v>
      </c>
      <c r="DN9" s="26" t="s">
        <v>363</v>
      </c>
      <c r="DO9" s="26" t="s">
        <v>363</v>
      </c>
      <c r="DP9" s="26" t="s">
        <v>363</v>
      </c>
      <c r="DQ9" s="26" t="s">
        <v>363</v>
      </c>
      <c r="DR9" s="26" t="s">
        <v>363</v>
      </c>
      <c r="DS9" s="26" t="s">
        <v>363</v>
      </c>
      <c r="DT9" s="26" t="s">
        <v>363</v>
      </c>
      <c r="DU9" s="26" t="s">
        <v>363</v>
      </c>
      <c r="DV9" s="26" t="s">
        <v>363</v>
      </c>
      <c r="DW9" s="26" t="s">
        <v>363</v>
      </c>
      <c r="DX9" s="26" t="s">
        <v>363</v>
      </c>
      <c r="DY9" s="26" t="s">
        <v>363</v>
      </c>
      <c r="DZ9" s="26" t="s">
        <v>363</v>
      </c>
      <c r="EA9" s="26" t="s">
        <v>363</v>
      </c>
      <c r="EB9" s="26" t="s">
        <v>363</v>
      </c>
      <c r="EC9" s="26" t="s">
        <v>363</v>
      </c>
      <c r="ED9" s="26" t="s">
        <v>363</v>
      </c>
      <c r="EE9" s="26" t="s">
        <v>363</v>
      </c>
      <c r="EF9" s="26" t="s">
        <v>363</v>
      </c>
      <c r="EG9" s="26" t="s">
        <v>363</v>
      </c>
      <c r="EH9" s="26" t="s">
        <v>363</v>
      </c>
      <c r="EI9" s="26" t="s">
        <v>363</v>
      </c>
      <c r="EJ9" s="26" t="s">
        <v>363</v>
      </c>
      <c r="EK9" s="26" t="s">
        <v>363</v>
      </c>
      <c r="EL9" s="26" t="s">
        <v>363</v>
      </c>
      <c r="EM9" s="26" t="s">
        <v>363</v>
      </c>
      <c r="EN9" s="26" t="s">
        <v>363</v>
      </c>
      <c r="EO9" s="26" t="s">
        <v>363</v>
      </c>
      <c r="EP9" s="26" t="s">
        <v>363</v>
      </c>
      <c r="EQ9" s="26" t="s">
        <v>363</v>
      </c>
      <c r="ER9" s="26" t="s">
        <v>363</v>
      </c>
      <c r="ES9" s="26" t="s">
        <v>363</v>
      </c>
      <c r="ET9" s="26" t="s">
        <v>363</v>
      </c>
      <c r="EU9" s="26" t="s">
        <v>363</v>
      </c>
      <c r="EV9" s="26" t="s">
        <v>363</v>
      </c>
      <c r="EW9" s="26" t="s">
        <v>363</v>
      </c>
      <c r="EX9" s="26" t="s">
        <v>363</v>
      </c>
      <c r="EY9" s="26" t="s">
        <v>363</v>
      </c>
      <c r="EZ9" s="26" t="s">
        <v>363</v>
      </c>
      <c r="FA9" s="26" t="s">
        <v>363</v>
      </c>
      <c r="FB9" s="26" t="s">
        <v>363</v>
      </c>
      <c r="FC9" s="26" t="s">
        <v>363</v>
      </c>
      <c r="FD9" s="26" t="s">
        <v>363</v>
      </c>
      <c r="FE9" s="26" t="s">
        <v>363</v>
      </c>
      <c r="FF9" s="26" t="s">
        <v>363</v>
      </c>
      <c r="FG9" s="26" t="s">
        <v>363</v>
      </c>
      <c r="FH9" s="26" t="s">
        <v>363</v>
      </c>
      <c r="FI9" s="26" t="s">
        <v>363</v>
      </c>
      <c r="FJ9" s="26" t="s">
        <v>363</v>
      </c>
      <c r="FK9" s="26" t="s">
        <v>363</v>
      </c>
      <c r="FL9" s="26" t="s">
        <v>363</v>
      </c>
      <c r="FM9" s="26" t="s">
        <v>363</v>
      </c>
      <c r="FN9" s="26" t="s">
        <v>363</v>
      </c>
      <c r="FO9" s="26" t="s">
        <v>363</v>
      </c>
      <c r="FP9" s="26" t="s">
        <v>363</v>
      </c>
      <c r="FQ9" s="26" t="s">
        <v>363</v>
      </c>
      <c r="FR9" s="26" t="s">
        <v>363</v>
      </c>
      <c r="FS9" s="26"/>
      <c r="FT9" s="26"/>
      <c r="FU9" s="26"/>
      <c r="FV9" s="26"/>
      <c r="FW9" s="26"/>
      <c r="FX9" s="26"/>
      <c r="FY9" s="26"/>
      <c r="FZ9" s="26"/>
      <c r="GA9" s="26"/>
      <c r="GB9" s="26"/>
      <c r="GC9" s="26"/>
      <c r="GD9" s="26"/>
      <c r="GE9" s="26"/>
      <c r="GF9" s="26"/>
      <c r="GG9" s="26"/>
      <c r="GH9" s="26"/>
      <c r="GI9" s="26"/>
      <c r="GJ9" s="26"/>
      <c r="GK9" s="26"/>
      <c r="GL9" s="26"/>
      <c r="GM9" s="26"/>
      <c r="GN9" s="26"/>
      <c r="GO9" s="26"/>
      <c r="GP9" s="26"/>
      <c r="GQ9" s="26"/>
      <c r="GR9" s="26"/>
      <c r="GS9" s="26"/>
      <c r="GT9" s="26"/>
      <c r="GU9" s="26"/>
      <c r="GV9" s="26"/>
      <c r="GW9" s="26"/>
      <c r="GX9" s="26"/>
      <c r="GY9" s="26"/>
      <c r="GZ9" s="26"/>
      <c r="HA9" s="26"/>
      <c r="HB9" s="26"/>
      <c r="HC9" s="26"/>
      <c r="HD9" s="26"/>
      <c r="HE9" s="26"/>
      <c r="HF9" s="26"/>
    </row>
    <row r="10" spans="1:214" x14ac:dyDescent="0.2">
      <c r="A10" s="25" t="s">
        <v>342</v>
      </c>
      <c r="C10" s="26" t="s">
        <v>363</v>
      </c>
      <c r="D10" s="26" t="s">
        <v>363</v>
      </c>
      <c r="E10" s="26" t="s">
        <v>363</v>
      </c>
      <c r="F10" s="26" t="s">
        <v>363</v>
      </c>
      <c r="G10" s="26" t="s">
        <v>363</v>
      </c>
      <c r="H10" s="26" t="s">
        <v>363</v>
      </c>
      <c r="I10" s="26" t="s">
        <v>363</v>
      </c>
      <c r="J10" s="26" t="s">
        <v>363</v>
      </c>
      <c r="K10" s="26" t="s">
        <v>363</v>
      </c>
      <c r="L10" s="26" t="s">
        <v>363</v>
      </c>
      <c r="M10" s="26" t="s">
        <v>363</v>
      </c>
      <c r="N10" s="26" t="s">
        <v>363</v>
      </c>
      <c r="O10" s="26" t="s">
        <v>363</v>
      </c>
      <c r="P10" s="26" t="s">
        <v>363</v>
      </c>
      <c r="Q10" s="26" t="s">
        <v>363</v>
      </c>
      <c r="R10" s="26" t="s">
        <v>363</v>
      </c>
      <c r="S10" s="26" t="s">
        <v>363</v>
      </c>
      <c r="T10" s="26" t="s">
        <v>363</v>
      </c>
      <c r="U10" s="26" t="s">
        <v>363</v>
      </c>
      <c r="V10" s="26" t="s">
        <v>363</v>
      </c>
      <c r="W10" s="26" t="s">
        <v>363</v>
      </c>
      <c r="X10" s="26" t="s">
        <v>363</v>
      </c>
      <c r="Y10" s="26" t="s">
        <v>363</v>
      </c>
      <c r="Z10" s="26" t="s">
        <v>363</v>
      </c>
      <c r="AA10" s="26" t="s">
        <v>363</v>
      </c>
      <c r="AB10" s="26" t="s">
        <v>363</v>
      </c>
      <c r="AC10" s="26" t="s">
        <v>363</v>
      </c>
      <c r="AD10" s="26" t="s">
        <v>363</v>
      </c>
      <c r="AE10" s="26" t="s">
        <v>363</v>
      </c>
      <c r="AF10" s="26" t="s">
        <v>363</v>
      </c>
      <c r="AG10" s="26" t="s">
        <v>363</v>
      </c>
      <c r="AH10" s="26" t="s">
        <v>363</v>
      </c>
      <c r="AI10" s="26" t="s">
        <v>363</v>
      </c>
      <c r="AJ10" s="26" t="s">
        <v>363</v>
      </c>
      <c r="AK10" s="26" t="s">
        <v>363</v>
      </c>
      <c r="AL10" s="26" t="s">
        <v>363</v>
      </c>
      <c r="AM10" s="26" t="s">
        <v>363</v>
      </c>
      <c r="AN10" s="26" t="s">
        <v>363</v>
      </c>
      <c r="AO10" s="26" t="s">
        <v>363</v>
      </c>
      <c r="AP10" s="26" t="s">
        <v>363</v>
      </c>
      <c r="AQ10" s="26" t="s">
        <v>363</v>
      </c>
      <c r="AR10" s="26" t="s">
        <v>363</v>
      </c>
      <c r="AS10" s="26" t="s">
        <v>363</v>
      </c>
      <c r="AT10" s="26" t="s">
        <v>363</v>
      </c>
      <c r="AU10" s="26" t="s">
        <v>363</v>
      </c>
      <c r="AV10" s="26" t="s">
        <v>363</v>
      </c>
      <c r="AW10" s="26" t="s">
        <v>363</v>
      </c>
      <c r="AX10" s="26" t="s">
        <v>363</v>
      </c>
      <c r="AY10" s="26" t="s">
        <v>363</v>
      </c>
      <c r="AZ10" s="26" t="s">
        <v>363</v>
      </c>
      <c r="BA10" s="26" t="s">
        <v>363</v>
      </c>
      <c r="BB10" s="26" t="s">
        <v>363</v>
      </c>
      <c r="BC10" s="26" t="s">
        <v>363</v>
      </c>
      <c r="BD10" s="26" t="s">
        <v>363</v>
      </c>
      <c r="BE10" s="26" t="s">
        <v>363</v>
      </c>
      <c r="BF10" s="26" t="s">
        <v>363</v>
      </c>
      <c r="BG10" s="26" t="s">
        <v>363</v>
      </c>
      <c r="BH10" s="26" t="s">
        <v>363</v>
      </c>
      <c r="BI10" s="26" t="s">
        <v>363</v>
      </c>
      <c r="BJ10" s="26" t="s">
        <v>363</v>
      </c>
      <c r="BK10" s="26" t="s">
        <v>363</v>
      </c>
      <c r="BL10" s="26" t="s">
        <v>363</v>
      </c>
      <c r="BM10" s="26" t="s">
        <v>363</v>
      </c>
      <c r="BN10" s="26" t="s">
        <v>363</v>
      </c>
      <c r="BO10" s="26" t="s">
        <v>363</v>
      </c>
      <c r="BP10" s="26" t="s">
        <v>363</v>
      </c>
      <c r="BQ10" s="26" t="s">
        <v>363</v>
      </c>
      <c r="BR10" s="26" t="s">
        <v>363</v>
      </c>
      <c r="BS10" s="26" t="s">
        <v>363</v>
      </c>
      <c r="BT10" s="26" t="s">
        <v>363</v>
      </c>
      <c r="BU10" s="26" t="s">
        <v>363</v>
      </c>
      <c r="BV10" s="26" t="s">
        <v>363</v>
      </c>
      <c r="BW10" s="26" t="s">
        <v>363</v>
      </c>
      <c r="BX10" s="26" t="s">
        <v>363</v>
      </c>
      <c r="BY10" s="26" t="s">
        <v>363</v>
      </c>
      <c r="BZ10" s="26" t="s">
        <v>363</v>
      </c>
      <c r="CA10" s="26" t="s">
        <v>363</v>
      </c>
      <c r="CB10" s="26" t="s">
        <v>363</v>
      </c>
      <c r="CC10" s="26" t="s">
        <v>363</v>
      </c>
      <c r="CD10" s="26" t="s">
        <v>363</v>
      </c>
      <c r="CE10" s="26" t="s">
        <v>363</v>
      </c>
      <c r="CF10" s="26" t="s">
        <v>363</v>
      </c>
      <c r="CG10" s="26" t="s">
        <v>363</v>
      </c>
      <c r="CH10" s="26" t="s">
        <v>363</v>
      </c>
      <c r="CI10" s="26" t="s">
        <v>363</v>
      </c>
      <c r="CJ10" s="26" t="s">
        <v>363</v>
      </c>
      <c r="CK10" s="26" t="s">
        <v>363</v>
      </c>
      <c r="CL10" s="26" t="s">
        <v>363</v>
      </c>
      <c r="CM10" s="26" t="s">
        <v>363</v>
      </c>
      <c r="CN10" s="26" t="s">
        <v>363</v>
      </c>
      <c r="CO10" s="26" t="s">
        <v>363</v>
      </c>
      <c r="CP10" s="26" t="s">
        <v>363</v>
      </c>
      <c r="CQ10" s="26" t="s">
        <v>363</v>
      </c>
      <c r="CR10" s="26" t="s">
        <v>363</v>
      </c>
      <c r="CS10" s="26" t="s">
        <v>363</v>
      </c>
      <c r="CT10" s="26" t="s">
        <v>363</v>
      </c>
      <c r="CU10" s="26" t="s">
        <v>363</v>
      </c>
      <c r="CV10" s="26" t="s">
        <v>363</v>
      </c>
      <c r="CW10" s="26"/>
      <c r="CX10" s="26" t="s">
        <v>363</v>
      </c>
      <c r="CY10" s="26" t="s">
        <v>363</v>
      </c>
      <c r="CZ10" s="26" t="s">
        <v>363</v>
      </c>
      <c r="DA10" s="26" t="s">
        <v>363</v>
      </c>
      <c r="DB10" s="26" t="s">
        <v>363</v>
      </c>
      <c r="DC10" s="26" t="s">
        <v>363</v>
      </c>
      <c r="DD10" s="26" t="s">
        <v>363</v>
      </c>
      <c r="DE10" s="26" t="s">
        <v>363</v>
      </c>
      <c r="DF10" s="26" t="s">
        <v>363</v>
      </c>
      <c r="DG10" s="26" t="s">
        <v>363</v>
      </c>
      <c r="DH10" s="26" t="s">
        <v>363</v>
      </c>
      <c r="DI10" s="26" t="s">
        <v>363</v>
      </c>
      <c r="DJ10" s="26" t="s">
        <v>363</v>
      </c>
      <c r="DK10" s="26" t="s">
        <v>363</v>
      </c>
      <c r="DL10" s="26" t="s">
        <v>363</v>
      </c>
      <c r="DM10" s="26" t="s">
        <v>363</v>
      </c>
      <c r="DN10" s="26" t="s">
        <v>363</v>
      </c>
      <c r="DO10" s="26" t="s">
        <v>363</v>
      </c>
      <c r="DP10" s="26" t="s">
        <v>363</v>
      </c>
      <c r="DQ10" s="26" t="s">
        <v>363</v>
      </c>
      <c r="DR10" s="26" t="s">
        <v>363</v>
      </c>
      <c r="DS10" s="26" t="s">
        <v>363</v>
      </c>
      <c r="DT10" s="26" t="s">
        <v>363</v>
      </c>
      <c r="DU10" s="26" t="s">
        <v>363</v>
      </c>
      <c r="DV10" s="26" t="s">
        <v>363</v>
      </c>
      <c r="DW10" s="26" t="s">
        <v>363</v>
      </c>
      <c r="DX10" s="26" t="s">
        <v>363</v>
      </c>
      <c r="DY10" s="26" t="s">
        <v>363</v>
      </c>
      <c r="DZ10" s="26" t="s">
        <v>363</v>
      </c>
      <c r="EA10" s="26" t="s">
        <v>363</v>
      </c>
      <c r="EB10" s="26" t="s">
        <v>363</v>
      </c>
      <c r="EC10" s="26" t="s">
        <v>363</v>
      </c>
      <c r="ED10" s="26" t="s">
        <v>363</v>
      </c>
      <c r="EE10" s="26" t="s">
        <v>363</v>
      </c>
      <c r="EF10" s="26" t="s">
        <v>363</v>
      </c>
      <c r="EG10" s="26" t="s">
        <v>363</v>
      </c>
      <c r="EH10" s="26" t="s">
        <v>363</v>
      </c>
      <c r="EI10" s="26" t="s">
        <v>363</v>
      </c>
      <c r="EJ10" s="26" t="s">
        <v>363</v>
      </c>
      <c r="EK10" s="26" t="s">
        <v>363</v>
      </c>
      <c r="EL10" s="26" t="s">
        <v>363</v>
      </c>
      <c r="EM10" s="26" t="s">
        <v>363</v>
      </c>
      <c r="EN10" s="26" t="s">
        <v>363</v>
      </c>
      <c r="EO10" s="26" t="s">
        <v>363</v>
      </c>
      <c r="EP10" s="26" t="s">
        <v>363</v>
      </c>
      <c r="EQ10" s="26" t="s">
        <v>363</v>
      </c>
      <c r="ER10" s="26" t="s">
        <v>363</v>
      </c>
      <c r="ES10" s="26" t="s">
        <v>363</v>
      </c>
      <c r="ET10" s="26" t="s">
        <v>363</v>
      </c>
      <c r="EU10" s="26" t="s">
        <v>363</v>
      </c>
      <c r="EV10" s="26" t="s">
        <v>363</v>
      </c>
      <c r="EW10" s="26" t="s">
        <v>363</v>
      </c>
      <c r="EX10" s="26" t="s">
        <v>363</v>
      </c>
      <c r="EY10" s="26" t="s">
        <v>363</v>
      </c>
      <c r="EZ10" s="26" t="s">
        <v>363</v>
      </c>
      <c r="FA10" s="26" t="s">
        <v>363</v>
      </c>
      <c r="FB10" s="26" t="s">
        <v>363</v>
      </c>
      <c r="FC10" s="26" t="s">
        <v>363</v>
      </c>
      <c r="FD10" s="26" t="s">
        <v>363</v>
      </c>
      <c r="FE10" s="26" t="s">
        <v>363</v>
      </c>
      <c r="FF10" s="26" t="s">
        <v>363</v>
      </c>
      <c r="FG10" s="26" t="s">
        <v>363</v>
      </c>
      <c r="FH10" s="26" t="s">
        <v>363</v>
      </c>
      <c r="FI10" s="26" t="s">
        <v>363</v>
      </c>
      <c r="FJ10" s="26" t="s">
        <v>363</v>
      </c>
      <c r="FK10" s="26" t="s">
        <v>363</v>
      </c>
      <c r="FL10" s="26" t="s">
        <v>363</v>
      </c>
      <c r="FM10" s="26" t="s">
        <v>363</v>
      </c>
      <c r="FN10" s="26" t="s">
        <v>363</v>
      </c>
      <c r="FO10" s="26" t="s">
        <v>363</v>
      </c>
      <c r="FP10" s="26" t="s">
        <v>363</v>
      </c>
      <c r="FQ10" s="26" t="s">
        <v>363</v>
      </c>
      <c r="FR10" s="26" t="s">
        <v>363</v>
      </c>
      <c r="FS10" s="26"/>
      <c r="FT10" s="26"/>
      <c r="FU10" s="26"/>
      <c r="FV10" s="26"/>
      <c r="FW10" s="26"/>
      <c r="FX10" s="26"/>
      <c r="FY10" s="26"/>
      <c r="FZ10" s="26"/>
      <c r="GA10" s="26"/>
      <c r="GB10" s="26"/>
      <c r="GC10" s="26"/>
      <c r="GD10" s="26"/>
      <c r="GE10" s="26"/>
      <c r="GF10" s="26"/>
      <c r="GG10" s="26"/>
      <c r="GH10" s="26"/>
      <c r="GI10" s="26"/>
      <c r="GJ10" s="26"/>
      <c r="GK10" s="26"/>
      <c r="GL10" s="26"/>
      <c r="GM10" s="26"/>
      <c r="GN10" s="26"/>
      <c r="GO10" s="26"/>
      <c r="GP10" s="26"/>
      <c r="GQ10" s="26"/>
      <c r="GR10" s="26"/>
      <c r="GS10" s="26"/>
      <c r="GT10" s="26"/>
      <c r="GU10" s="26"/>
      <c r="GV10" s="26"/>
      <c r="GW10" s="26"/>
      <c r="GX10" s="26"/>
      <c r="GY10" s="26"/>
      <c r="GZ10" s="26"/>
      <c r="HA10" s="26"/>
      <c r="HB10" s="26"/>
      <c r="HC10" s="26"/>
      <c r="HD10" s="26"/>
      <c r="HE10" s="26"/>
      <c r="HF10" s="26"/>
    </row>
    <row r="11" spans="1:214" x14ac:dyDescent="0.2">
      <c r="A11" s="25" t="s">
        <v>364</v>
      </c>
      <c r="C11" s="26" t="s">
        <v>363</v>
      </c>
      <c r="D11" s="26" t="s">
        <v>363</v>
      </c>
      <c r="E11" s="26" t="s">
        <v>363</v>
      </c>
      <c r="F11" s="26" t="s">
        <v>363</v>
      </c>
      <c r="G11" s="26" t="s">
        <v>363</v>
      </c>
      <c r="H11" s="26" t="s">
        <v>363</v>
      </c>
      <c r="I11" s="26" t="s">
        <v>363</v>
      </c>
      <c r="J11" s="26" t="s">
        <v>363</v>
      </c>
      <c r="K11" s="26" t="s">
        <v>363</v>
      </c>
      <c r="L11" s="26" t="s">
        <v>363</v>
      </c>
      <c r="M11" s="26" t="s">
        <v>363</v>
      </c>
      <c r="N11" s="26" t="s">
        <v>363</v>
      </c>
      <c r="O11" s="26" t="s">
        <v>363</v>
      </c>
      <c r="P11" s="26" t="s">
        <v>363</v>
      </c>
      <c r="Q11" s="26" t="s">
        <v>363</v>
      </c>
      <c r="R11" s="26" t="s">
        <v>363</v>
      </c>
      <c r="S11" s="26" t="s">
        <v>363</v>
      </c>
      <c r="T11" s="26" t="s">
        <v>363</v>
      </c>
      <c r="U11" s="26" t="s">
        <v>363</v>
      </c>
      <c r="V11" s="26" t="s">
        <v>363</v>
      </c>
      <c r="W11" s="26" t="s">
        <v>363</v>
      </c>
      <c r="X11" s="26" t="s">
        <v>363</v>
      </c>
      <c r="Y11" s="26" t="s">
        <v>363</v>
      </c>
      <c r="Z11" s="26" t="s">
        <v>363</v>
      </c>
      <c r="AA11" s="26" t="s">
        <v>363</v>
      </c>
      <c r="AB11" s="26" t="s">
        <v>363</v>
      </c>
      <c r="AC11" s="26" t="s">
        <v>363</v>
      </c>
      <c r="AD11" s="26" t="s">
        <v>363</v>
      </c>
      <c r="AE11" s="26" t="s">
        <v>363</v>
      </c>
      <c r="AF11" s="26" t="s">
        <v>363</v>
      </c>
      <c r="AG11" s="26" t="s">
        <v>363</v>
      </c>
      <c r="AH11" s="26" t="s">
        <v>363</v>
      </c>
      <c r="AI11" s="26" t="s">
        <v>363</v>
      </c>
      <c r="AJ11" s="26" t="s">
        <v>363</v>
      </c>
      <c r="AK11" s="26" t="s">
        <v>363</v>
      </c>
      <c r="AL11" s="26" t="s">
        <v>363</v>
      </c>
      <c r="AM11" s="26" t="s">
        <v>363</v>
      </c>
      <c r="AN11" s="26" t="s">
        <v>363</v>
      </c>
      <c r="AO11" s="26" t="s">
        <v>363</v>
      </c>
      <c r="AP11" s="26" t="s">
        <v>363</v>
      </c>
      <c r="AQ11" s="26" t="s">
        <v>363</v>
      </c>
      <c r="AR11" s="26" t="s">
        <v>363</v>
      </c>
      <c r="AS11" s="26" t="s">
        <v>363</v>
      </c>
      <c r="AT11" s="26" t="s">
        <v>363</v>
      </c>
      <c r="AU11" s="26" t="s">
        <v>363</v>
      </c>
      <c r="AV11" s="26" t="s">
        <v>363</v>
      </c>
      <c r="AW11" s="26" t="s">
        <v>363</v>
      </c>
      <c r="AX11" s="26" t="s">
        <v>363</v>
      </c>
      <c r="AY11" s="26" t="s">
        <v>363</v>
      </c>
      <c r="AZ11" s="26" t="s">
        <v>363</v>
      </c>
      <c r="BA11" s="26" t="s">
        <v>363</v>
      </c>
      <c r="BB11" s="26" t="s">
        <v>363</v>
      </c>
      <c r="BC11" s="26" t="s">
        <v>363</v>
      </c>
      <c r="BD11" s="26" t="s">
        <v>363</v>
      </c>
      <c r="BE11" s="26" t="s">
        <v>363</v>
      </c>
      <c r="BF11" s="26" t="s">
        <v>363</v>
      </c>
      <c r="BG11" s="26" t="s">
        <v>363</v>
      </c>
      <c r="BH11" s="26" t="s">
        <v>363</v>
      </c>
      <c r="BI11" s="26" t="s">
        <v>363</v>
      </c>
      <c r="BJ11" s="26" t="s">
        <v>363</v>
      </c>
      <c r="BK11" s="26" t="s">
        <v>363</v>
      </c>
      <c r="BL11" s="26" t="s">
        <v>363</v>
      </c>
      <c r="BM11" s="26" t="s">
        <v>363</v>
      </c>
      <c r="BN11" s="26" t="s">
        <v>363</v>
      </c>
      <c r="BO11" s="26" t="s">
        <v>363</v>
      </c>
      <c r="BP11" s="26" t="s">
        <v>363</v>
      </c>
      <c r="BQ11" s="26" t="s">
        <v>363</v>
      </c>
      <c r="BR11" s="26">
        <v>186.38349699322524</v>
      </c>
      <c r="BS11" s="26" t="s">
        <v>363</v>
      </c>
      <c r="BT11" s="26" t="s">
        <v>363</v>
      </c>
      <c r="BU11" s="26" t="s">
        <v>363</v>
      </c>
      <c r="BV11" s="26" t="s">
        <v>363</v>
      </c>
      <c r="BW11" s="26" t="s">
        <v>363</v>
      </c>
      <c r="BX11" s="26" t="s">
        <v>363</v>
      </c>
      <c r="BY11" s="26" t="s">
        <v>363</v>
      </c>
      <c r="BZ11" s="26" t="s">
        <v>363</v>
      </c>
      <c r="CA11" s="26" t="s">
        <v>363</v>
      </c>
      <c r="CB11" s="26" t="s">
        <v>363</v>
      </c>
      <c r="CC11" s="26" t="s">
        <v>363</v>
      </c>
      <c r="CD11" s="26" t="s">
        <v>363</v>
      </c>
      <c r="CE11" s="26" t="s">
        <v>363</v>
      </c>
      <c r="CF11" s="26" t="s">
        <v>363</v>
      </c>
      <c r="CG11" s="26" t="s">
        <v>363</v>
      </c>
      <c r="CH11" s="26" t="s">
        <v>363</v>
      </c>
      <c r="CI11" s="26" t="s">
        <v>363</v>
      </c>
      <c r="CJ11" s="26" t="s">
        <v>363</v>
      </c>
      <c r="CK11" s="26" t="s">
        <v>363</v>
      </c>
      <c r="CL11" s="26" t="s">
        <v>363</v>
      </c>
      <c r="CM11" s="26" t="s">
        <v>363</v>
      </c>
      <c r="CN11" s="26" t="s">
        <v>363</v>
      </c>
      <c r="CO11" s="26" t="s">
        <v>363</v>
      </c>
      <c r="CP11" s="26" t="s">
        <v>363</v>
      </c>
      <c r="CQ11" s="26" t="s">
        <v>363</v>
      </c>
      <c r="CR11" s="26" t="s">
        <v>363</v>
      </c>
      <c r="CS11" s="26" t="s">
        <v>363</v>
      </c>
      <c r="CT11" s="26" t="s">
        <v>363</v>
      </c>
      <c r="CU11" s="26" t="s">
        <v>363</v>
      </c>
      <c r="CV11" s="26" t="s">
        <v>363</v>
      </c>
      <c r="CW11" s="26"/>
      <c r="CX11" s="26" t="s">
        <v>363</v>
      </c>
      <c r="CY11" s="26" t="s">
        <v>363</v>
      </c>
      <c r="CZ11" s="26" t="s">
        <v>363</v>
      </c>
      <c r="DA11" s="26" t="s">
        <v>363</v>
      </c>
      <c r="DB11" s="26" t="s">
        <v>363</v>
      </c>
      <c r="DC11" s="26" t="s">
        <v>363</v>
      </c>
      <c r="DD11" s="26" t="s">
        <v>363</v>
      </c>
      <c r="DE11" s="26" t="s">
        <v>363</v>
      </c>
      <c r="DF11" s="26" t="s">
        <v>363</v>
      </c>
      <c r="DG11" s="26" t="s">
        <v>363</v>
      </c>
      <c r="DH11" s="26" t="s">
        <v>363</v>
      </c>
      <c r="DI11" s="26" t="s">
        <v>363</v>
      </c>
      <c r="DJ11" s="26" t="s">
        <v>363</v>
      </c>
      <c r="DK11" s="26" t="s">
        <v>363</v>
      </c>
      <c r="DL11" s="26" t="s">
        <v>363</v>
      </c>
      <c r="DM11" s="26" t="s">
        <v>363</v>
      </c>
      <c r="DN11" s="26" t="s">
        <v>363</v>
      </c>
      <c r="DO11" s="26" t="s">
        <v>363</v>
      </c>
      <c r="DP11" s="26" t="s">
        <v>363</v>
      </c>
      <c r="DQ11" s="26" t="s">
        <v>363</v>
      </c>
      <c r="DR11" s="26" t="s">
        <v>363</v>
      </c>
      <c r="DS11" s="26" t="s">
        <v>363</v>
      </c>
      <c r="DT11" s="26" t="s">
        <v>363</v>
      </c>
      <c r="DU11" s="26" t="s">
        <v>363</v>
      </c>
      <c r="DV11" s="26" t="s">
        <v>363</v>
      </c>
      <c r="DW11" s="26" t="s">
        <v>363</v>
      </c>
      <c r="DX11" s="26" t="s">
        <v>363</v>
      </c>
      <c r="DY11" s="26" t="s">
        <v>363</v>
      </c>
      <c r="DZ11" s="26" t="s">
        <v>363</v>
      </c>
      <c r="EA11" s="26" t="s">
        <v>363</v>
      </c>
      <c r="EB11" s="26" t="s">
        <v>363</v>
      </c>
      <c r="EC11" s="26" t="s">
        <v>363</v>
      </c>
      <c r="ED11" s="26" t="s">
        <v>363</v>
      </c>
      <c r="EE11" s="26" t="s">
        <v>363</v>
      </c>
      <c r="EF11" s="26" t="s">
        <v>363</v>
      </c>
      <c r="EG11" s="26" t="s">
        <v>363</v>
      </c>
      <c r="EH11" s="26" t="s">
        <v>363</v>
      </c>
      <c r="EI11" s="26" t="s">
        <v>363</v>
      </c>
      <c r="EJ11" s="26" t="s">
        <v>363</v>
      </c>
      <c r="EK11" s="26" t="s">
        <v>363</v>
      </c>
      <c r="EL11" s="26" t="s">
        <v>363</v>
      </c>
      <c r="EM11" s="26" t="s">
        <v>363</v>
      </c>
      <c r="EN11" s="26" t="s">
        <v>363</v>
      </c>
      <c r="EO11" s="26" t="s">
        <v>363</v>
      </c>
      <c r="EP11" s="26" t="s">
        <v>363</v>
      </c>
      <c r="EQ11" s="26" t="s">
        <v>363</v>
      </c>
      <c r="ER11" s="26" t="s">
        <v>363</v>
      </c>
      <c r="ES11" s="26" t="s">
        <v>363</v>
      </c>
      <c r="ET11" s="26" t="s">
        <v>363</v>
      </c>
      <c r="EU11" s="26" t="s">
        <v>363</v>
      </c>
      <c r="EV11" s="26" t="s">
        <v>363</v>
      </c>
      <c r="EW11" s="26" t="s">
        <v>363</v>
      </c>
      <c r="EX11" s="26" t="s">
        <v>363</v>
      </c>
      <c r="EY11" s="26" t="s">
        <v>363</v>
      </c>
      <c r="EZ11" s="26" t="s">
        <v>363</v>
      </c>
      <c r="FA11" s="26" t="s">
        <v>363</v>
      </c>
      <c r="FB11" s="26" t="s">
        <v>363</v>
      </c>
      <c r="FC11" s="26" t="s">
        <v>363</v>
      </c>
      <c r="FD11" s="26" t="s">
        <v>363</v>
      </c>
      <c r="FE11" s="26" t="s">
        <v>363</v>
      </c>
      <c r="FF11" s="26" t="s">
        <v>363</v>
      </c>
      <c r="FG11" s="26" t="s">
        <v>363</v>
      </c>
      <c r="FH11" s="26" t="s">
        <v>363</v>
      </c>
      <c r="FI11" s="26" t="s">
        <v>363</v>
      </c>
      <c r="FJ11" s="26" t="s">
        <v>363</v>
      </c>
      <c r="FK11" s="26" t="s">
        <v>363</v>
      </c>
      <c r="FL11" s="26" t="s">
        <v>363</v>
      </c>
      <c r="FM11" s="26" t="s">
        <v>363</v>
      </c>
      <c r="FN11" s="26" t="s">
        <v>363</v>
      </c>
      <c r="FO11" s="26" t="s">
        <v>363</v>
      </c>
      <c r="FP11" s="26" t="s">
        <v>363</v>
      </c>
      <c r="FQ11" s="26" t="s">
        <v>363</v>
      </c>
      <c r="FR11" s="26" t="s">
        <v>363</v>
      </c>
      <c r="FS11" s="26"/>
      <c r="FT11" s="26"/>
      <c r="FU11" s="26"/>
      <c r="FV11" s="26"/>
      <c r="FW11" s="26"/>
      <c r="FX11" s="26"/>
      <c r="FY11" s="26"/>
      <c r="FZ11" s="26"/>
      <c r="GA11" s="26"/>
      <c r="GB11" s="26"/>
      <c r="GC11" s="26"/>
      <c r="GD11" s="26"/>
      <c r="GE11" s="26"/>
      <c r="GF11" s="26"/>
      <c r="GG11" s="26"/>
      <c r="GH11" s="26"/>
      <c r="GI11" s="26"/>
      <c r="GJ11" s="26"/>
      <c r="GK11" s="26"/>
      <c r="GL11" s="26"/>
      <c r="GM11" s="26"/>
      <c r="GN11" s="26"/>
      <c r="GO11" s="26"/>
      <c r="GP11" s="26"/>
      <c r="GQ11" s="26"/>
      <c r="GR11" s="26"/>
      <c r="GS11" s="26"/>
      <c r="GT11" s="26"/>
      <c r="GU11" s="26"/>
      <c r="GV11" s="26"/>
      <c r="GW11" s="26"/>
      <c r="GX11" s="26"/>
      <c r="GY11" s="26"/>
      <c r="GZ11" s="26"/>
      <c r="HA11" s="26"/>
      <c r="HB11" s="26"/>
      <c r="HC11" s="26"/>
      <c r="HD11" s="26"/>
      <c r="HE11" s="26"/>
      <c r="HF11" s="26"/>
    </row>
    <row r="12" spans="1:214" x14ac:dyDescent="0.2">
      <c r="A12" s="25" t="s">
        <v>365</v>
      </c>
      <c r="C12" s="26" t="s">
        <v>363</v>
      </c>
      <c r="D12" s="26" t="s">
        <v>363</v>
      </c>
      <c r="E12" s="26" t="s">
        <v>363</v>
      </c>
      <c r="F12" s="26" t="s">
        <v>363</v>
      </c>
      <c r="G12" s="26" t="s">
        <v>363</v>
      </c>
      <c r="H12" s="26" t="s">
        <v>363</v>
      </c>
      <c r="I12" s="26" t="s">
        <v>363</v>
      </c>
      <c r="J12" s="26" t="s">
        <v>363</v>
      </c>
      <c r="K12" s="26" t="s">
        <v>363</v>
      </c>
      <c r="L12" s="26" t="s">
        <v>363</v>
      </c>
      <c r="M12" s="26" t="s">
        <v>363</v>
      </c>
      <c r="N12" s="26" t="s">
        <v>363</v>
      </c>
      <c r="O12" s="26" t="s">
        <v>363</v>
      </c>
      <c r="P12" s="26" t="s">
        <v>363</v>
      </c>
      <c r="Q12" s="26" t="s">
        <v>363</v>
      </c>
      <c r="R12" s="26" t="s">
        <v>363</v>
      </c>
      <c r="S12" s="26" t="s">
        <v>363</v>
      </c>
      <c r="T12" s="26" t="s">
        <v>363</v>
      </c>
      <c r="U12" s="26" t="s">
        <v>363</v>
      </c>
      <c r="V12" s="26" t="s">
        <v>363</v>
      </c>
      <c r="W12" s="26" t="s">
        <v>363</v>
      </c>
      <c r="X12" s="26" t="s">
        <v>363</v>
      </c>
      <c r="Y12" s="26" t="s">
        <v>363</v>
      </c>
      <c r="Z12" s="26" t="s">
        <v>363</v>
      </c>
      <c r="AA12" s="26" t="s">
        <v>363</v>
      </c>
      <c r="AB12" s="26" t="s">
        <v>363</v>
      </c>
      <c r="AC12" s="26" t="s">
        <v>363</v>
      </c>
      <c r="AD12" s="26" t="s">
        <v>363</v>
      </c>
      <c r="AE12" s="26" t="s">
        <v>363</v>
      </c>
      <c r="AF12" s="26" t="s">
        <v>363</v>
      </c>
      <c r="AG12" s="26" t="s">
        <v>363</v>
      </c>
      <c r="AH12" s="26" t="s">
        <v>363</v>
      </c>
      <c r="AI12" s="26" t="s">
        <v>363</v>
      </c>
      <c r="AJ12" s="26" t="s">
        <v>363</v>
      </c>
      <c r="AK12" s="26" t="s">
        <v>363</v>
      </c>
      <c r="AL12" s="26" t="s">
        <v>363</v>
      </c>
      <c r="AM12" s="26" t="s">
        <v>363</v>
      </c>
      <c r="AN12" s="26" t="s">
        <v>363</v>
      </c>
      <c r="AO12" s="26" t="s">
        <v>363</v>
      </c>
      <c r="AP12" s="26" t="s">
        <v>363</v>
      </c>
      <c r="AQ12" s="26" t="s">
        <v>363</v>
      </c>
      <c r="AR12" s="26" t="s">
        <v>363</v>
      </c>
      <c r="AS12" s="26" t="s">
        <v>363</v>
      </c>
      <c r="AT12" s="26" t="s">
        <v>363</v>
      </c>
      <c r="AU12" s="26" t="s">
        <v>363</v>
      </c>
      <c r="AV12" s="26" t="s">
        <v>363</v>
      </c>
      <c r="AW12" s="26" t="s">
        <v>363</v>
      </c>
      <c r="AX12" s="26" t="s">
        <v>363</v>
      </c>
      <c r="AY12" s="26" t="s">
        <v>363</v>
      </c>
      <c r="AZ12" s="26" t="s">
        <v>363</v>
      </c>
      <c r="BA12" s="26" t="s">
        <v>363</v>
      </c>
      <c r="BB12" s="26" t="s">
        <v>363</v>
      </c>
      <c r="BC12" s="26" t="s">
        <v>363</v>
      </c>
      <c r="BD12" s="26" t="s">
        <v>363</v>
      </c>
      <c r="BE12" s="26" t="s">
        <v>363</v>
      </c>
      <c r="BF12" s="26" t="s">
        <v>363</v>
      </c>
      <c r="BG12" s="26" t="s">
        <v>363</v>
      </c>
      <c r="BH12" s="26" t="s">
        <v>363</v>
      </c>
      <c r="BI12" s="26" t="s">
        <v>363</v>
      </c>
      <c r="BJ12" s="26" t="s">
        <v>363</v>
      </c>
      <c r="BK12" s="26" t="s">
        <v>363</v>
      </c>
      <c r="BL12" s="26" t="s">
        <v>363</v>
      </c>
      <c r="BM12" s="26" t="s">
        <v>363</v>
      </c>
      <c r="BN12" s="26" t="s">
        <v>363</v>
      </c>
      <c r="BO12" s="26" t="s">
        <v>363</v>
      </c>
      <c r="BP12" s="26" t="s">
        <v>363</v>
      </c>
      <c r="BQ12" s="26" t="s">
        <v>363</v>
      </c>
      <c r="BR12" s="26">
        <v>171.34211609715931</v>
      </c>
      <c r="BS12" s="26" t="s">
        <v>363</v>
      </c>
      <c r="BT12" s="26" t="s">
        <v>363</v>
      </c>
      <c r="BU12" s="26" t="s">
        <v>363</v>
      </c>
      <c r="BV12" s="26" t="s">
        <v>363</v>
      </c>
      <c r="BW12" s="26" t="s">
        <v>363</v>
      </c>
      <c r="BX12" s="26" t="s">
        <v>363</v>
      </c>
      <c r="BY12" s="26" t="s">
        <v>363</v>
      </c>
      <c r="BZ12" s="26" t="s">
        <v>363</v>
      </c>
      <c r="CA12" s="26" t="s">
        <v>363</v>
      </c>
      <c r="CB12" s="26" t="s">
        <v>363</v>
      </c>
      <c r="CC12" s="26" t="s">
        <v>363</v>
      </c>
      <c r="CD12" s="26" t="s">
        <v>363</v>
      </c>
      <c r="CE12" s="26" t="s">
        <v>363</v>
      </c>
      <c r="CF12" s="26" t="s">
        <v>363</v>
      </c>
      <c r="CG12" s="26" t="s">
        <v>363</v>
      </c>
      <c r="CH12" s="26" t="s">
        <v>363</v>
      </c>
      <c r="CI12" s="26" t="s">
        <v>363</v>
      </c>
      <c r="CJ12" s="26" t="s">
        <v>363</v>
      </c>
      <c r="CK12" s="26" t="s">
        <v>363</v>
      </c>
      <c r="CL12" s="26" t="s">
        <v>363</v>
      </c>
      <c r="CM12" s="26" t="s">
        <v>363</v>
      </c>
      <c r="CN12" s="26" t="s">
        <v>363</v>
      </c>
      <c r="CO12" s="26" t="s">
        <v>363</v>
      </c>
      <c r="CP12" s="26" t="s">
        <v>363</v>
      </c>
      <c r="CQ12" s="26" t="s">
        <v>363</v>
      </c>
      <c r="CR12" s="26" t="s">
        <v>363</v>
      </c>
      <c r="CS12" s="26" t="s">
        <v>363</v>
      </c>
      <c r="CT12" s="26" t="s">
        <v>363</v>
      </c>
      <c r="CU12" s="26" t="s">
        <v>363</v>
      </c>
      <c r="CV12" s="26" t="s">
        <v>363</v>
      </c>
      <c r="CW12" s="26"/>
      <c r="CX12" s="26" t="s">
        <v>363</v>
      </c>
      <c r="CY12" s="26" t="s">
        <v>363</v>
      </c>
      <c r="CZ12" s="26" t="s">
        <v>363</v>
      </c>
      <c r="DA12" s="26" t="s">
        <v>363</v>
      </c>
      <c r="DB12" s="26" t="s">
        <v>363</v>
      </c>
      <c r="DC12" s="26" t="s">
        <v>363</v>
      </c>
      <c r="DD12" s="26" t="s">
        <v>363</v>
      </c>
      <c r="DE12" s="26" t="s">
        <v>363</v>
      </c>
      <c r="DF12" s="26" t="s">
        <v>363</v>
      </c>
      <c r="DG12" s="26" t="s">
        <v>363</v>
      </c>
      <c r="DH12" s="26" t="s">
        <v>363</v>
      </c>
      <c r="DI12" s="26" t="s">
        <v>363</v>
      </c>
      <c r="DJ12" s="26" t="s">
        <v>363</v>
      </c>
      <c r="DK12" s="26" t="s">
        <v>363</v>
      </c>
      <c r="DL12" s="26" t="s">
        <v>363</v>
      </c>
      <c r="DM12" s="26" t="s">
        <v>363</v>
      </c>
      <c r="DN12" s="26" t="s">
        <v>363</v>
      </c>
      <c r="DO12" s="26" t="s">
        <v>363</v>
      </c>
      <c r="DP12" s="26" t="s">
        <v>363</v>
      </c>
      <c r="DQ12" s="26" t="s">
        <v>363</v>
      </c>
      <c r="DR12" s="26" t="s">
        <v>363</v>
      </c>
      <c r="DS12" s="26" t="s">
        <v>363</v>
      </c>
      <c r="DT12" s="26" t="s">
        <v>363</v>
      </c>
      <c r="DU12" s="26" t="s">
        <v>363</v>
      </c>
      <c r="DV12" s="26" t="s">
        <v>363</v>
      </c>
      <c r="DW12" s="26" t="s">
        <v>363</v>
      </c>
      <c r="DX12" s="26" t="s">
        <v>363</v>
      </c>
      <c r="DY12" s="26" t="s">
        <v>363</v>
      </c>
      <c r="DZ12" s="26" t="s">
        <v>363</v>
      </c>
      <c r="EA12" s="26" t="s">
        <v>363</v>
      </c>
      <c r="EB12" s="26" t="s">
        <v>363</v>
      </c>
      <c r="EC12" s="26" t="s">
        <v>363</v>
      </c>
      <c r="ED12" s="26" t="s">
        <v>363</v>
      </c>
      <c r="EE12" s="26" t="s">
        <v>363</v>
      </c>
      <c r="EF12" s="26" t="s">
        <v>363</v>
      </c>
      <c r="EG12" s="26" t="s">
        <v>363</v>
      </c>
      <c r="EH12" s="26" t="s">
        <v>363</v>
      </c>
      <c r="EI12" s="26" t="s">
        <v>363</v>
      </c>
      <c r="EJ12" s="26" t="s">
        <v>363</v>
      </c>
      <c r="EK12" s="26" t="s">
        <v>363</v>
      </c>
      <c r="EL12" s="26" t="s">
        <v>363</v>
      </c>
      <c r="EM12" s="26" t="s">
        <v>363</v>
      </c>
      <c r="EN12" s="26" t="s">
        <v>363</v>
      </c>
      <c r="EO12" s="26" t="s">
        <v>363</v>
      </c>
      <c r="EP12" s="26" t="s">
        <v>363</v>
      </c>
      <c r="EQ12" s="26" t="s">
        <v>363</v>
      </c>
      <c r="ER12" s="26" t="s">
        <v>363</v>
      </c>
      <c r="ES12" s="26" t="s">
        <v>363</v>
      </c>
      <c r="ET12" s="26" t="s">
        <v>363</v>
      </c>
      <c r="EU12" s="26" t="s">
        <v>363</v>
      </c>
      <c r="EV12" s="26" t="s">
        <v>363</v>
      </c>
      <c r="EW12" s="26" t="s">
        <v>363</v>
      </c>
      <c r="EX12" s="26" t="s">
        <v>363</v>
      </c>
      <c r="EY12" s="26" t="s">
        <v>363</v>
      </c>
      <c r="EZ12" s="26" t="s">
        <v>363</v>
      </c>
      <c r="FA12" s="26" t="s">
        <v>363</v>
      </c>
      <c r="FB12" s="26" t="s">
        <v>363</v>
      </c>
      <c r="FC12" s="26" t="s">
        <v>363</v>
      </c>
      <c r="FD12" s="26" t="s">
        <v>363</v>
      </c>
      <c r="FE12" s="26" t="s">
        <v>363</v>
      </c>
      <c r="FF12" s="26" t="s">
        <v>363</v>
      </c>
      <c r="FG12" s="26" t="s">
        <v>363</v>
      </c>
      <c r="FH12" s="26" t="s">
        <v>363</v>
      </c>
      <c r="FI12" s="26" t="s">
        <v>363</v>
      </c>
      <c r="FJ12" s="26" t="s">
        <v>363</v>
      </c>
      <c r="FK12" s="26" t="s">
        <v>363</v>
      </c>
      <c r="FL12" s="26" t="s">
        <v>363</v>
      </c>
      <c r="FM12" s="26" t="s">
        <v>363</v>
      </c>
      <c r="FN12" s="26" t="s">
        <v>363</v>
      </c>
      <c r="FO12" s="26" t="s">
        <v>363</v>
      </c>
      <c r="FP12" s="26" t="s">
        <v>363</v>
      </c>
      <c r="FQ12" s="26" t="s">
        <v>363</v>
      </c>
      <c r="FR12" s="26" t="s">
        <v>363</v>
      </c>
      <c r="FS12" s="26"/>
      <c r="FT12" s="26"/>
      <c r="FU12" s="26"/>
      <c r="FV12" s="26"/>
      <c r="FW12" s="26"/>
      <c r="FX12" s="26"/>
      <c r="FY12" s="26"/>
      <c r="FZ12" s="26"/>
      <c r="GA12" s="26"/>
      <c r="GB12" s="26"/>
      <c r="GC12" s="26"/>
      <c r="GD12" s="26"/>
      <c r="GE12" s="26"/>
      <c r="GF12" s="26"/>
      <c r="GG12" s="26"/>
      <c r="GH12" s="26"/>
      <c r="GI12" s="26"/>
      <c r="GJ12" s="26"/>
      <c r="GK12" s="26"/>
      <c r="GL12" s="26"/>
      <c r="GM12" s="26"/>
      <c r="GN12" s="26"/>
      <c r="GO12" s="26"/>
      <c r="GP12" s="26"/>
      <c r="GQ12" s="26"/>
      <c r="GR12" s="26"/>
      <c r="GS12" s="26"/>
      <c r="GT12" s="26"/>
      <c r="GU12" s="26"/>
      <c r="GV12" s="26"/>
      <c r="GW12" s="26"/>
      <c r="GX12" s="26"/>
      <c r="GY12" s="26"/>
      <c r="GZ12" s="26"/>
      <c r="HA12" s="26"/>
      <c r="HB12" s="26"/>
      <c r="HC12" s="26"/>
      <c r="HD12" s="26"/>
      <c r="HE12" s="26"/>
      <c r="HF12" s="26"/>
    </row>
    <row r="13" spans="1:214" x14ac:dyDescent="0.2">
      <c r="A13" s="25" t="s">
        <v>328</v>
      </c>
      <c r="C13" s="26" t="s">
        <v>363</v>
      </c>
      <c r="D13" s="26" t="s">
        <v>363</v>
      </c>
      <c r="E13" s="26" t="s">
        <v>363</v>
      </c>
      <c r="F13" s="26" t="s">
        <v>363</v>
      </c>
      <c r="G13" s="26" t="s">
        <v>363</v>
      </c>
      <c r="H13" s="26" t="s">
        <v>363</v>
      </c>
      <c r="I13" s="26" t="s">
        <v>363</v>
      </c>
      <c r="J13" s="26" t="s">
        <v>363</v>
      </c>
      <c r="K13" s="26" t="s">
        <v>363</v>
      </c>
      <c r="L13" s="26" t="s">
        <v>363</v>
      </c>
      <c r="M13" s="26" t="s">
        <v>363</v>
      </c>
      <c r="N13" s="26" t="s">
        <v>363</v>
      </c>
      <c r="O13" s="26" t="s">
        <v>363</v>
      </c>
      <c r="P13" s="26" t="s">
        <v>363</v>
      </c>
      <c r="Q13" s="26" t="s">
        <v>363</v>
      </c>
      <c r="R13" s="26" t="s">
        <v>363</v>
      </c>
      <c r="S13" s="26" t="s">
        <v>363</v>
      </c>
      <c r="T13" s="26" t="s">
        <v>363</v>
      </c>
      <c r="U13" s="26" t="s">
        <v>363</v>
      </c>
      <c r="V13" s="26" t="s">
        <v>363</v>
      </c>
      <c r="W13" s="26" t="s">
        <v>363</v>
      </c>
      <c r="X13" s="26" t="s">
        <v>363</v>
      </c>
      <c r="Y13" s="26" t="s">
        <v>363</v>
      </c>
      <c r="Z13" s="26" t="s">
        <v>363</v>
      </c>
      <c r="AA13" s="26" t="s">
        <v>363</v>
      </c>
      <c r="AB13" s="26" t="s">
        <v>363</v>
      </c>
      <c r="AC13" s="26" t="s">
        <v>363</v>
      </c>
      <c r="AD13" s="26" t="s">
        <v>363</v>
      </c>
      <c r="AE13" s="26" t="s">
        <v>363</v>
      </c>
      <c r="AF13" s="26" t="s">
        <v>363</v>
      </c>
      <c r="AG13" s="26" t="s">
        <v>363</v>
      </c>
      <c r="AH13" s="26" t="s">
        <v>363</v>
      </c>
      <c r="AI13" s="26" t="s">
        <v>363</v>
      </c>
      <c r="AJ13" s="26" t="s">
        <v>363</v>
      </c>
      <c r="AK13" s="26" t="s">
        <v>363</v>
      </c>
      <c r="AL13" s="26" t="s">
        <v>363</v>
      </c>
      <c r="AM13" s="26" t="s">
        <v>363</v>
      </c>
      <c r="AN13" s="26" t="s">
        <v>363</v>
      </c>
      <c r="AO13" s="26" t="s">
        <v>363</v>
      </c>
      <c r="AP13" s="26" t="s">
        <v>363</v>
      </c>
      <c r="AQ13" s="26" t="s">
        <v>363</v>
      </c>
      <c r="AR13" s="26" t="s">
        <v>363</v>
      </c>
      <c r="AS13" s="26" t="s">
        <v>363</v>
      </c>
      <c r="AT13" s="26" t="s">
        <v>363</v>
      </c>
      <c r="AU13" s="26" t="s">
        <v>363</v>
      </c>
      <c r="AV13" s="26" t="s">
        <v>363</v>
      </c>
      <c r="AW13" s="26" t="s">
        <v>363</v>
      </c>
      <c r="AX13" s="26" t="s">
        <v>363</v>
      </c>
      <c r="AY13" s="26" t="s">
        <v>363</v>
      </c>
      <c r="AZ13" s="26" t="s">
        <v>363</v>
      </c>
      <c r="BA13" s="26" t="s">
        <v>363</v>
      </c>
      <c r="BB13" s="26" t="s">
        <v>363</v>
      </c>
      <c r="BC13" s="26" t="s">
        <v>363</v>
      </c>
      <c r="BD13" s="26" t="s">
        <v>363</v>
      </c>
      <c r="BE13" s="26" t="s">
        <v>363</v>
      </c>
      <c r="BF13" s="26" t="s">
        <v>363</v>
      </c>
      <c r="BG13" s="26" t="s">
        <v>363</v>
      </c>
      <c r="BH13" s="26" t="s">
        <v>363</v>
      </c>
      <c r="BI13" s="26" t="s">
        <v>363</v>
      </c>
      <c r="BJ13" s="26" t="s">
        <v>363</v>
      </c>
      <c r="BK13" s="26" t="s">
        <v>363</v>
      </c>
      <c r="BL13" s="26" t="s">
        <v>363</v>
      </c>
      <c r="BM13" s="26" t="s">
        <v>363</v>
      </c>
      <c r="BN13" s="26" t="s">
        <v>363</v>
      </c>
      <c r="BO13" s="26" t="s">
        <v>363</v>
      </c>
      <c r="BP13" s="26" t="s">
        <v>363</v>
      </c>
      <c r="BQ13" s="26" t="s">
        <v>363</v>
      </c>
      <c r="BR13" s="26">
        <v>178.98810521025297</v>
      </c>
      <c r="BS13" s="26" t="s">
        <v>363</v>
      </c>
      <c r="BT13" s="26" t="s">
        <v>363</v>
      </c>
      <c r="BU13" s="26" t="s">
        <v>363</v>
      </c>
      <c r="BV13" s="26" t="s">
        <v>363</v>
      </c>
      <c r="BW13" s="26" t="s">
        <v>363</v>
      </c>
      <c r="BX13" s="26" t="s">
        <v>363</v>
      </c>
      <c r="BY13" s="26" t="s">
        <v>363</v>
      </c>
      <c r="BZ13" s="26" t="s">
        <v>363</v>
      </c>
      <c r="CA13" s="26" t="s">
        <v>363</v>
      </c>
      <c r="CB13" s="26" t="s">
        <v>363</v>
      </c>
      <c r="CC13" s="26" t="s">
        <v>363</v>
      </c>
      <c r="CD13" s="26" t="s">
        <v>363</v>
      </c>
      <c r="CE13" s="26" t="s">
        <v>363</v>
      </c>
      <c r="CF13" s="26" t="s">
        <v>363</v>
      </c>
      <c r="CG13" s="26" t="s">
        <v>363</v>
      </c>
      <c r="CH13" s="26" t="s">
        <v>363</v>
      </c>
      <c r="CI13" s="26" t="s">
        <v>363</v>
      </c>
      <c r="CJ13" s="26" t="s">
        <v>363</v>
      </c>
      <c r="CK13" s="26" t="s">
        <v>363</v>
      </c>
      <c r="CL13" s="26" t="s">
        <v>363</v>
      </c>
      <c r="CM13" s="26" t="s">
        <v>363</v>
      </c>
      <c r="CN13" s="26" t="s">
        <v>363</v>
      </c>
      <c r="CO13" s="26" t="s">
        <v>363</v>
      </c>
      <c r="CP13" s="26" t="s">
        <v>363</v>
      </c>
      <c r="CQ13" s="26" t="s">
        <v>363</v>
      </c>
      <c r="CR13" s="26" t="s">
        <v>363</v>
      </c>
      <c r="CS13" s="26" t="s">
        <v>363</v>
      </c>
      <c r="CT13" s="26" t="s">
        <v>363</v>
      </c>
      <c r="CU13" s="26" t="s">
        <v>363</v>
      </c>
      <c r="CV13" s="26" t="s">
        <v>363</v>
      </c>
      <c r="CW13" s="26"/>
      <c r="CX13" s="26" t="s">
        <v>363</v>
      </c>
      <c r="CY13" s="26" t="s">
        <v>363</v>
      </c>
      <c r="CZ13" s="26" t="s">
        <v>363</v>
      </c>
      <c r="DA13" s="26" t="s">
        <v>363</v>
      </c>
      <c r="DB13" s="26" t="s">
        <v>363</v>
      </c>
      <c r="DC13" s="26" t="s">
        <v>363</v>
      </c>
      <c r="DD13" s="26" t="s">
        <v>363</v>
      </c>
      <c r="DE13" s="26" t="s">
        <v>363</v>
      </c>
      <c r="DF13" s="26" t="s">
        <v>363</v>
      </c>
      <c r="DG13" s="26" t="s">
        <v>363</v>
      </c>
      <c r="DH13" s="26" t="s">
        <v>363</v>
      </c>
      <c r="DI13" s="26" t="s">
        <v>363</v>
      </c>
      <c r="DJ13" s="26" t="s">
        <v>363</v>
      </c>
      <c r="DK13" s="26" t="s">
        <v>363</v>
      </c>
      <c r="DL13" s="26" t="s">
        <v>363</v>
      </c>
      <c r="DM13" s="26" t="s">
        <v>363</v>
      </c>
      <c r="DN13" s="26" t="s">
        <v>363</v>
      </c>
      <c r="DO13" s="26" t="s">
        <v>363</v>
      </c>
      <c r="DP13" s="26" t="s">
        <v>363</v>
      </c>
      <c r="DQ13" s="26" t="s">
        <v>363</v>
      </c>
      <c r="DR13" s="26" t="s">
        <v>363</v>
      </c>
      <c r="DS13" s="26" t="s">
        <v>363</v>
      </c>
      <c r="DT13" s="26" t="s">
        <v>363</v>
      </c>
      <c r="DU13" s="26" t="s">
        <v>363</v>
      </c>
      <c r="DV13" s="26" t="s">
        <v>363</v>
      </c>
      <c r="DW13" s="26" t="s">
        <v>363</v>
      </c>
      <c r="DX13" s="26" t="s">
        <v>363</v>
      </c>
      <c r="DY13" s="26" t="s">
        <v>363</v>
      </c>
      <c r="DZ13" s="26" t="s">
        <v>363</v>
      </c>
      <c r="EA13" s="26" t="s">
        <v>363</v>
      </c>
      <c r="EB13" s="26" t="s">
        <v>363</v>
      </c>
      <c r="EC13" s="26" t="s">
        <v>363</v>
      </c>
      <c r="ED13" s="26" t="s">
        <v>363</v>
      </c>
      <c r="EE13" s="26" t="s">
        <v>363</v>
      </c>
      <c r="EF13" s="26" t="s">
        <v>363</v>
      </c>
      <c r="EG13" s="26" t="s">
        <v>363</v>
      </c>
      <c r="EH13" s="26" t="s">
        <v>363</v>
      </c>
      <c r="EI13" s="26" t="s">
        <v>363</v>
      </c>
      <c r="EJ13" s="26" t="s">
        <v>363</v>
      </c>
      <c r="EK13" s="26" t="s">
        <v>363</v>
      </c>
      <c r="EL13" s="26" t="s">
        <v>363</v>
      </c>
      <c r="EM13" s="26" t="s">
        <v>363</v>
      </c>
      <c r="EN13" s="26" t="s">
        <v>363</v>
      </c>
      <c r="EO13" s="26" t="s">
        <v>363</v>
      </c>
      <c r="EP13" s="26" t="s">
        <v>363</v>
      </c>
      <c r="EQ13" s="26" t="s">
        <v>363</v>
      </c>
      <c r="ER13" s="26" t="s">
        <v>363</v>
      </c>
      <c r="ES13" s="26" t="s">
        <v>363</v>
      </c>
      <c r="ET13" s="26" t="s">
        <v>363</v>
      </c>
      <c r="EU13" s="26" t="s">
        <v>363</v>
      </c>
      <c r="EV13" s="26" t="s">
        <v>363</v>
      </c>
      <c r="EW13" s="26" t="s">
        <v>363</v>
      </c>
      <c r="EX13" s="26" t="s">
        <v>363</v>
      </c>
      <c r="EY13" s="26" t="s">
        <v>363</v>
      </c>
      <c r="EZ13" s="26" t="s">
        <v>363</v>
      </c>
      <c r="FA13" s="26" t="s">
        <v>363</v>
      </c>
      <c r="FB13" s="26" t="s">
        <v>363</v>
      </c>
      <c r="FC13" s="26" t="s">
        <v>363</v>
      </c>
      <c r="FD13" s="26" t="s">
        <v>363</v>
      </c>
      <c r="FE13" s="26" t="s">
        <v>363</v>
      </c>
      <c r="FF13" s="26" t="s">
        <v>363</v>
      </c>
      <c r="FG13" s="26" t="s">
        <v>363</v>
      </c>
      <c r="FH13" s="26" t="s">
        <v>363</v>
      </c>
      <c r="FI13" s="26" t="s">
        <v>363</v>
      </c>
      <c r="FJ13" s="26" t="s">
        <v>363</v>
      </c>
      <c r="FK13" s="26" t="s">
        <v>363</v>
      </c>
      <c r="FL13" s="26" t="s">
        <v>363</v>
      </c>
      <c r="FM13" s="26" t="s">
        <v>363</v>
      </c>
      <c r="FN13" s="26" t="s">
        <v>363</v>
      </c>
      <c r="FO13" s="26" t="s">
        <v>363</v>
      </c>
      <c r="FP13" s="26" t="s">
        <v>363</v>
      </c>
      <c r="FQ13" s="26" t="s">
        <v>363</v>
      </c>
      <c r="FR13" s="26" t="s">
        <v>363</v>
      </c>
      <c r="FS13" s="26"/>
      <c r="FT13" s="26"/>
      <c r="FU13" s="26"/>
      <c r="FV13" s="26"/>
      <c r="FW13" s="26"/>
      <c r="FX13" s="26"/>
      <c r="FY13" s="26"/>
      <c r="FZ13" s="26"/>
      <c r="GA13" s="26"/>
      <c r="GB13" s="26"/>
      <c r="GC13" s="26"/>
      <c r="GD13" s="26"/>
      <c r="GE13" s="26"/>
      <c r="GF13" s="26"/>
      <c r="GG13" s="26"/>
      <c r="GH13" s="26"/>
      <c r="GI13" s="26"/>
      <c r="GJ13" s="26"/>
      <c r="GK13" s="26"/>
      <c r="GL13" s="26"/>
      <c r="GM13" s="26"/>
      <c r="GN13" s="26"/>
      <c r="GO13" s="26"/>
      <c r="GP13" s="26"/>
      <c r="GQ13" s="26"/>
      <c r="GR13" s="26"/>
      <c r="GS13" s="26"/>
      <c r="GT13" s="26"/>
      <c r="GU13" s="26"/>
      <c r="GV13" s="26"/>
      <c r="GW13" s="26"/>
      <c r="GX13" s="26"/>
      <c r="GY13" s="26"/>
      <c r="GZ13" s="26"/>
      <c r="HA13" s="26"/>
      <c r="HB13" s="26"/>
      <c r="HC13" s="26"/>
      <c r="HD13" s="26"/>
      <c r="HE13" s="26"/>
      <c r="HF13" s="26"/>
    </row>
    <row r="14" spans="1:214" x14ac:dyDescent="0.2">
      <c r="A14" s="25" t="s">
        <v>366</v>
      </c>
      <c r="C14" s="26" t="s">
        <v>363</v>
      </c>
      <c r="D14" s="26" t="s">
        <v>363</v>
      </c>
      <c r="E14" s="26" t="s">
        <v>363</v>
      </c>
      <c r="F14" s="26" t="s">
        <v>363</v>
      </c>
      <c r="G14" s="26" t="s">
        <v>363</v>
      </c>
      <c r="H14" s="26" t="s">
        <v>363</v>
      </c>
      <c r="I14" s="26" t="s">
        <v>363</v>
      </c>
      <c r="J14" s="26" t="s">
        <v>363</v>
      </c>
      <c r="K14" s="26" t="s">
        <v>363</v>
      </c>
      <c r="L14" s="26" t="s">
        <v>363</v>
      </c>
      <c r="M14" s="26" t="s">
        <v>363</v>
      </c>
      <c r="N14" s="26" t="s">
        <v>363</v>
      </c>
      <c r="O14" s="26" t="s">
        <v>363</v>
      </c>
      <c r="P14" s="26" t="s">
        <v>363</v>
      </c>
      <c r="Q14" s="26" t="s">
        <v>363</v>
      </c>
      <c r="R14" s="26" t="s">
        <v>363</v>
      </c>
      <c r="S14" s="26" t="s">
        <v>363</v>
      </c>
      <c r="T14" s="26" t="s">
        <v>363</v>
      </c>
      <c r="U14" s="26" t="s">
        <v>363</v>
      </c>
      <c r="V14" s="26" t="s">
        <v>363</v>
      </c>
      <c r="W14" s="26" t="s">
        <v>363</v>
      </c>
      <c r="X14" s="26" t="s">
        <v>363</v>
      </c>
      <c r="Y14" s="26" t="s">
        <v>363</v>
      </c>
      <c r="Z14" s="26" t="s">
        <v>363</v>
      </c>
      <c r="AA14" s="26" t="s">
        <v>363</v>
      </c>
      <c r="AB14" s="26" t="s">
        <v>363</v>
      </c>
      <c r="AC14" s="26" t="s">
        <v>363</v>
      </c>
      <c r="AD14" s="26" t="s">
        <v>363</v>
      </c>
      <c r="AE14" s="26" t="s">
        <v>363</v>
      </c>
      <c r="AF14" s="26" t="s">
        <v>363</v>
      </c>
      <c r="AG14" s="26" t="s">
        <v>363</v>
      </c>
      <c r="AH14" s="26" t="s">
        <v>363</v>
      </c>
      <c r="AI14" s="26" t="s">
        <v>363</v>
      </c>
      <c r="AJ14" s="26" t="s">
        <v>363</v>
      </c>
      <c r="AK14" s="26" t="s">
        <v>363</v>
      </c>
      <c r="AL14" s="26" t="s">
        <v>363</v>
      </c>
      <c r="AM14" s="26" t="s">
        <v>363</v>
      </c>
      <c r="AN14" s="26" t="s">
        <v>363</v>
      </c>
      <c r="AO14" s="26" t="s">
        <v>363</v>
      </c>
      <c r="AP14" s="26" t="s">
        <v>363</v>
      </c>
      <c r="AQ14" s="26" t="s">
        <v>363</v>
      </c>
      <c r="AR14" s="26" t="s">
        <v>363</v>
      </c>
      <c r="AS14" s="26" t="s">
        <v>363</v>
      </c>
      <c r="AT14" s="26" t="s">
        <v>363</v>
      </c>
      <c r="AU14" s="26" t="s">
        <v>363</v>
      </c>
      <c r="AV14" s="26" t="s">
        <v>363</v>
      </c>
      <c r="AW14" s="26" t="s">
        <v>363</v>
      </c>
      <c r="AX14" s="26" t="s">
        <v>363</v>
      </c>
      <c r="AY14" s="26" t="s">
        <v>363</v>
      </c>
      <c r="AZ14" s="26" t="s">
        <v>363</v>
      </c>
      <c r="BA14" s="26" t="s">
        <v>363</v>
      </c>
      <c r="BB14" s="26" t="s">
        <v>363</v>
      </c>
      <c r="BC14" s="26" t="s">
        <v>363</v>
      </c>
      <c r="BD14" s="26" t="s">
        <v>363</v>
      </c>
      <c r="BE14" s="26" t="s">
        <v>363</v>
      </c>
      <c r="BF14" s="26" t="s">
        <v>363</v>
      </c>
      <c r="BG14" s="26" t="s">
        <v>363</v>
      </c>
      <c r="BH14" s="26" t="s">
        <v>363</v>
      </c>
      <c r="BI14" s="26" t="s">
        <v>363</v>
      </c>
      <c r="BJ14" s="26" t="s">
        <v>363</v>
      </c>
      <c r="BK14" s="26" t="s">
        <v>363</v>
      </c>
      <c r="BL14" s="26" t="s">
        <v>363</v>
      </c>
      <c r="BM14" s="26" t="s">
        <v>363</v>
      </c>
      <c r="BN14" s="26" t="s">
        <v>363</v>
      </c>
      <c r="BO14" s="26" t="s">
        <v>363</v>
      </c>
      <c r="BP14" s="26" t="s">
        <v>363</v>
      </c>
      <c r="BQ14" s="26" t="s">
        <v>363</v>
      </c>
      <c r="BR14" s="26" t="s">
        <v>363</v>
      </c>
      <c r="BS14" s="26" t="s">
        <v>363</v>
      </c>
      <c r="BT14" s="26" t="s">
        <v>363</v>
      </c>
      <c r="BU14" s="26" t="s">
        <v>363</v>
      </c>
      <c r="BV14" s="26" t="s">
        <v>363</v>
      </c>
      <c r="BW14" s="26" t="s">
        <v>363</v>
      </c>
      <c r="BX14" s="26" t="s">
        <v>363</v>
      </c>
      <c r="BY14" s="26" t="s">
        <v>363</v>
      </c>
      <c r="BZ14" s="26" t="s">
        <v>363</v>
      </c>
      <c r="CA14" s="26" t="s">
        <v>363</v>
      </c>
      <c r="CB14" s="26" t="s">
        <v>363</v>
      </c>
      <c r="CC14" s="26" t="s">
        <v>363</v>
      </c>
      <c r="CD14" s="26" t="s">
        <v>363</v>
      </c>
      <c r="CE14" s="26" t="s">
        <v>363</v>
      </c>
      <c r="CF14" s="26" t="s">
        <v>363</v>
      </c>
      <c r="CG14" s="26" t="s">
        <v>363</v>
      </c>
      <c r="CH14" s="26" t="s">
        <v>363</v>
      </c>
      <c r="CI14" s="26" t="s">
        <v>363</v>
      </c>
      <c r="CJ14" s="26" t="s">
        <v>363</v>
      </c>
      <c r="CK14" s="26" t="s">
        <v>363</v>
      </c>
      <c r="CL14" s="26" t="s">
        <v>363</v>
      </c>
      <c r="CM14" s="26" t="s">
        <v>363</v>
      </c>
      <c r="CN14" s="26" t="s">
        <v>363</v>
      </c>
      <c r="CO14" s="26" t="s">
        <v>363</v>
      </c>
      <c r="CP14" s="26" t="s">
        <v>363</v>
      </c>
      <c r="CQ14" s="26" t="s">
        <v>363</v>
      </c>
      <c r="CR14" s="26" t="s">
        <v>363</v>
      </c>
      <c r="CS14" s="26" t="s">
        <v>363</v>
      </c>
      <c r="CT14" s="26" t="s">
        <v>363</v>
      </c>
      <c r="CU14" s="26" t="s">
        <v>363</v>
      </c>
      <c r="CV14" s="26" t="s">
        <v>363</v>
      </c>
      <c r="CW14" s="26"/>
      <c r="CX14" s="26" t="s">
        <v>363</v>
      </c>
      <c r="CY14" s="26" t="s">
        <v>363</v>
      </c>
      <c r="CZ14" s="26" t="s">
        <v>363</v>
      </c>
      <c r="DA14" s="26" t="s">
        <v>363</v>
      </c>
      <c r="DB14" s="26" t="s">
        <v>363</v>
      </c>
      <c r="DC14" s="26" t="s">
        <v>363</v>
      </c>
      <c r="DD14" s="26" t="s">
        <v>363</v>
      </c>
      <c r="DE14" s="26" t="s">
        <v>363</v>
      </c>
      <c r="DF14" s="26" t="s">
        <v>363</v>
      </c>
      <c r="DG14" s="26" t="s">
        <v>363</v>
      </c>
      <c r="DH14" s="26" t="s">
        <v>363</v>
      </c>
      <c r="DI14" s="26" t="s">
        <v>363</v>
      </c>
      <c r="DJ14" s="26" t="s">
        <v>363</v>
      </c>
      <c r="DK14" s="26" t="s">
        <v>363</v>
      </c>
      <c r="DL14" s="26" t="s">
        <v>363</v>
      </c>
      <c r="DM14" s="26" t="s">
        <v>363</v>
      </c>
      <c r="DN14" s="26" t="s">
        <v>363</v>
      </c>
      <c r="DO14" s="26" t="s">
        <v>363</v>
      </c>
      <c r="DP14" s="26" t="s">
        <v>363</v>
      </c>
      <c r="DQ14" s="26" t="s">
        <v>363</v>
      </c>
      <c r="DR14" s="26" t="s">
        <v>363</v>
      </c>
      <c r="DS14" s="26" t="s">
        <v>363</v>
      </c>
      <c r="DT14" s="26" t="s">
        <v>363</v>
      </c>
      <c r="DU14" s="26" t="s">
        <v>363</v>
      </c>
      <c r="DV14" s="26" t="s">
        <v>363</v>
      </c>
      <c r="DW14" s="26" t="s">
        <v>363</v>
      </c>
      <c r="DX14" s="26" t="s">
        <v>363</v>
      </c>
      <c r="DY14" s="26" t="s">
        <v>363</v>
      </c>
      <c r="DZ14" s="26" t="s">
        <v>363</v>
      </c>
      <c r="EA14" s="26" t="s">
        <v>363</v>
      </c>
      <c r="EB14" s="26" t="s">
        <v>363</v>
      </c>
      <c r="EC14" s="26" t="s">
        <v>363</v>
      </c>
      <c r="ED14" s="26" t="s">
        <v>363</v>
      </c>
      <c r="EE14" s="26" t="s">
        <v>363</v>
      </c>
      <c r="EF14" s="26" t="s">
        <v>363</v>
      </c>
      <c r="EG14" s="26" t="s">
        <v>363</v>
      </c>
      <c r="EH14" s="26" t="s">
        <v>363</v>
      </c>
      <c r="EI14" s="26" t="s">
        <v>363</v>
      </c>
      <c r="EJ14" s="26" t="s">
        <v>363</v>
      </c>
      <c r="EK14" s="26" t="s">
        <v>363</v>
      </c>
      <c r="EL14" s="26" t="s">
        <v>363</v>
      </c>
      <c r="EM14" s="26" t="s">
        <v>363</v>
      </c>
      <c r="EN14" s="26" t="s">
        <v>363</v>
      </c>
      <c r="EO14" s="26" t="s">
        <v>363</v>
      </c>
      <c r="EP14" s="26" t="s">
        <v>363</v>
      </c>
      <c r="EQ14" s="26" t="s">
        <v>363</v>
      </c>
      <c r="ER14" s="26" t="s">
        <v>363</v>
      </c>
      <c r="ES14" s="26" t="s">
        <v>363</v>
      </c>
      <c r="ET14" s="26" t="s">
        <v>363</v>
      </c>
      <c r="EU14" s="26" t="s">
        <v>363</v>
      </c>
      <c r="EV14" s="26" t="s">
        <v>363</v>
      </c>
      <c r="EW14" s="26" t="s">
        <v>363</v>
      </c>
      <c r="EX14" s="26" t="s">
        <v>363</v>
      </c>
      <c r="EY14" s="26" t="s">
        <v>363</v>
      </c>
      <c r="EZ14" s="26" t="s">
        <v>363</v>
      </c>
      <c r="FA14" s="26" t="s">
        <v>363</v>
      </c>
      <c r="FB14" s="26" t="s">
        <v>363</v>
      </c>
      <c r="FC14" s="26" t="s">
        <v>363</v>
      </c>
      <c r="FD14" s="26" t="s">
        <v>363</v>
      </c>
      <c r="FE14" s="26" t="s">
        <v>363</v>
      </c>
      <c r="FF14" s="26" t="s">
        <v>363</v>
      </c>
      <c r="FG14" s="26" t="s">
        <v>363</v>
      </c>
      <c r="FH14" s="26" t="s">
        <v>363</v>
      </c>
      <c r="FI14" s="26" t="s">
        <v>363</v>
      </c>
      <c r="FJ14" s="26" t="s">
        <v>363</v>
      </c>
      <c r="FK14" s="26" t="s">
        <v>363</v>
      </c>
      <c r="FL14" s="26" t="s">
        <v>363</v>
      </c>
      <c r="FM14" s="26" t="s">
        <v>363</v>
      </c>
      <c r="FN14" s="26" t="s">
        <v>363</v>
      </c>
      <c r="FO14" s="26" t="s">
        <v>363</v>
      </c>
      <c r="FP14" s="26" t="s">
        <v>363</v>
      </c>
      <c r="FQ14" s="26" t="s">
        <v>363</v>
      </c>
      <c r="FR14" s="26" t="s">
        <v>363</v>
      </c>
      <c r="FS14" s="26"/>
      <c r="FT14" s="26"/>
      <c r="FU14" s="26"/>
      <c r="FV14" s="26"/>
      <c r="FW14" s="26"/>
      <c r="FX14" s="26"/>
      <c r="FY14" s="26"/>
      <c r="FZ14" s="26"/>
      <c r="GA14" s="26"/>
      <c r="GB14" s="26"/>
      <c r="GC14" s="26"/>
      <c r="GD14" s="26"/>
      <c r="GE14" s="26"/>
      <c r="GF14" s="26"/>
      <c r="GG14" s="26"/>
      <c r="GH14" s="26"/>
      <c r="GI14" s="26"/>
      <c r="GJ14" s="26"/>
      <c r="GK14" s="26"/>
      <c r="GL14" s="26"/>
      <c r="GM14" s="26"/>
      <c r="GN14" s="26"/>
      <c r="GO14" s="26"/>
      <c r="GP14" s="26"/>
      <c r="GQ14" s="26"/>
      <c r="GR14" s="26"/>
      <c r="GS14" s="26"/>
      <c r="GT14" s="26"/>
      <c r="GU14" s="26"/>
      <c r="GV14" s="26"/>
      <c r="GW14" s="26"/>
      <c r="GX14" s="26"/>
      <c r="GY14" s="26"/>
      <c r="GZ14" s="26"/>
      <c r="HA14" s="26"/>
      <c r="HB14" s="26"/>
      <c r="HC14" s="26"/>
      <c r="HD14" s="26"/>
      <c r="HE14" s="26"/>
      <c r="HF14" s="26"/>
    </row>
    <row r="15" spans="1:214" x14ac:dyDescent="0.2">
      <c r="A15" s="25" t="s">
        <v>317</v>
      </c>
      <c r="C15" s="26" t="s">
        <v>363</v>
      </c>
      <c r="D15" s="26" t="s">
        <v>363</v>
      </c>
      <c r="E15" s="26" t="s">
        <v>363</v>
      </c>
      <c r="F15" s="26" t="s">
        <v>363</v>
      </c>
      <c r="G15" s="26" t="s">
        <v>363</v>
      </c>
      <c r="H15" s="26" t="s">
        <v>363</v>
      </c>
      <c r="I15" s="26" t="s">
        <v>363</v>
      </c>
      <c r="J15" s="26" t="s">
        <v>363</v>
      </c>
      <c r="K15" s="26" t="s">
        <v>363</v>
      </c>
      <c r="L15" s="26" t="s">
        <v>363</v>
      </c>
      <c r="M15" s="26" t="s">
        <v>363</v>
      </c>
      <c r="N15" s="26" t="s">
        <v>363</v>
      </c>
      <c r="O15" s="26" t="s">
        <v>363</v>
      </c>
      <c r="P15" s="26" t="s">
        <v>363</v>
      </c>
      <c r="Q15" s="26" t="s">
        <v>363</v>
      </c>
      <c r="R15" s="26" t="s">
        <v>363</v>
      </c>
      <c r="S15" s="26" t="s">
        <v>363</v>
      </c>
      <c r="T15" s="26" t="s">
        <v>363</v>
      </c>
      <c r="U15" s="26" t="s">
        <v>363</v>
      </c>
      <c r="V15" s="26" t="s">
        <v>363</v>
      </c>
      <c r="W15" s="26" t="s">
        <v>363</v>
      </c>
      <c r="X15" s="26" t="s">
        <v>363</v>
      </c>
      <c r="Y15" s="26" t="s">
        <v>363</v>
      </c>
      <c r="Z15" s="26" t="s">
        <v>363</v>
      </c>
      <c r="AA15" s="26" t="s">
        <v>363</v>
      </c>
      <c r="AB15" s="26" t="s">
        <v>363</v>
      </c>
      <c r="AC15" s="26" t="s">
        <v>363</v>
      </c>
      <c r="AD15" s="26" t="s">
        <v>363</v>
      </c>
      <c r="AE15" s="26" t="s">
        <v>363</v>
      </c>
      <c r="AF15" s="26" t="s">
        <v>363</v>
      </c>
      <c r="AG15" s="26" t="s">
        <v>363</v>
      </c>
      <c r="AH15" s="26" t="s">
        <v>363</v>
      </c>
      <c r="AI15" s="26" t="s">
        <v>363</v>
      </c>
      <c r="AJ15" s="26" t="s">
        <v>363</v>
      </c>
      <c r="AK15" s="26" t="s">
        <v>363</v>
      </c>
      <c r="AL15" s="26" t="s">
        <v>363</v>
      </c>
      <c r="AM15" s="26" t="s">
        <v>363</v>
      </c>
      <c r="AN15" s="26" t="s">
        <v>363</v>
      </c>
      <c r="AO15" s="26" t="s">
        <v>363</v>
      </c>
      <c r="AP15" s="26" t="s">
        <v>363</v>
      </c>
      <c r="AQ15" s="26" t="s">
        <v>363</v>
      </c>
      <c r="AR15" s="26" t="s">
        <v>363</v>
      </c>
      <c r="AS15" s="26" t="s">
        <v>363</v>
      </c>
      <c r="AT15" s="26" t="s">
        <v>363</v>
      </c>
      <c r="AU15" s="26" t="s">
        <v>363</v>
      </c>
      <c r="AV15" s="26" t="s">
        <v>363</v>
      </c>
      <c r="AW15" s="26" t="s">
        <v>363</v>
      </c>
      <c r="AX15" s="26" t="s">
        <v>363</v>
      </c>
      <c r="AY15" s="26" t="s">
        <v>363</v>
      </c>
      <c r="AZ15" s="26" t="s">
        <v>363</v>
      </c>
      <c r="BA15" s="26" t="s">
        <v>363</v>
      </c>
      <c r="BB15" s="26" t="s">
        <v>363</v>
      </c>
      <c r="BC15" s="26" t="s">
        <v>363</v>
      </c>
      <c r="BD15" s="26" t="s">
        <v>363</v>
      </c>
      <c r="BE15" s="26" t="s">
        <v>363</v>
      </c>
      <c r="BF15" s="26" t="s">
        <v>363</v>
      </c>
      <c r="BG15" s="26" t="s">
        <v>363</v>
      </c>
      <c r="BH15" s="26" t="s">
        <v>363</v>
      </c>
      <c r="BI15" s="26" t="s">
        <v>363</v>
      </c>
      <c r="BJ15" s="26" t="s">
        <v>363</v>
      </c>
      <c r="BK15" s="26" t="s">
        <v>363</v>
      </c>
      <c r="BL15" s="26" t="s">
        <v>363</v>
      </c>
      <c r="BM15" s="26" t="s">
        <v>363</v>
      </c>
      <c r="BN15" s="26" t="s">
        <v>363</v>
      </c>
      <c r="BO15" s="26" t="s">
        <v>363</v>
      </c>
      <c r="BP15" s="26" t="s">
        <v>363</v>
      </c>
      <c r="BQ15" s="26" t="s">
        <v>363</v>
      </c>
      <c r="BR15" s="26" t="s">
        <v>363</v>
      </c>
      <c r="BS15" s="26" t="s">
        <v>363</v>
      </c>
      <c r="BT15" s="26" t="s">
        <v>363</v>
      </c>
      <c r="BU15" s="26" t="s">
        <v>363</v>
      </c>
      <c r="BV15" s="26" t="s">
        <v>363</v>
      </c>
      <c r="BW15" s="26" t="s">
        <v>363</v>
      </c>
      <c r="BX15" s="26" t="s">
        <v>363</v>
      </c>
      <c r="BY15" s="26" t="s">
        <v>363</v>
      </c>
      <c r="BZ15" s="26" t="s">
        <v>363</v>
      </c>
      <c r="CA15" s="26" t="s">
        <v>363</v>
      </c>
      <c r="CB15" s="26" t="s">
        <v>363</v>
      </c>
      <c r="CC15" s="26" t="s">
        <v>363</v>
      </c>
      <c r="CD15" s="26" t="s">
        <v>363</v>
      </c>
      <c r="CE15" s="26" t="s">
        <v>363</v>
      </c>
      <c r="CF15" s="26" t="s">
        <v>363</v>
      </c>
      <c r="CG15" s="26" t="s">
        <v>363</v>
      </c>
      <c r="CH15" s="26" t="s">
        <v>363</v>
      </c>
      <c r="CI15" s="26" t="s">
        <v>363</v>
      </c>
      <c r="CJ15" s="26" t="s">
        <v>363</v>
      </c>
      <c r="CK15" s="26" t="s">
        <v>363</v>
      </c>
      <c r="CL15" s="26" t="s">
        <v>363</v>
      </c>
      <c r="CM15" s="26" t="s">
        <v>363</v>
      </c>
      <c r="CN15" s="26" t="s">
        <v>363</v>
      </c>
      <c r="CO15" s="26" t="s">
        <v>363</v>
      </c>
      <c r="CP15" s="26" t="s">
        <v>363</v>
      </c>
      <c r="CQ15" s="26" t="s">
        <v>363</v>
      </c>
      <c r="CR15" s="26" t="s">
        <v>363</v>
      </c>
      <c r="CS15" s="26" t="s">
        <v>363</v>
      </c>
      <c r="CT15" s="26" t="s">
        <v>363</v>
      </c>
      <c r="CU15" s="26" t="s">
        <v>363</v>
      </c>
      <c r="CV15" s="26" t="s">
        <v>363</v>
      </c>
      <c r="CW15" s="26"/>
      <c r="CX15" s="26" t="s">
        <v>363</v>
      </c>
      <c r="CY15" s="26" t="s">
        <v>363</v>
      </c>
      <c r="CZ15" s="26" t="s">
        <v>363</v>
      </c>
      <c r="DA15" s="26" t="s">
        <v>363</v>
      </c>
      <c r="DB15" s="26" t="s">
        <v>363</v>
      </c>
      <c r="DC15" s="26" t="s">
        <v>363</v>
      </c>
      <c r="DD15" s="26" t="s">
        <v>363</v>
      </c>
      <c r="DE15" s="26" t="s">
        <v>363</v>
      </c>
      <c r="DF15" s="26" t="s">
        <v>363</v>
      </c>
      <c r="DG15" s="26" t="s">
        <v>363</v>
      </c>
      <c r="DH15" s="26" t="s">
        <v>363</v>
      </c>
      <c r="DI15" s="26" t="s">
        <v>363</v>
      </c>
      <c r="DJ15" s="26" t="s">
        <v>363</v>
      </c>
      <c r="DK15" s="26" t="s">
        <v>363</v>
      </c>
      <c r="DL15" s="26" t="s">
        <v>363</v>
      </c>
      <c r="DM15" s="26" t="s">
        <v>363</v>
      </c>
      <c r="DN15" s="26" t="s">
        <v>363</v>
      </c>
      <c r="DO15" s="26" t="s">
        <v>363</v>
      </c>
      <c r="DP15" s="26" t="s">
        <v>363</v>
      </c>
      <c r="DQ15" s="26" t="s">
        <v>363</v>
      </c>
      <c r="DR15" s="26" t="s">
        <v>363</v>
      </c>
      <c r="DS15" s="26" t="s">
        <v>363</v>
      </c>
      <c r="DT15" s="26" t="s">
        <v>363</v>
      </c>
      <c r="DU15" s="26" t="s">
        <v>363</v>
      </c>
      <c r="DV15" s="26" t="s">
        <v>363</v>
      </c>
      <c r="DW15" s="26" t="s">
        <v>363</v>
      </c>
      <c r="DX15" s="26" t="s">
        <v>363</v>
      </c>
      <c r="DY15" s="26" t="s">
        <v>363</v>
      </c>
      <c r="DZ15" s="26" t="s">
        <v>363</v>
      </c>
      <c r="EA15" s="26" t="s">
        <v>363</v>
      </c>
      <c r="EB15" s="26" t="s">
        <v>363</v>
      </c>
      <c r="EC15" s="26" t="s">
        <v>363</v>
      </c>
      <c r="ED15" s="26" t="s">
        <v>363</v>
      </c>
      <c r="EE15" s="26" t="s">
        <v>363</v>
      </c>
      <c r="EF15" s="26" t="s">
        <v>363</v>
      </c>
      <c r="EG15" s="26" t="s">
        <v>363</v>
      </c>
      <c r="EH15" s="26" t="s">
        <v>363</v>
      </c>
      <c r="EI15" s="26" t="s">
        <v>363</v>
      </c>
      <c r="EJ15" s="26" t="s">
        <v>363</v>
      </c>
      <c r="EK15" s="26" t="s">
        <v>363</v>
      </c>
      <c r="EL15" s="26" t="s">
        <v>363</v>
      </c>
      <c r="EM15" s="26" t="s">
        <v>363</v>
      </c>
      <c r="EN15" s="26" t="s">
        <v>363</v>
      </c>
      <c r="EO15" s="26" t="s">
        <v>363</v>
      </c>
      <c r="EP15" s="26" t="s">
        <v>363</v>
      </c>
      <c r="EQ15" s="26" t="s">
        <v>363</v>
      </c>
      <c r="ER15" s="26" t="s">
        <v>363</v>
      </c>
      <c r="ES15" s="26" t="s">
        <v>363</v>
      </c>
      <c r="ET15" s="26" t="s">
        <v>363</v>
      </c>
      <c r="EU15" s="26" t="s">
        <v>363</v>
      </c>
      <c r="EV15" s="26" t="s">
        <v>363</v>
      </c>
      <c r="EW15" s="26" t="s">
        <v>363</v>
      </c>
      <c r="EX15" s="26" t="s">
        <v>363</v>
      </c>
      <c r="EY15" s="26" t="s">
        <v>363</v>
      </c>
      <c r="EZ15" s="26" t="s">
        <v>363</v>
      </c>
      <c r="FA15" s="26" t="s">
        <v>363</v>
      </c>
      <c r="FB15" s="26" t="s">
        <v>363</v>
      </c>
      <c r="FC15" s="26" t="s">
        <v>363</v>
      </c>
      <c r="FD15" s="26" t="s">
        <v>363</v>
      </c>
      <c r="FE15" s="26" t="s">
        <v>363</v>
      </c>
      <c r="FF15" s="26" t="s">
        <v>363</v>
      </c>
      <c r="FG15" s="26" t="s">
        <v>363</v>
      </c>
      <c r="FH15" s="26" t="s">
        <v>363</v>
      </c>
      <c r="FI15" s="26" t="s">
        <v>363</v>
      </c>
      <c r="FJ15" s="26" t="s">
        <v>363</v>
      </c>
      <c r="FK15" s="26" t="s">
        <v>363</v>
      </c>
      <c r="FL15" s="26" t="s">
        <v>363</v>
      </c>
      <c r="FM15" s="26" t="s">
        <v>363</v>
      </c>
      <c r="FN15" s="26" t="s">
        <v>363</v>
      </c>
      <c r="FO15" s="26" t="s">
        <v>363</v>
      </c>
      <c r="FP15" s="26" t="s">
        <v>363</v>
      </c>
      <c r="FQ15" s="26" t="s">
        <v>363</v>
      </c>
      <c r="FR15" s="26" t="s">
        <v>363</v>
      </c>
      <c r="FS15" s="26"/>
      <c r="FT15" s="26"/>
      <c r="FU15" s="26"/>
      <c r="FV15" s="26"/>
      <c r="FW15" s="26"/>
      <c r="FX15" s="26"/>
      <c r="FY15" s="26"/>
      <c r="FZ15" s="26"/>
      <c r="GA15" s="26"/>
      <c r="GB15" s="26"/>
      <c r="GC15" s="26"/>
      <c r="GD15" s="26"/>
      <c r="GE15" s="26"/>
      <c r="GF15" s="26"/>
      <c r="GG15" s="26"/>
      <c r="GH15" s="26"/>
      <c r="GI15" s="26"/>
      <c r="GJ15" s="26"/>
      <c r="GK15" s="26"/>
      <c r="GL15" s="26"/>
      <c r="GM15" s="26"/>
      <c r="GN15" s="26"/>
      <c r="GO15" s="26"/>
      <c r="GP15" s="26"/>
      <c r="GQ15" s="26"/>
      <c r="GR15" s="26"/>
      <c r="GS15" s="26"/>
      <c r="GT15" s="26"/>
      <c r="GU15" s="26"/>
      <c r="GV15" s="26"/>
      <c r="GW15" s="26"/>
      <c r="GX15" s="26"/>
      <c r="GY15" s="26"/>
      <c r="GZ15" s="26"/>
      <c r="HA15" s="26"/>
      <c r="HB15" s="26"/>
      <c r="HC15" s="26"/>
      <c r="HD15" s="26"/>
      <c r="HE15" s="26"/>
      <c r="HF15" s="26"/>
    </row>
    <row r="16" spans="1:214" x14ac:dyDescent="0.2">
      <c r="A16" s="25" t="s">
        <v>367</v>
      </c>
      <c r="C16" s="26" t="s">
        <v>363</v>
      </c>
      <c r="D16" s="26" t="s">
        <v>363</v>
      </c>
      <c r="E16" s="26" t="s">
        <v>363</v>
      </c>
      <c r="F16" s="26" t="s">
        <v>363</v>
      </c>
      <c r="G16" s="26" t="s">
        <v>363</v>
      </c>
      <c r="H16" s="26" t="s">
        <v>363</v>
      </c>
      <c r="I16" s="26" t="s">
        <v>363</v>
      </c>
      <c r="J16" s="26" t="s">
        <v>363</v>
      </c>
      <c r="K16" s="26" t="s">
        <v>363</v>
      </c>
      <c r="L16" s="26" t="s">
        <v>363</v>
      </c>
      <c r="M16" s="26" t="s">
        <v>363</v>
      </c>
      <c r="N16" s="26" t="s">
        <v>363</v>
      </c>
      <c r="O16" s="26" t="s">
        <v>363</v>
      </c>
      <c r="P16" s="26" t="s">
        <v>363</v>
      </c>
      <c r="Q16" s="26" t="s">
        <v>363</v>
      </c>
      <c r="R16" s="26" t="s">
        <v>363</v>
      </c>
      <c r="S16" s="26" t="s">
        <v>363</v>
      </c>
      <c r="T16" s="26" t="s">
        <v>363</v>
      </c>
      <c r="U16" s="26" t="s">
        <v>363</v>
      </c>
      <c r="V16" s="26" t="s">
        <v>363</v>
      </c>
      <c r="W16" s="26" t="s">
        <v>363</v>
      </c>
      <c r="X16" s="26" t="s">
        <v>363</v>
      </c>
      <c r="Y16" s="26" t="s">
        <v>363</v>
      </c>
      <c r="Z16" s="26" t="s">
        <v>363</v>
      </c>
      <c r="AA16" s="26" t="s">
        <v>363</v>
      </c>
      <c r="AB16" s="26" t="s">
        <v>363</v>
      </c>
      <c r="AC16" s="26" t="s">
        <v>363</v>
      </c>
      <c r="AD16" s="26" t="s">
        <v>363</v>
      </c>
      <c r="AE16" s="26" t="s">
        <v>363</v>
      </c>
      <c r="AF16" s="26" t="s">
        <v>363</v>
      </c>
      <c r="AG16" s="26" t="s">
        <v>363</v>
      </c>
      <c r="AH16" s="26" t="s">
        <v>363</v>
      </c>
      <c r="AI16" s="26" t="s">
        <v>363</v>
      </c>
      <c r="AJ16" s="26" t="s">
        <v>363</v>
      </c>
      <c r="AK16" s="26" t="s">
        <v>363</v>
      </c>
      <c r="AL16" s="26" t="s">
        <v>363</v>
      </c>
      <c r="AM16" s="26" t="s">
        <v>363</v>
      </c>
      <c r="AN16" s="26" t="s">
        <v>363</v>
      </c>
      <c r="AO16" s="26" t="s">
        <v>363</v>
      </c>
      <c r="AP16" s="26" t="s">
        <v>363</v>
      </c>
      <c r="AQ16" s="26" t="s">
        <v>363</v>
      </c>
      <c r="AR16" s="26" t="s">
        <v>363</v>
      </c>
      <c r="AS16" s="26" t="s">
        <v>363</v>
      </c>
      <c r="AT16" s="26" t="s">
        <v>363</v>
      </c>
      <c r="AU16" s="26" t="s">
        <v>363</v>
      </c>
      <c r="AV16" s="26" t="s">
        <v>363</v>
      </c>
      <c r="AW16" s="26" t="s">
        <v>363</v>
      </c>
      <c r="AX16" s="26" t="s">
        <v>363</v>
      </c>
      <c r="AY16" s="26" t="s">
        <v>363</v>
      </c>
      <c r="AZ16" s="26" t="s">
        <v>363</v>
      </c>
      <c r="BA16" s="26" t="s">
        <v>363</v>
      </c>
      <c r="BB16" s="26" t="s">
        <v>363</v>
      </c>
      <c r="BC16" s="26" t="s">
        <v>363</v>
      </c>
      <c r="BD16" s="26" t="s">
        <v>363</v>
      </c>
      <c r="BE16" s="26" t="s">
        <v>363</v>
      </c>
      <c r="BF16" s="26" t="s">
        <v>363</v>
      </c>
      <c r="BG16" s="26" t="s">
        <v>363</v>
      </c>
      <c r="BH16" s="26" t="s">
        <v>363</v>
      </c>
      <c r="BI16" s="26" t="s">
        <v>363</v>
      </c>
      <c r="BJ16" s="26" t="s">
        <v>363</v>
      </c>
      <c r="BK16" s="26" t="s">
        <v>363</v>
      </c>
      <c r="BL16" s="26" t="s">
        <v>363</v>
      </c>
      <c r="BM16" s="26" t="s">
        <v>363</v>
      </c>
      <c r="BN16" s="26" t="s">
        <v>363</v>
      </c>
      <c r="BO16" s="26" t="s">
        <v>363</v>
      </c>
      <c r="BP16" s="26" t="s">
        <v>363</v>
      </c>
      <c r="BQ16" s="26" t="s">
        <v>363</v>
      </c>
      <c r="BR16" s="26" t="s">
        <v>363</v>
      </c>
      <c r="BS16" s="26" t="s">
        <v>363</v>
      </c>
      <c r="BT16" s="26" t="s">
        <v>363</v>
      </c>
      <c r="BU16" s="26" t="s">
        <v>363</v>
      </c>
      <c r="BV16" s="26" t="s">
        <v>363</v>
      </c>
      <c r="BW16" s="26" t="s">
        <v>363</v>
      </c>
      <c r="BX16" s="26" t="s">
        <v>363</v>
      </c>
      <c r="BY16" s="26" t="s">
        <v>363</v>
      </c>
      <c r="BZ16" s="26" t="s">
        <v>363</v>
      </c>
      <c r="CA16" s="26" t="s">
        <v>363</v>
      </c>
      <c r="CB16" s="26" t="s">
        <v>363</v>
      </c>
      <c r="CC16" s="26" t="s">
        <v>363</v>
      </c>
      <c r="CD16" s="26" t="s">
        <v>363</v>
      </c>
      <c r="CE16" s="26" t="s">
        <v>363</v>
      </c>
      <c r="CF16" s="26" t="s">
        <v>363</v>
      </c>
      <c r="CG16" s="26" t="s">
        <v>363</v>
      </c>
      <c r="CH16" s="26" t="s">
        <v>363</v>
      </c>
      <c r="CI16" s="26" t="s">
        <v>363</v>
      </c>
      <c r="CJ16" s="26" t="s">
        <v>363</v>
      </c>
      <c r="CK16" s="26" t="s">
        <v>363</v>
      </c>
      <c r="CL16" s="26" t="s">
        <v>363</v>
      </c>
      <c r="CM16" s="26" t="s">
        <v>363</v>
      </c>
      <c r="CN16" s="26" t="s">
        <v>363</v>
      </c>
      <c r="CO16" s="26" t="s">
        <v>363</v>
      </c>
      <c r="CP16" s="26" t="s">
        <v>363</v>
      </c>
      <c r="CQ16" s="26" t="s">
        <v>363</v>
      </c>
      <c r="CR16" s="26" t="s">
        <v>363</v>
      </c>
      <c r="CS16" s="26" t="s">
        <v>363</v>
      </c>
      <c r="CT16" s="26" t="s">
        <v>363</v>
      </c>
      <c r="CU16" s="26" t="s">
        <v>363</v>
      </c>
      <c r="CV16" s="26" t="s">
        <v>363</v>
      </c>
      <c r="CW16" s="26"/>
      <c r="CX16" s="26" t="s">
        <v>363</v>
      </c>
      <c r="CY16" s="26" t="s">
        <v>363</v>
      </c>
      <c r="CZ16" s="26" t="s">
        <v>363</v>
      </c>
      <c r="DA16" s="26" t="s">
        <v>363</v>
      </c>
      <c r="DB16" s="26" t="s">
        <v>363</v>
      </c>
      <c r="DC16" s="26" t="s">
        <v>363</v>
      </c>
      <c r="DD16" s="26" t="s">
        <v>363</v>
      </c>
      <c r="DE16" s="26" t="s">
        <v>363</v>
      </c>
      <c r="DF16" s="26" t="s">
        <v>363</v>
      </c>
      <c r="DG16" s="26" t="s">
        <v>363</v>
      </c>
      <c r="DH16" s="26" t="s">
        <v>363</v>
      </c>
      <c r="DI16" s="26" t="s">
        <v>363</v>
      </c>
      <c r="DJ16" s="26" t="s">
        <v>363</v>
      </c>
      <c r="DK16" s="26" t="s">
        <v>363</v>
      </c>
      <c r="DL16" s="26" t="s">
        <v>363</v>
      </c>
      <c r="DM16" s="26" t="s">
        <v>363</v>
      </c>
      <c r="DN16" s="26" t="s">
        <v>363</v>
      </c>
      <c r="DO16" s="26" t="s">
        <v>363</v>
      </c>
      <c r="DP16" s="26" t="s">
        <v>363</v>
      </c>
      <c r="DQ16" s="26" t="s">
        <v>363</v>
      </c>
      <c r="DR16" s="26" t="s">
        <v>363</v>
      </c>
      <c r="DS16" s="26" t="s">
        <v>363</v>
      </c>
      <c r="DT16" s="26" t="s">
        <v>363</v>
      </c>
      <c r="DU16" s="26" t="s">
        <v>363</v>
      </c>
      <c r="DV16" s="26" t="s">
        <v>363</v>
      </c>
      <c r="DW16" s="26" t="s">
        <v>363</v>
      </c>
      <c r="DX16" s="26" t="s">
        <v>363</v>
      </c>
      <c r="DY16" s="26" t="s">
        <v>363</v>
      </c>
      <c r="DZ16" s="26" t="s">
        <v>363</v>
      </c>
      <c r="EA16" s="26" t="s">
        <v>363</v>
      </c>
      <c r="EB16" s="26" t="s">
        <v>363</v>
      </c>
      <c r="EC16" s="26" t="s">
        <v>363</v>
      </c>
      <c r="ED16" s="26" t="s">
        <v>363</v>
      </c>
      <c r="EE16" s="26" t="s">
        <v>363</v>
      </c>
      <c r="EF16" s="26" t="s">
        <v>363</v>
      </c>
      <c r="EG16" s="26" t="s">
        <v>363</v>
      </c>
      <c r="EH16" s="26" t="s">
        <v>363</v>
      </c>
      <c r="EI16" s="26" t="s">
        <v>363</v>
      </c>
      <c r="EJ16" s="26" t="s">
        <v>363</v>
      </c>
      <c r="EK16" s="26" t="s">
        <v>363</v>
      </c>
      <c r="EL16" s="26" t="s">
        <v>363</v>
      </c>
      <c r="EM16" s="26" t="s">
        <v>363</v>
      </c>
      <c r="EN16" s="26" t="s">
        <v>363</v>
      </c>
      <c r="EO16" s="26" t="s">
        <v>363</v>
      </c>
      <c r="EP16" s="26" t="s">
        <v>363</v>
      </c>
      <c r="EQ16" s="26" t="s">
        <v>363</v>
      </c>
      <c r="ER16" s="26" t="s">
        <v>363</v>
      </c>
      <c r="ES16" s="26" t="s">
        <v>363</v>
      </c>
      <c r="ET16" s="26" t="s">
        <v>363</v>
      </c>
      <c r="EU16" s="26" t="s">
        <v>363</v>
      </c>
      <c r="EV16" s="26" t="s">
        <v>363</v>
      </c>
      <c r="EW16" s="26" t="s">
        <v>363</v>
      </c>
      <c r="EX16" s="26" t="s">
        <v>363</v>
      </c>
      <c r="EY16" s="26" t="s">
        <v>363</v>
      </c>
      <c r="EZ16" s="26" t="s">
        <v>363</v>
      </c>
      <c r="FA16" s="26" t="s">
        <v>363</v>
      </c>
      <c r="FB16" s="26" t="s">
        <v>363</v>
      </c>
      <c r="FC16" s="26" t="s">
        <v>363</v>
      </c>
      <c r="FD16" s="26" t="s">
        <v>363</v>
      </c>
      <c r="FE16" s="26" t="s">
        <v>363</v>
      </c>
      <c r="FF16" s="26" t="s">
        <v>363</v>
      </c>
      <c r="FG16" s="26" t="s">
        <v>363</v>
      </c>
      <c r="FH16" s="26" t="s">
        <v>363</v>
      </c>
      <c r="FI16" s="26" t="s">
        <v>363</v>
      </c>
      <c r="FJ16" s="26" t="s">
        <v>363</v>
      </c>
      <c r="FK16" s="26" t="s">
        <v>363</v>
      </c>
      <c r="FL16" s="26" t="s">
        <v>363</v>
      </c>
      <c r="FM16" s="26" t="s">
        <v>363</v>
      </c>
      <c r="FN16" s="26" t="s">
        <v>363</v>
      </c>
      <c r="FO16" s="26" t="s">
        <v>363</v>
      </c>
      <c r="FP16" s="26" t="s">
        <v>363</v>
      </c>
      <c r="FQ16" s="26" t="s">
        <v>363</v>
      </c>
      <c r="FR16" s="26" t="s">
        <v>363</v>
      </c>
      <c r="FS16" s="26"/>
      <c r="FT16" s="26"/>
      <c r="FU16" s="26"/>
      <c r="FV16" s="26"/>
      <c r="FW16" s="26"/>
      <c r="FX16" s="26"/>
      <c r="FY16" s="26"/>
      <c r="FZ16" s="26"/>
      <c r="GA16" s="26"/>
      <c r="GB16" s="26"/>
      <c r="GC16" s="26"/>
      <c r="GD16" s="26"/>
      <c r="GE16" s="26"/>
      <c r="GF16" s="26"/>
      <c r="GG16" s="26"/>
      <c r="GH16" s="26"/>
      <c r="GI16" s="26"/>
      <c r="GJ16" s="26"/>
      <c r="GK16" s="26"/>
      <c r="GL16" s="26"/>
      <c r="GM16" s="26"/>
      <c r="GN16" s="26"/>
      <c r="GO16" s="26"/>
      <c r="GP16" s="26"/>
      <c r="GQ16" s="26"/>
      <c r="GR16" s="26"/>
      <c r="GS16" s="26"/>
      <c r="GT16" s="26"/>
      <c r="GU16" s="26"/>
      <c r="GV16" s="26"/>
      <c r="GW16" s="26"/>
      <c r="GX16" s="26"/>
      <c r="GY16" s="26"/>
      <c r="GZ16" s="26"/>
      <c r="HA16" s="26"/>
      <c r="HB16" s="26"/>
      <c r="HC16" s="26"/>
      <c r="HD16" s="26"/>
      <c r="HE16" s="26"/>
      <c r="HF16" s="26"/>
    </row>
    <row r="17" spans="1:214" x14ac:dyDescent="0.2">
      <c r="A17" s="25" t="s">
        <v>368</v>
      </c>
      <c r="C17" s="26" t="s">
        <v>363</v>
      </c>
      <c r="D17" s="26" t="s">
        <v>363</v>
      </c>
      <c r="E17" s="26" t="s">
        <v>363</v>
      </c>
      <c r="F17" s="26" t="s">
        <v>363</v>
      </c>
      <c r="G17" s="26" t="s">
        <v>363</v>
      </c>
      <c r="H17" s="26" t="s">
        <v>363</v>
      </c>
      <c r="I17" s="26" t="s">
        <v>363</v>
      </c>
      <c r="J17" s="26" t="s">
        <v>363</v>
      </c>
      <c r="K17" s="26" t="s">
        <v>363</v>
      </c>
      <c r="L17" s="26" t="s">
        <v>363</v>
      </c>
      <c r="M17" s="26" t="s">
        <v>363</v>
      </c>
      <c r="N17" s="26" t="s">
        <v>363</v>
      </c>
      <c r="O17" s="26" t="s">
        <v>363</v>
      </c>
      <c r="P17" s="26" t="s">
        <v>363</v>
      </c>
      <c r="Q17" s="26" t="s">
        <v>363</v>
      </c>
      <c r="R17" s="26" t="s">
        <v>363</v>
      </c>
      <c r="S17" s="26" t="s">
        <v>363</v>
      </c>
      <c r="T17" s="26" t="s">
        <v>363</v>
      </c>
      <c r="U17" s="26" t="s">
        <v>363</v>
      </c>
      <c r="V17" s="26" t="s">
        <v>363</v>
      </c>
      <c r="W17" s="26" t="s">
        <v>363</v>
      </c>
      <c r="X17" s="26" t="s">
        <v>363</v>
      </c>
      <c r="Y17" s="26" t="s">
        <v>363</v>
      </c>
      <c r="Z17" s="26" t="s">
        <v>363</v>
      </c>
      <c r="AA17" s="26" t="s">
        <v>363</v>
      </c>
      <c r="AB17" s="26" t="s">
        <v>363</v>
      </c>
      <c r="AC17" s="26" t="s">
        <v>363</v>
      </c>
      <c r="AD17" s="26" t="s">
        <v>363</v>
      </c>
      <c r="AE17" s="26" t="s">
        <v>363</v>
      </c>
      <c r="AF17" s="26" t="s">
        <v>363</v>
      </c>
      <c r="AG17" s="26" t="s">
        <v>363</v>
      </c>
      <c r="AH17" s="26" t="s">
        <v>363</v>
      </c>
      <c r="AI17" s="26" t="s">
        <v>363</v>
      </c>
      <c r="AJ17" s="26" t="s">
        <v>363</v>
      </c>
      <c r="AK17" s="26" t="s">
        <v>363</v>
      </c>
      <c r="AL17" s="26" t="s">
        <v>363</v>
      </c>
      <c r="AM17" s="26" t="s">
        <v>363</v>
      </c>
      <c r="AN17" s="26" t="s">
        <v>363</v>
      </c>
      <c r="AO17" s="26" t="s">
        <v>363</v>
      </c>
      <c r="AP17" s="26" t="s">
        <v>363</v>
      </c>
      <c r="AQ17" s="26" t="s">
        <v>363</v>
      </c>
      <c r="AR17" s="26" t="s">
        <v>363</v>
      </c>
      <c r="AS17" s="26" t="s">
        <v>363</v>
      </c>
      <c r="AT17" s="26" t="s">
        <v>363</v>
      </c>
      <c r="AU17" s="26" t="s">
        <v>363</v>
      </c>
      <c r="AV17" s="26" t="s">
        <v>363</v>
      </c>
      <c r="AW17" s="26" t="s">
        <v>363</v>
      </c>
      <c r="AX17" s="26" t="s">
        <v>363</v>
      </c>
      <c r="AY17" s="26" t="s">
        <v>363</v>
      </c>
      <c r="AZ17" s="26" t="s">
        <v>363</v>
      </c>
      <c r="BA17" s="26" t="s">
        <v>363</v>
      </c>
      <c r="BB17" s="26" t="s">
        <v>363</v>
      </c>
      <c r="BC17" s="26" t="s">
        <v>363</v>
      </c>
      <c r="BD17" s="26" t="s">
        <v>363</v>
      </c>
      <c r="BE17" s="26" t="s">
        <v>363</v>
      </c>
      <c r="BF17" s="26" t="s">
        <v>363</v>
      </c>
      <c r="BG17" s="26" t="s">
        <v>363</v>
      </c>
      <c r="BH17" s="26" t="s">
        <v>363</v>
      </c>
      <c r="BI17" s="26" t="s">
        <v>363</v>
      </c>
      <c r="BJ17" s="26" t="s">
        <v>363</v>
      </c>
      <c r="BK17" s="26" t="s">
        <v>363</v>
      </c>
      <c r="BL17" s="26" t="s">
        <v>363</v>
      </c>
      <c r="BM17" s="26" t="s">
        <v>363</v>
      </c>
      <c r="BN17" s="26" t="s">
        <v>363</v>
      </c>
      <c r="BO17" s="26" t="s">
        <v>363</v>
      </c>
      <c r="BP17" s="26" t="s">
        <v>363</v>
      </c>
      <c r="BQ17" s="26" t="s">
        <v>363</v>
      </c>
      <c r="BR17" s="26" t="s">
        <v>363</v>
      </c>
      <c r="BS17" s="26" t="s">
        <v>363</v>
      </c>
      <c r="BT17" s="26" t="s">
        <v>363</v>
      </c>
      <c r="BU17" s="26" t="s">
        <v>363</v>
      </c>
      <c r="BV17" s="26" t="s">
        <v>363</v>
      </c>
      <c r="BW17" s="26" t="s">
        <v>363</v>
      </c>
      <c r="BX17" s="26" t="s">
        <v>363</v>
      </c>
      <c r="BY17" s="26" t="s">
        <v>363</v>
      </c>
      <c r="BZ17" s="26" t="s">
        <v>363</v>
      </c>
      <c r="CA17" s="26" t="s">
        <v>363</v>
      </c>
      <c r="CB17" s="26" t="s">
        <v>363</v>
      </c>
      <c r="CC17" s="26" t="s">
        <v>363</v>
      </c>
      <c r="CD17" s="26" t="s">
        <v>363</v>
      </c>
      <c r="CE17" s="26" t="s">
        <v>363</v>
      </c>
      <c r="CF17" s="26" t="s">
        <v>363</v>
      </c>
      <c r="CG17" s="26" t="s">
        <v>363</v>
      </c>
      <c r="CH17" s="26" t="s">
        <v>363</v>
      </c>
      <c r="CI17" s="26" t="s">
        <v>363</v>
      </c>
      <c r="CJ17" s="26" t="s">
        <v>363</v>
      </c>
      <c r="CK17" s="26" t="s">
        <v>363</v>
      </c>
      <c r="CL17" s="26" t="s">
        <v>363</v>
      </c>
      <c r="CM17" s="26" t="s">
        <v>363</v>
      </c>
      <c r="CN17" s="26" t="s">
        <v>363</v>
      </c>
      <c r="CO17" s="26" t="s">
        <v>363</v>
      </c>
      <c r="CP17" s="26" t="s">
        <v>363</v>
      </c>
      <c r="CQ17" s="26" t="s">
        <v>363</v>
      </c>
      <c r="CR17" s="26" t="s">
        <v>363</v>
      </c>
      <c r="CS17" s="26" t="s">
        <v>363</v>
      </c>
      <c r="CT17" s="26" t="s">
        <v>363</v>
      </c>
      <c r="CU17" s="26" t="s">
        <v>363</v>
      </c>
      <c r="CV17" s="26" t="s">
        <v>363</v>
      </c>
      <c r="CW17" s="26"/>
      <c r="CX17" s="26" t="s">
        <v>363</v>
      </c>
      <c r="CY17" s="26" t="s">
        <v>363</v>
      </c>
      <c r="CZ17" s="26" t="s">
        <v>363</v>
      </c>
      <c r="DA17" s="26" t="s">
        <v>363</v>
      </c>
      <c r="DB17" s="26" t="s">
        <v>363</v>
      </c>
      <c r="DC17" s="26" t="s">
        <v>363</v>
      </c>
      <c r="DD17" s="26" t="s">
        <v>363</v>
      </c>
      <c r="DE17" s="26" t="s">
        <v>363</v>
      </c>
      <c r="DF17" s="26" t="s">
        <v>363</v>
      </c>
      <c r="DG17" s="26" t="s">
        <v>363</v>
      </c>
      <c r="DH17" s="26" t="s">
        <v>363</v>
      </c>
      <c r="DI17" s="26" t="s">
        <v>363</v>
      </c>
      <c r="DJ17" s="26" t="s">
        <v>363</v>
      </c>
      <c r="DK17" s="26" t="s">
        <v>363</v>
      </c>
      <c r="DL17" s="26" t="s">
        <v>363</v>
      </c>
      <c r="DM17" s="26" t="s">
        <v>363</v>
      </c>
      <c r="DN17" s="26" t="s">
        <v>363</v>
      </c>
      <c r="DO17" s="26" t="s">
        <v>363</v>
      </c>
      <c r="DP17" s="26" t="s">
        <v>363</v>
      </c>
      <c r="DQ17" s="26" t="s">
        <v>363</v>
      </c>
      <c r="DR17" s="26" t="s">
        <v>363</v>
      </c>
      <c r="DS17" s="26" t="s">
        <v>363</v>
      </c>
      <c r="DT17" s="26" t="s">
        <v>363</v>
      </c>
      <c r="DU17" s="26" t="s">
        <v>363</v>
      </c>
      <c r="DV17" s="26" t="s">
        <v>363</v>
      </c>
      <c r="DW17" s="26" t="s">
        <v>363</v>
      </c>
      <c r="DX17" s="26" t="s">
        <v>363</v>
      </c>
      <c r="DY17" s="26" t="s">
        <v>363</v>
      </c>
      <c r="DZ17" s="26" t="s">
        <v>363</v>
      </c>
      <c r="EA17" s="26" t="s">
        <v>363</v>
      </c>
      <c r="EB17" s="26" t="s">
        <v>363</v>
      </c>
      <c r="EC17" s="26" t="s">
        <v>363</v>
      </c>
      <c r="ED17" s="26" t="s">
        <v>363</v>
      </c>
      <c r="EE17" s="26" t="s">
        <v>363</v>
      </c>
      <c r="EF17" s="26" t="s">
        <v>363</v>
      </c>
      <c r="EG17" s="26" t="s">
        <v>363</v>
      </c>
      <c r="EH17" s="26" t="s">
        <v>363</v>
      </c>
      <c r="EI17" s="26" t="s">
        <v>363</v>
      </c>
      <c r="EJ17" s="26" t="s">
        <v>363</v>
      </c>
      <c r="EK17" s="26" t="s">
        <v>363</v>
      </c>
      <c r="EL17" s="26" t="s">
        <v>363</v>
      </c>
      <c r="EM17" s="26" t="s">
        <v>363</v>
      </c>
      <c r="EN17" s="26" t="s">
        <v>363</v>
      </c>
      <c r="EO17" s="26" t="s">
        <v>363</v>
      </c>
      <c r="EP17" s="26" t="s">
        <v>363</v>
      </c>
      <c r="EQ17" s="26" t="s">
        <v>363</v>
      </c>
      <c r="ER17" s="26" t="s">
        <v>363</v>
      </c>
      <c r="ES17" s="26" t="s">
        <v>363</v>
      </c>
      <c r="ET17" s="26" t="s">
        <v>363</v>
      </c>
      <c r="EU17" s="26" t="s">
        <v>363</v>
      </c>
      <c r="EV17" s="26" t="s">
        <v>363</v>
      </c>
      <c r="EW17" s="26" t="s">
        <v>363</v>
      </c>
      <c r="EX17" s="26" t="s">
        <v>363</v>
      </c>
      <c r="EY17" s="26" t="s">
        <v>363</v>
      </c>
      <c r="EZ17" s="26" t="s">
        <v>363</v>
      </c>
      <c r="FA17" s="26" t="s">
        <v>363</v>
      </c>
      <c r="FB17" s="26" t="s">
        <v>363</v>
      </c>
      <c r="FC17" s="26" t="s">
        <v>363</v>
      </c>
      <c r="FD17" s="26" t="s">
        <v>363</v>
      </c>
      <c r="FE17" s="26" t="s">
        <v>363</v>
      </c>
      <c r="FF17" s="26" t="s">
        <v>363</v>
      </c>
      <c r="FG17" s="26" t="s">
        <v>363</v>
      </c>
      <c r="FH17" s="26" t="s">
        <v>363</v>
      </c>
      <c r="FI17" s="26" t="s">
        <v>363</v>
      </c>
      <c r="FJ17" s="26" t="s">
        <v>363</v>
      </c>
      <c r="FK17" s="26" t="s">
        <v>363</v>
      </c>
      <c r="FL17" s="26" t="s">
        <v>363</v>
      </c>
      <c r="FM17" s="26" t="s">
        <v>363</v>
      </c>
      <c r="FN17" s="26" t="s">
        <v>363</v>
      </c>
      <c r="FO17" s="26" t="s">
        <v>363</v>
      </c>
      <c r="FP17" s="26" t="s">
        <v>363</v>
      </c>
      <c r="FQ17" s="26" t="s">
        <v>363</v>
      </c>
      <c r="FR17" s="26" t="s">
        <v>363</v>
      </c>
      <c r="FS17" s="26"/>
      <c r="FT17" s="26"/>
      <c r="FU17" s="26"/>
      <c r="FV17" s="26"/>
      <c r="FW17" s="26"/>
      <c r="FX17" s="26"/>
      <c r="FY17" s="26"/>
      <c r="FZ17" s="26"/>
      <c r="GA17" s="26"/>
      <c r="GB17" s="26"/>
      <c r="GC17" s="26"/>
      <c r="GD17" s="26"/>
      <c r="GE17" s="26"/>
      <c r="GF17" s="26"/>
      <c r="GG17" s="26"/>
      <c r="GH17" s="26"/>
      <c r="GI17" s="26"/>
      <c r="GJ17" s="26"/>
      <c r="GK17" s="26"/>
      <c r="GL17" s="26"/>
      <c r="GM17" s="26"/>
      <c r="GN17" s="26"/>
      <c r="GO17" s="26"/>
      <c r="GP17" s="26"/>
      <c r="GQ17" s="26"/>
      <c r="GR17" s="26"/>
      <c r="GS17" s="26"/>
      <c r="GT17" s="26"/>
      <c r="GU17" s="26"/>
      <c r="GV17" s="26"/>
      <c r="GW17" s="26"/>
      <c r="GX17" s="26"/>
      <c r="GY17" s="26"/>
      <c r="GZ17" s="26"/>
      <c r="HA17" s="26"/>
      <c r="HB17" s="26"/>
      <c r="HC17" s="26"/>
      <c r="HD17" s="26"/>
      <c r="HE17" s="26"/>
      <c r="HF17" s="26"/>
    </row>
    <row r="18" spans="1:214" x14ac:dyDescent="0.2">
      <c r="A18" s="25" t="s">
        <v>369</v>
      </c>
      <c r="C18" s="26" t="s">
        <v>363</v>
      </c>
      <c r="D18" s="26" t="s">
        <v>363</v>
      </c>
      <c r="E18" s="26" t="s">
        <v>363</v>
      </c>
      <c r="F18" s="26" t="s">
        <v>363</v>
      </c>
      <c r="G18" s="26" t="s">
        <v>363</v>
      </c>
      <c r="H18" s="26" t="s">
        <v>363</v>
      </c>
      <c r="I18" s="26" t="s">
        <v>363</v>
      </c>
      <c r="J18" s="26" t="s">
        <v>363</v>
      </c>
      <c r="K18" s="26" t="s">
        <v>363</v>
      </c>
      <c r="L18" s="26" t="s">
        <v>363</v>
      </c>
      <c r="M18" s="26" t="s">
        <v>363</v>
      </c>
      <c r="N18" s="26" t="s">
        <v>363</v>
      </c>
      <c r="O18" s="26" t="s">
        <v>363</v>
      </c>
      <c r="P18" s="26" t="s">
        <v>363</v>
      </c>
      <c r="Q18" s="26" t="s">
        <v>363</v>
      </c>
      <c r="R18" s="26" t="s">
        <v>363</v>
      </c>
      <c r="S18" s="26" t="s">
        <v>363</v>
      </c>
      <c r="T18" s="26">
        <v>160.25</v>
      </c>
      <c r="U18" s="26" t="s">
        <v>363</v>
      </c>
      <c r="V18" s="26">
        <v>30.061349693251532</v>
      </c>
      <c r="W18" s="26" t="s">
        <v>363</v>
      </c>
      <c r="X18" s="26" t="s">
        <v>363</v>
      </c>
      <c r="Y18" s="26" t="s">
        <v>363</v>
      </c>
      <c r="Z18" s="26" t="s">
        <v>363</v>
      </c>
      <c r="AA18" s="26">
        <v>11.535580524344569</v>
      </c>
      <c r="AB18" s="26">
        <v>114.16612377850163</v>
      </c>
      <c r="AC18" s="26">
        <v>25.484764542936286</v>
      </c>
      <c r="AD18" s="26">
        <v>170.13888888888889</v>
      </c>
      <c r="AE18" s="26" t="s">
        <v>363</v>
      </c>
      <c r="AF18" s="26" t="s">
        <v>363</v>
      </c>
      <c r="AG18" s="26" t="s">
        <v>363</v>
      </c>
      <c r="AH18" s="26" t="s">
        <v>363</v>
      </c>
      <c r="AI18" s="26">
        <v>57.58625031478217</v>
      </c>
      <c r="AJ18" s="26" t="s">
        <v>363</v>
      </c>
      <c r="AK18" s="26" t="s">
        <v>363</v>
      </c>
      <c r="AL18" s="26" t="s">
        <v>363</v>
      </c>
      <c r="AM18" s="26" t="s">
        <v>363</v>
      </c>
      <c r="AN18" s="26" t="s">
        <v>363</v>
      </c>
      <c r="AO18" s="26" t="s">
        <v>363</v>
      </c>
      <c r="AP18" s="26" t="s">
        <v>363</v>
      </c>
      <c r="AQ18" s="26">
        <v>4.6593887720713196</v>
      </c>
      <c r="AR18" s="26">
        <v>33.330228586952309</v>
      </c>
      <c r="AS18" s="26">
        <v>85.806096794468885</v>
      </c>
      <c r="AT18" s="26" t="s">
        <v>363</v>
      </c>
      <c r="AU18" s="26">
        <v>6.1160625866508225</v>
      </c>
      <c r="AV18" s="26">
        <v>44.179942165163801</v>
      </c>
      <c r="AW18" s="26" t="s">
        <v>363</v>
      </c>
      <c r="AX18" s="26" t="s">
        <v>363</v>
      </c>
      <c r="AY18" s="26" t="s">
        <v>363</v>
      </c>
      <c r="AZ18" s="26" t="s">
        <v>363</v>
      </c>
      <c r="BA18" s="26" t="s">
        <v>363</v>
      </c>
      <c r="BB18" s="26" t="s">
        <v>363</v>
      </c>
      <c r="BC18" s="26" t="s">
        <v>363</v>
      </c>
      <c r="BD18" s="26" t="s">
        <v>363</v>
      </c>
      <c r="BE18" s="26" t="s">
        <v>363</v>
      </c>
      <c r="BF18" s="26" t="s">
        <v>363</v>
      </c>
      <c r="BG18" s="26">
        <v>36.691717551276028</v>
      </c>
      <c r="BH18" s="26" t="s">
        <v>363</v>
      </c>
      <c r="BI18" s="26" t="s">
        <v>363</v>
      </c>
      <c r="BJ18" s="26">
        <v>159.08806437192669</v>
      </c>
      <c r="BK18" s="26" t="s">
        <v>363</v>
      </c>
      <c r="BL18" s="26">
        <v>454.48123620309048</v>
      </c>
      <c r="BM18" s="26" t="s">
        <v>363</v>
      </c>
      <c r="BN18" s="26" t="s">
        <v>363</v>
      </c>
      <c r="BO18" s="26" t="s">
        <v>363</v>
      </c>
      <c r="BP18" s="26" t="s">
        <v>363</v>
      </c>
      <c r="BQ18" s="26" t="s">
        <v>363</v>
      </c>
      <c r="BR18" s="26">
        <v>186.38349699322524</v>
      </c>
      <c r="BS18" s="26" t="s">
        <v>363</v>
      </c>
      <c r="BT18" s="26" t="s">
        <v>363</v>
      </c>
      <c r="BU18" s="26" t="s">
        <v>363</v>
      </c>
      <c r="BV18" s="26" t="s">
        <v>363</v>
      </c>
      <c r="BW18" s="26" t="s">
        <v>363</v>
      </c>
      <c r="BX18" s="26" t="s">
        <v>363</v>
      </c>
      <c r="BY18" s="26" t="s">
        <v>363</v>
      </c>
      <c r="BZ18" s="26" t="s">
        <v>363</v>
      </c>
      <c r="CA18" s="26" t="s">
        <v>363</v>
      </c>
      <c r="CB18" s="26" t="s">
        <v>363</v>
      </c>
      <c r="CC18" s="26" t="s">
        <v>363</v>
      </c>
      <c r="CD18" s="26" t="s">
        <v>363</v>
      </c>
      <c r="CE18" s="26" t="s">
        <v>363</v>
      </c>
      <c r="CF18" s="26" t="s">
        <v>363</v>
      </c>
      <c r="CG18" s="26" t="s">
        <v>363</v>
      </c>
      <c r="CH18" s="26">
        <v>22.129032258064516</v>
      </c>
      <c r="CI18" s="26" t="s">
        <v>363</v>
      </c>
      <c r="CJ18" s="26" t="s">
        <v>363</v>
      </c>
      <c r="CK18" s="26" t="s">
        <v>363</v>
      </c>
      <c r="CL18" s="26">
        <v>350.39745627980921</v>
      </c>
      <c r="CM18" s="26" t="s">
        <v>363</v>
      </c>
      <c r="CN18" s="26" t="s">
        <v>363</v>
      </c>
      <c r="CO18" s="26">
        <v>1548.9737470167065</v>
      </c>
      <c r="CP18" s="26" t="s">
        <v>363</v>
      </c>
      <c r="CQ18" s="26" t="s">
        <v>363</v>
      </c>
      <c r="CR18" s="26" t="s">
        <v>363</v>
      </c>
      <c r="CS18" s="26">
        <v>1058.023560209424</v>
      </c>
      <c r="CT18" s="26" t="s">
        <v>363</v>
      </c>
      <c r="CU18" s="26" t="s">
        <v>363</v>
      </c>
      <c r="CV18" s="26" t="s">
        <v>363</v>
      </c>
      <c r="CW18" s="26"/>
      <c r="CX18" s="26" t="s">
        <v>363</v>
      </c>
      <c r="CY18" s="26" t="s">
        <v>363</v>
      </c>
      <c r="CZ18" s="26" t="s">
        <v>363</v>
      </c>
      <c r="DA18" s="26" t="s">
        <v>363</v>
      </c>
      <c r="DB18" s="26" t="s">
        <v>363</v>
      </c>
      <c r="DC18" s="26" t="s">
        <v>363</v>
      </c>
      <c r="DD18" s="26" t="s">
        <v>363</v>
      </c>
      <c r="DE18" s="26" t="s">
        <v>363</v>
      </c>
      <c r="DF18" s="26" t="s">
        <v>363</v>
      </c>
      <c r="DG18" s="26">
        <v>46.4</v>
      </c>
      <c r="DH18" s="26" t="s">
        <v>363</v>
      </c>
      <c r="DI18" s="26" t="s">
        <v>363</v>
      </c>
      <c r="DJ18" s="26" t="s">
        <v>363</v>
      </c>
      <c r="DK18" s="26" t="s">
        <v>363</v>
      </c>
      <c r="DL18" s="26">
        <v>4.9590361445783131</v>
      </c>
      <c r="DM18" s="26">
        <v>528.28612926652147</v>
      </c>
      <c r="DN18" s="26" t="s">
        <v>363</v>
      </c>
      <c r="DO18" s="26">
        <v>65.192034139402566</v>
      </c>
      <c r="DP18" s="26" t="s">
        <v>363</v>
      </c>
      <c r="DQ18" s="26" t="s">
        <v>363</v>
      </c>
      <c r="DR18" s="26" t="s">
        <v>363</v>
      </c>
      <c r="DS18" s="26" t="s">
        <v>363</v>
      </c>
      <c r="DT18" s="26" t="s">
        <v>363</v>
      </c>
      <c r="DU18" s="26" t="s">
        <v>363</v>
      </c>
      <c r="DV18" s="26" t="s">
        <v>363</v>
      </c>
      <c r="DW18" s="26">
        <v>9.6790544732597095</v>
      </c>
      <c r="DX18" s="26" t="s">
        <v>363</v>
      </c>
      <c r="DY18" s="26">
        <v>3.5509422043447765E-2</v>
      </c>
      <c r="DZ18" s="26" t="s">
        <v>363</v>
      </c>
      <c r="EA18" s="26" t="s">
        <v>363</v>
      </c>
      <c r="EB18" s="26" t="s">
        <v>363</v>
      </c>
      <c r="EC18" s="26" t="s">
        <v>363</v>
      </c>
      <c r="ED18" s="26" t="s">
        <v>363</v>
      </c>
      <c r="EE18" s="26" t="s">
        <v>363</v>
      </c>
      <c r="EF18" s="26" t="s">
        <v>363</v>
      </c>
      <c r="EG18" s="26" t="s">
        <v>363</v>
      </c>
      <c r="EH18" s="26" t="s">
        <v>363</v>
      </c>
      <c r="EI18" s="26" t="s">
        <v>363</v>
      </c>
      <c r="EJ18" s="26" t="s">
        <v>363</v>
      </c>
      <c r="EK18" s="26" t="s">
        <v>363</v>
      </c>
      <c r="EL18" s="26" t="s">
        <v>363</v>
      </c>
      <c r="EM18" s="26" t="s">
        <v>363</v>
      </c>
      <c r="EN18" s="26" t="s">
        <v>363</v>
      </c>
      <c r="EO18" s="26" t="s">
        <v>363</v>
      </c>
      <c r="EP18" s="26" t="s">
        <v>363</v>
      </c>
      <c r="EQ18" s="26" t="s">
        <v>363</v>
      </c>
      <c r="ER18" s="26" t="s">
        <v>363</v>
      </c>
      <c r="ES18" s="26" t="s">
        <v>363</v>
      </c>
      <c r="ET18" s="26" t="s">
        <v>363</v>
      </c>
      <c r="EU18" s="26" t="s">
        <v>363</v>
      </c>
      <c r="EV18" s="26" t="s">
        <v>363</v>
      </c>
      <c r="EW18" s="26" t="s">
        <v>363</v>
      </c>
      <c r="EX18" s="26" t="s">
        <v>363</v>
      </c>
      <c r="EY18" s="26" t="s">
        <v>363</v>
      </c>
      <c r="EZ18" s="26" t="s">
        <v>363</v>
      </c>
      <c r="FA18" s="26" t="s">
        <v>363</v>
      </c>
      <c r="FB18" s="26" t="s">
        <v>363</v>
      </c>
      <c r="FC18" s="26" t="s">
        <v>363</v>
      </c>
      <c r="FD18" s="26" t="s">
        <v>363</v>
      </c>
      <c r="FE18" s="26">
        <v>36.852087203050154</v>
      </c>
      <c r="FF18" s="26" t="s">
        <v>363</v>
      </c>
      <c r="FG18" s="26" t="s">
        <v>363</v>
      </c>
      <c r="FH18" s="26" t="s">
        <v>363</v>
      </c>
      <c r="FI18" s="26">
        <v>42.270337922403002</v>
      </c>
      <c r="FJ18" s="26" t="s">
        <v>363</v>
      </c>
      <c r="FK18" s="26" t="s">
        <v>363</v>
      </c>
      <c r="FL18" s="26" t="s">
        <v>363</v>
      </c>
      <c r="FM18" s="26" t="s">
        <v>363</v>
      </c>
      <c r="FN18" s="26" t="s">
        <v>363</v>
      </c>
      <c r="FO18" s="26" t="s">
        <v>363</v>
      </c>
      <c r="FP18" s="26">
        <v>39.72545182456544</v>
      </c>
      <c r="FQ18" s="26" t="s">
        <v>363</v>
      </c>
      <c r="FR18" s="26" t="s">
        <v>363</v>
      </c>
      <c r="FS18" s="26"/>
      <c r="FT18" s="26"/>
      <c r="FU18" s="26"/>
      <c r="FV18" s="26"/>
      <c r="FW18" s="26"/>
      <c r="FX18" s="26"/>
      <c r="FY18" s="26"/>
      <c r="FZ18" s="26"/>
      <c r="GA18" s="26"/>
      <c r="GB18" s="26"/>
      <c r="GC18" s="26"/>
      <c r="GD18" s="26"/>
      <c r="GE18" s="26"/>
      <c r="GF18" s="26"/>
      <c r="GG18" s="26"/>
      <c r="GH18" s="26"/>
      <c r="GI18" s="26"/>
      <c r="GJ18" s="26"/>
      <c r="GK18" s="26"/>
      <c r="GL18" s="26"/>
      <c r="GM18" s="26"/>
      <c r="GN18" s="26"/>
      <c r="GO18" s="26"/>
      <c r="GP18" s="26"/>
      <c r="GQ18" s="26"/>
      <c r="GR18" s="26"/>
      <c r="GS18" s="26"/>
      <c r="GT18" s="26"/>
      <c r="GU18" s="26"/>
      <c r="GV18" s="26"/>
      <c r="GW18" s="26"/>
      <c r="GX18" s="26"/>
      <c r="GY18" s="26"/>
      <c r="GZ18" s="26"/>
      <c r="HA18" s="26"/>
      <c r="HB18" s="26"/>
      <c r="HC18" s="26"/>
      <c r="HD18" s="26"/>
      <c r="HE18" s="26"/>
      <c r="HF18" s="26"/>
    </row>
    <row r="19" spans="1:214" x14ac:dyDescent="0.2">
      <c r="A19" s="25" t="s">
        <v>370</v>
      </c>
      <c r="C19" s="26" t="s">
        <v>363</v>
      </c>
      <c r="D19" s="26" t="s">
        <v>363</v>
      </c>
      <c r="E19" s="26" t="s">
        <v>363</v>
      </c>
      <c r="F19" s="26" t="s">
        <v>363</v>
      </c>
      <c r="G19" s="26" t="s">
        <v>363</v>
      </c>
      <c r="H19" s="26" t="s">
        <v>363</v>
      </c>
      <c r="I19" s="26" t="s">
        <v>363</v>
      </c>
      <c r="J19" s="26" t="s">
        <v>363</v>
      </c>
      <c r="K19" s="26" t="s">
        <v>363</v>
      </c>
      <c r="L19" s="26" t="s">
        <v>363</v>
      </c>
      <c r="M19" s="26" t="s">
        <v>363</v>
      </c>
      <c r="N19" s="26" t="s">
        <v>363</v>
      </c>
      <c r="O19" s="26" t="s">
        <v>363</v>
      </c>
      <c r="P19" s="26" t="s">
        <v>363</v>
      </c>
      <c r="Q19" s="26" t="s">
        <v>363</v>
      </c>
      <c r="R19" s="26" t="s">
        <v>363</v>
      </c>
      <c r="S19" s="26" t="s">
        <v>363</v>
      </c>
      <c r="T19" s="26">
        <v>169.33766233766235</v>
      </c>
      <c r="U19" s="26" t="s">
        <v>363</v>
      </c>
      <c r="V19" s="26">
        <v>20.675105485232066</v>
      </c>
      <c r="W19" s="26">
        <v>6.7765957446808507</v>
      </c>
      <c r="X19" s="26" t="s">
        <v>363</v>
      </c>
      <c r="Y19" s="26" t="s">
        <v>363</v>
      </c>
      <c r="Z19" s="26" t="s">
        <v>363</v>
      </c>
      <c r="AA19" s="26">
        <v>10.968478757423481</v>
      </c>
      <c r="AB19" s="26">
        <v>112.2520530638029</v>
      </c>
      <c r="AC19" s="26">
        <v>20.038694481830419</v>
      </c>
      <c r="AD19" s="26">
        <v>160.8955223880597</v>
      </c>
      <c r="AE19" s="26" t="s">
        <v>363</v>
      </c>
      <c r="AF19" s="26" t="s">
        <v>363</v>
      </c>
      <c r="AG19" s="26" t="s">
        <v>363</v>
      </c>
      <c r="AH19" s="26" t="s">
        <v>363</v>
      </c>
      <c r="AI19" s="26">
        <v>78.099439389761983</v>
      </c>
      <c r="AJ19" s="26" t="s">
        <v>363</v>
      </c>
      <c r="AK19" s="26" t="s">
        <v>363</v>
      </c>
      <c r="AL19" s="26" t="s">
        <v>363</v>
      </c>
      <c r="AM19" s="26" t="s">
        <v>363</v>
      </c>
      <c r="AN19" s="26" t="s">
        <v>363</v>
      </c>
      <c r="AO19" s="26" t="s">
        <v>363</v>
      </c>
      <c r="AP19" s="26" t="s">
        <v>363</v>
      </c>
      <c r="AQ19" s="26">
        <v>4.4041353383458643</v>
      </c>
      <c r="AR19" s="26">
        <v>31.865771066947929</v>
      </c>
      <c r="AS19" s="26">
        <v>83.356598984771566</v>
      </c>
      <c r="AT19" s="26" t="s">
        <v>363</v>
      </c>
      <c r="AU19" s="26">
        <v>5.5133614627285512</v>
      </c>
      <c r="AV19" s="26">
        <v>14.510380291443811</v>
      </c>
      <c r="AW19" s="26" t="s">
        <v>363</v>
      </c>
      <c r="AX19" s="26" t="s">
        <v>363</v>
      </c>
      <c r="AY19" s="26" t="s">
        <v>363</v>
      </c>
      <c r="AZ19" s="26" t="s">
        <v>363</v>
      </c>
      <c r="BA19" s="26" t="s">
        <v>363</v>
      </c>
      <c r="BB19" s="26" t="s">
        <v>363</v>
      </c>
      <c r="BC19" s="26" t="s">
        <v>363</v>
      </c>
      <c r="BD19" s="26" t="s">
        <v>363</v>
      </c>
      <c r="BE19" s="26" t="s">
        <v>363</v>
      </c>
      <c r="BF19" s="26" t="s">
        <v>363</v>
      </c>
      <c r="BG19" s="26">
        <v>28.679572377925453</v>
      </c>
      <c r="BH19" s="26" t="s">
        <v>363</v>
      </c>
      <c r="BI19" s="26" t="s">
        <v>363</v>
      </c>
      <c r="BJ19" s="26">
        <v>130.64485387547649</v>
      </c>
      <c r="BK19" s="26" t="s">
        <v>363</v>
      </c>
      <c r="BL19" s="26">
        <v>436.60728744939269</v>
      </c>
      <c r="BM19" s="26" t="s">
        <v>363</v>
      </c>
      <c r="BN19" s="26" t="s">
        <v>363</v>
      </c>
      <c r="BO19" s="26" t="s">
        <v>363</v>
      </c>
      <c r="BP19" s="26" t="s">
        <v>363</v>
      </c>
      <c r="BQ19" s="26" t="s">
        <v>363</v>
      </c>
      <c r="BR19" s="26">
        <v>171.34211609715931</v>
      </c>
      <c r="BS19" s="26" t="s">
        <v>363</v>
      </c>
      <c r="BT19" s="26" t="s">
        <v>363</v>
      </c>
      <c r="BU19" s="26" t="s">
        <v>363</v>
      </c>
      <c r="BV19" s="26" t="s">
        <v>363</v>
      </c>
      <c r="BW19" s="26" t="s">
        <v>363</v>
      </c>
      <c r="BX19" s="26" t="s">
        <v>363</v>
      </c>
      <c r="BY19" s="26" t="s">
        <v>363</v>
      </c>
      <c r="BZ19" s="26" t="s">
        <v>363</v>
      </c>
      <c r="CA19" s="26" t="s">
        <v>363</v>
      </c>
      <c r="CB19" s="26" t="s">
        <v>363</v>
      </c>
      <c r="CC19" s="26" t="s">
        <v>363</v>
      </c>
      <c r="CD19" s="26" t="s">
        <v>363</v>
      </c>
      <c r="CE19" s="26" t="s">
        <v>363</v>
      </c>
      <c r="CF19" s="26" t="s">
        <v>363</v>
      </c>
      <c r="CG19" s="26" t="s">
        <v>363</v>
      </c>
      <c r="CH19" s="26">
        <v>23.058823529411764</v>
      </c>
      <c r="CI19" s="26" t="s">
        <v>363</v>
      </c>
      <c r="CJ19" s="26" t="s">
        <v>363</v>
      </c>
      <c r="CK19" s="26" t="s">
        <v>363</v>
      </c>
      <c r="CL19" s="26">
        <v>332.73055498246339</v>
      </c>
      <c r="CM19" s="26" t="s">
        <v>363</v>
      </c>
      <c r="CN19" s="26" t="s">
        <v>363</v>
      </c>
      <c r="CO19" s="26">
        <v>1371.4401294498382</v>
      </c>
      <c r="CP19" s="26" t="s">
        <v>363</v>
      </c>
      <c r="CQ19" s="26" t="s">
        <v>363</v>
      </c>
      <c r="CR19" s="26" t="s">
        <v>363</v>
      </c>
      <c r="CS19" s="26">
        <v>807.85602503912367</v>
      </c>
      <c r="CT19" s="26" t="s">
        <v>363</v>
      </c>
      <c r="CU19" s="26" t="s">
        <v>363</v>
      </c>
      <c r="CV19" s="26" t="s">
        <v>363</v>
      </c>
      <c r="CW19" s="26"/>
      <c r="CX19" s="26" t="s">
        <v>363</v>
      </c>
      <c r="CY19" s="26" t="s">
        <v>363</v>
      </c>
      <c r="CZ19" s="26" t="s">
        <v>363</v>
      </c>
      <c r="DA19" s="26" t="s">
        <v>363</v>
      </c>
      <c r="DB19" s="26" t="s">
        <v>363</v>
      </c>
      <c r="DC19" s="26" t="s">
        <v>363</v>
      </c>
      <c r="DD19" s="26" t="s">
        <v>363</v>
      </c>
      <c r="DE19" s="26" t="s">
        <v>363</v>
      </c>
      <c r="DF19" s="26" t="s">
        <v>363</v>
      </c>
      <c r="DG19" s="26">
        <v>44.073672806067172</v>
      </c>
      <c r="DH19" s="26" t="s">
        <v>363</v>
      </c>
      <c r="DI19" s="26" t="s">
        <v>363</v>
      </c>
      <c r="DJ19" s="26" t="s">
        <v>363</v>
      </c>
      <c r="DK19" s="26" t="s">
        <v>363</v>
      </c>
      <c r="DL19" s="26">
        <v>5.5681818181818183</v>
      </c>
      <c r="DM19" s="26">
        <v>493.41143392689781</v>
      </c>
      <c r="DN19" s="26" t="s">
        <v>363</v>
      </c>
      <c r="DO19" s="26">
        <v>71.004672897196272</v>
      </c>
      <c r="DP19" s="26" t="s">
        <v>363</v>
      </c>
      <c r="DQ19" s="26" t="s">
        <v>363</v>
      </c>
      <c r="DR19" s="26" t="s">
        <v>363</v>
      </c>
      <c r="DS19" s="26" t="s">
        <v>363</v>
      </c>
      <c r="DT19" s="26" t="s">
        <v>363</v>
      </c>
      <c r="DU19" s="26" t="s">
        <v>363</v>
      </c>
      <c r="DV19" s="26" t="s">
        <v>363</v>
      </c>
      <c r="DW19" s="26">
        <v>8.8731517953987549</v>
      </c>
      <c r="DX19" s="26" t="s">
        <v>363</v>
      </c>
      <c r="DY19" s="26">
        <v>3.3323951080605076E-2</v>
      </c>
      <c r="DZ19" s="26" t="s">
        <v>363</v>
      </c>
      <c r="EA19" s="26" t="s">
        <v>363</v>
      </c>
      <c r="EB19" s="26" t="s">
        <v>363</v>
      </c>
      <c r="EC19" s="26" t="s">
        <v>363</v>
      </c>
      <c r="ED19" s="26" t="s">
        <v>363</v>
      </c>
      <c r="EE19" s="26" t="s">
        <v>363</v>
      </c>
      <c r="EF19" s="26" t="s">
        <v>363</v>
      </c>
      <c r="EG19" s="26" t="s">
        <v>363</v>
      </c>
      <c r="EH19" s="26" t="s">
        <v>363</v>
      </c>
      <c r="EI19" s="26" t="s">
        <v>363</v>
      </c>
      <c r="EJ19" s="26" t="s">
        <v>363</v>
      </c>
      <c r="EK19" s="26" t="s">
        <v>363</v>
      </c>
      <c r="EL19" s="26" t="s">
        <v>363</v>
      </c>
      <c r="EM19" s="26" t="s">
        <v>363</v>
      </c>
      <c r="EN19" s="26" t="s">
        <v>363</v>
      </c>
      <c r="EO19" s="26" t="s">
        <v>363</v>
      </c>
      <c r="EP19" s="26" t="s">
        <v>363</v>
      </c>
      <c r="EQ19" s="26" t="s">
        <v>363</v>
      </c>
      <c r="ER19" s="26" t="s">
        <v>363</v>
      </c>
      <c r="ES19" s="26" t="s">
        <v>363</v>
      </c>
      <c r="ET19" s="26" t="s">
        <v>363</v>
      </c>
      <c r="EU19" s="26" t="s">
        <v>363</v>
      </c>
      <c r="EV19" s="26" t="s">
        <v>363</v>
      </c>
      <c r="EW19" s="26" t="s">
        <v>363</v>
      </c>
      <c r="EX19" s="26" t="s">
        <v>363</v>
      </c>
      <c r="EY19" s="26" t="s">
        <v>363</v>
      </c>
      <c r="EZ19" s="26" t="s">
        <v>363</v>
      </c>
      <c r="FA19" s="26" t="s">
        <v>363</v>
      </c>
      <c r="FB19" s="26" t="s">
        <v>363</v>
      </c>
      <c r="FC19" s="26" t="s">
        <v>363</v>
      </c>
      <c r="FD19" s="26" t="s">
        <v>363</v>
      </c>
      <c r="FE19" s="26">
        <v>30.066617921845801</v>
      </c>
      <c r="FF19" s="26" t="s">
        <v>363</v>
      </c>
      <c r="FG19" s="26" t="s">
        <v>363</v>
      </c>
      <c r="FH19" s="26" t="s">
        <v>363</v>
      </c>
      <c r="FI19" s="26">
        <v>33.478205778003037</v>
      </c>
      <c r="FJ19" s="26" t="s">
        <v>363</v>
      </c>
      <c r="FK19" s="26" t="s">
        <v>363</v>
      </c>
      <c r="FL19" s="26" t="s">
        <v>363</v>
      </c>
      <c r="FM19" s="26" t="s">
        <v>363</v>
      </c>
      <c r="FN19" s="26" t="s">
        <v>363</v>
      </c>
      <c r="FO19" s="26" t="s">
        <v>363</v>
      </c>
      <c r="FP19" s="26">
        <v>30.611104361559956</v>
      </c>
      <c r="FQ19" s="26" t="s">
        <v>363</v>
      </c>
      <c r="FR19" s="26" t="s">
        <v>363</v>
      </c>
      <c r="FS19" s="26"/>
      <c r="FT19" s="26"/>
      <c r="FU19" s="26"/>
      <c r="FV19" s="26"/>
      <c r="FW19" s="26"/>
      <c r="FX19" s="26"/>
      <c r="FY19" s="26"/>
      <c r="FZ19" s="26"/>
      <c r="GA19" s="26"/>
      <c r="GB19" s="26"/>
      <c r="GC19" s="26"/>
      <c r="GD19" s="26"/>
      <c r="GE19" s="26"/>
      <c r="GF19" s="26"/>
      <c r="GG19" s="26"/>
      <c r="GH19" s="26"/>
      <c r="GI19" s="26"/>
      <c r="GJ19" s="26"/>
      <c r="GK19" s="26"/>
      <c r="GL19" s="26"/>
      <c r="GM19" s="26"/>
      <c r="GN19" s="26"/>
      <c r="GO19" s="26"/>
      <c r="GP19" s="26"/>
      <c r="GQ19" s="26"/>
      <c r="GR19" s="26"/>
      <c r="GS19" s="26"/>
      <c r="GT19" s="26"/>
      <c r="GU19" s="26"/>
      <c r="GV19" s="26"/>
      <c r="GW19" s="26"/>
      <c r="GX19" s="26"/>
      <c r="GY19" s="26"/>
      <c r="GZ19" s="26"/>
      <c r="HA19" s="26"/>
      <c r="HB19" s="26"/>
      <c r="HC19" s="26"/>
      <c r="HD19" s="26"/>
      <c r="HE19" s="26"/>
      <c r="HF19" s="26"/>
    </row>
    <row r="20" spans="1:214" x14ac:dyDescent="0.2">
      <c r="A20" s="25" t="s">
        <v>371</v>
      </c>
      <c r="C20" s="26" t="s">
        <v>363</v>
      </c>
      <c r="D20" s="26" t="s">
        <v>363</v>
      </c>
      <c r="E20" s="26" t="s">
        <v>363</v>
      </c>
      <c r="F20" s="26" t="s">
        <v>363</v>
      </c>
      <c r="G20" s="26" t="s">
        <v>363</v>
      </c>
      <c r="H20" s="26" t="s">
        <v>363</v>
      </c>
      <c r="I20" s="26" t="s">
        <v>363</v>
      </c>
      <c r="J20" s="26" t="s">
        <v>363</v>
      </c>
      <c r="K20" s="26" t="s">
        <v>363</v>
      </c>
      <c r="L20" s="26" t="s">
        <v>363</v>
      </c>
      <c r="M20" s="26" t="s">
        <v>363</v>
      </c>
      <c r="N20" s="26" t="s">
        <v>363</v>
      </c>
      <c r="O20" s="26" t="s">
        <v>363</v>
      </c>
      <c r="P20" s="26" t="s">
        <v>363</v>
      </c>
      <c r="Q20" s="26" t="s">
        <v>363</v>
      </c>
      <c r="R20" s="26" t="s">
        <v>363</v>
      </c>
      <c r="S20" s="26" t="s">
        <v>363</v>
      </c>
      <c r="T20" s="26">
        <v>195.95115681233935</v>
      </c>
      <c r="U20" s="26" t="s">
        <v>363</v>
      </c>
      <c r="V20" s="26">
        <v>9.545454545454545</v>
      </c>
      <c r="W20" s="26">
        <v>0.68563432835820892</v>
      </c>
      <c r="X20" s="26" t="s">
        <v>363</v>
      </c>
      <c r="Y20" s="26" t="s">
        <v>363</v>
      </c>
      <c r="Z20" s="26" t="s">
        <v>363</v>
      </c>
      <c r="AA20" s="26">
        <v>11.104020421186982</v>
      </c>
      <c r="AB20" s="26">
        <v>135.06457925636008</v>
      </c>
      <c r="AC20" s="26">
        <v>26.21393384940183</v>
      </c>
      <c r="AD20" s="26">
        <v>145.75949367088606</v>
      </c>
      <c r="AE20" s="26" t="s">
        <v>363</v>
      </c>
      <c r="AF20" s="26" t="s">
        <v>363</v>
      </c>
      <c r="AG20" s="26" t="s">
        <v>363</v>
      </c>
      <c r="AH20" s="26" t="s">
        <v>363</v>
      </c>
      <c r="AI20" s="26">
        <v>68.74707651186101</v>
      </c>
      <c r="AJ20" s="26" t="s">
        <v>363</v>
      </c>
      <c r="AK20" s="26" t="s">
        <v>363</v>
      </c>
      <c r="AL20" s="26" t="s">
        <v>363</v>
      </c>
      <c r="AM20" s="26" t="s">
        <v>363</v>
      </c>
      <c r="AN20" s="26" t="s">
        <v>363</v>
      </c>
      <c r="AO20" s="26" t="s">
        <v>363</v>
      </c>
      <c r="AP20" s="26" t="s">
        <v>363</v>
      </c>
      <c r="AQ20" s="26">
        <v>4.4207243943391701</v>
      </c>
      <c r="AR20" s="26">
        <v>33.336384185491809</v>
      </c>
      <c r="AS20" s="26">
        <v>85.797551301948616</v>
      </c>
      <c r="AT20" s="26" t="s">
        <v>363</v>
      </c>
      <c r="AU20" s="26">
        <v>5.5160581937963213</v>
      </c>
      <c r="AV20" s="26">
        <v>15.620907263728901</v>
      </c>
      <c r="AW20" s="26" t="s">
        <v>363</v>
      </c>
      <c r="AX20" s="26" t="s">
        <v>363</v>
      </c>
      <c r="AY20" s="26" t="s">
        <v>363</v>
      </c>
      <c r="AZ20" s="26" t="s">
        <v>363</v>
      </c>
      <c r="BA20" s="26" t="s">
        <v>363</v>
      </c>
      <c r="BB20" s="26" t="s">
        <v>363</v>
      </c>
      <c r="BC20" s="26" t="s">
        <v>363</v>
      </c>
      <c r="BD20" s="26" t="s">
        <v>363</v>
      </c>
      <c r="BE20" s="26" t="s">
        <v>363</v>
      </c>
      <c r="BF20" s="26" t="s">
        <v>363</v>
      </c>
      <c r="BG20" s="26">
        <v>31.248334919124645</v>
      </c>
      <c r="BH20" s="26" t="s">
        <v>363</v>
      </c>
      <c r="BI20" s="26" t="s">
        <v>363</v>
      </c>
      <c r="BJ20" s="26">
        <v>398.06451612903226</v>
      </c>
      <c r="BK20" s="26" t="s">
        <v>363</v>
      </c>
      <c r="BL20" s="26">
        <v>459.43606036536931</v>
      </c>
      <c r="BM20" s="26" t="s">
        <v>363</v>
      </c>
      <c r="BN20" s="26" t="s">
        <v>363</v>
      </c>
      <c r="BO20" s="26" t="s">
        <v>363</v>
      </c>
      <c r="BP20" s="26" t="s">
        <v>363</v>
      </c>
      <c r="BQ20" s="26" t="s">
        <v>363</v>
      </c>
      <c r="BR20" s="26">
        <v>178.98810521025297</v>
      </c>
      <c r="BS20" s="26" t="s">
        <v>363</v>
      </c>
      <c r="BT20" s="26" t="s">
        <v>363</v>
      </c>
      <c r="BU20" s="26" t="s">
        <v>363</v>
      </c>
      <c r="BV20" s="26" t="s">
        <v>363</v>
      </c>
      <c r="BW20" s="26" t="s">
        <v>363</v>
      </c>
      <c r="BX20" s="26" t="s">
        <v>363</v>
      </c>
      <c r="BY20" s="26" t="s">
        <v>363</v>
      </c>
      <c r="BZ20" s="26" t="s">
        <v>363</v>
      </c>
      <c r="CA20" s="26" t="s">
        <v>363</v>
      </c>
      <c r="CB20" s="26" t="s">
        <v>363</v>
      </c>
      <c r="CC20" s="26" t="s">
        <v>363</v>
      </c>
      <c r="CD20" s="26" t="s">
        <v>363</v>
      </c>
      <c r="CE20" s="26" t="s">
        <v>363</v>
      </c>
      <c r="CF20" s="26" t="s">
        <v>363</v>
      </c>
      <c r="CG20" s="26" t="s">
        <v>363</v>
      </c>
      <c r="CH20" s="26">
        <v>19.600000000000001</v>
      </c>
      <c r="CI20" s="26" t="s">
        <v>363</v>
      </c>
      <c r="CJ20" s="26" t="s">
        <v>363</v>
      </c>
      <c r="CK20" s="26" t="s">
        <v>363</v>
      </c>
      <c r="CL20" s="26">
        <v>331.17365424430642</v>
      </c>
      <c r="CM20" s="26" t="s">
        <v>363</v>
      </c>
      <c r="CN20" s="26" t="s">
        <v>363</v>
      </c>
      <c r="CO20" s="26">
        <v>1341.7453798767967</v>
      </c>
      <c r="CP20" s="26" t="s">
        <v>363</v>
      </c>
      <c r="CQ20" s="26" t="s">
        <v>363</v>
      </c>
      <c r="CR20" s="26" t="s">
        <v>363</v>
      </c>
      <c r="CS20" s="26">
        <v>887.55868544600946</v>
      </c>
      <c r="CT20" s="26" t="s">
        <v>363</v>
      </c>
      <c r="CU20" s="26" t="s">
        <v>363</v>
      </c>
      <c r="CV20" s="26" t="s">
        <v>363</v>
      </c>
      <c r="CW20" s="26"/>
      <c r="CX20" s="26" t="s">
        <v>363</v>
      </c>
      <c r="CY20" s="26" t="s">
        <v>363</v>
      </c>
      <c r="CZ20" s="26" t="s">
        <v>363</v>
      </c>
      <c r="DA20" s="26" t="s">
        <v>363</v>
      </c>
      <c r="DB20" s="26" t="s">
        <v>363</v>
      </c>
      <c r="DC20" s="26" t="s">
        <v>363</v>
      </c>
      <c r="DD20" s="26" t="s">
        <v>363</v>
      </c>
      <c r="DE20" s="26" t="s">
        <v>363</v>
      </c>
      <c r="DF20" s="26" t="s">
        <v>363</v>
      </c>
      <c r="DG20" s="26">
        <v>45.733590733590731</v>
      </c>
      <c r="DH20" s="26" t="s">
        <v>363</v>
      </c>
      <c r="DI20" s="26" t="s">
        <v>363</v>
      </c>
      <c r="DJ20" s="26" t="s">
        <v>363</v>
      </c>
      <c r="DK20" s="26" t="s">
        <v>363</v>
      </c>
      <c r="DL20" s="26">
        <v>4.2299522039298987</v>
      </c>
      <c r="DM20" s="26">
        <v>409.31631722880581</v>
      </c>
      <c r="DN20" s="26" t="s">
        <v>363</v>
      </c>
      <c r="DO20" s="26">
        <v>64.593596059113295</v>
      </c>
      <c r="DP20" s="26" t="s">
        <v>363</v>
      </c>
      <c r="DQ20" s="26" t="s">
        <v>363</v>
      </c>
      <c r="DR20" s="26" t="s">
        <v>363</v>
      </c>
      <c r="DS20" s="26" t="s">
        <v>363</v>
      </c>
      <c r="DT20" s="26" t="s">
        <v>363</v>
      </c>
      <c r="DU20" s="26" t="s">
        <v>363</v>
      </c>
      <c r="DV20" s="26" t="s">
        <v>363</v>
      </c>
      <c r="DW20" s="26">
        <v>7.2490856973411093</v>
      </c>
      <c r="DX20" s="26" t="s">
        <v>363</v>
      </c>
      <c r="DY20" s="26">
        <v>3.0397653298189491E-2</v>
      </c>
      <c r="DZ20" s="26" t="s">
        <v>363</v>
      </c>
      <c r="EA20" s="26" t="s">
        <v>363</v>
      </c>
      <c r="EB20" s="26" t="s">
        <v>363</v>
      </c>
      <c r="EC20" s="26" t="s">
        <v>363</v>
      </c>
      <c r="ED20" s="26" t="s">
        <v>363</v>
      </c>
      <c r="EE20" s="26" t="s">
        <v>363</v>
      </c>
      <c r="EF20" s="26" t="s">
        <v>363</v>
      </c>
      <c r="EG20" s="26" t="s">
        <v>363</v>
      </c>
      <c r="EH20" s="26" t="s">
        <v>363</v>
      </c>
      <c r="EI20" s="26" t="s">
        <v>363</v>
      </c>
      <c r="EJ20" s="26" t="s">
        <v>363</v>
      </c>
      <c r="EK20" s="26" t="s">
        <v>363</v>
      </c>
      <c r="EL20" s="26" t="s">
        <v>363</v>
      </c>
      <c r="EM20" s="26" t="s">
        <v>363</v>
      </c>
      <c r="EN20" s="26" t="s">
        <v>363</v>
      </c>
      <c r="EO20" s="26" t="s">
        <v>363</v>
      </c>
      <c r="EP20" s="26" t="s">
        <v>363</v>
      </c>
      <c r="EQ20" s="26" t="s">
        <v>363</v>
      </c>
      <c r="ER20" s="26" t="s">
        <v>363</v>
      </c>
      <c r="ES20" s="26" t="s">
        <v>363</v>
      </c>
      <c r="ET20" s="26" t="s">
        <v>363</v>
      </c>
      <c r="EU20" s="26" t="s">
        <v>363</v>
      </c>
      <c r="EV20" s="26" t="s">
        <v>363</v>
      </c>
      <c r="EW20" s="26" t="s">
        <v>363</v>
      </c>
      <c r="EX20" s="26" t="s">
        <v>363</v>
      </c>
      <c r="EY20" s="26" t="s">
        <v>363</v>
      </c>
      <c r="EZ20" s="26" t="s">
        <v>363</v>
      </c>
      <c r="FA20" s="26" t="s">
        <v>363</v>
      </c>
      <c r="FB20" s="26" t="s">
        <v>363</v>
      </c>
      <c r="FC20" s="26" t="s">
        <v>363</v>
      </c>
      <c r="FD20" s="26" t="s">
        <v>363</v>
      </c>
      <c r="FE20" s="26">
        <v>33.226746606711629</v>
      </c>
      <c r="FF20" s="26" t="s">
        <v>363</v>
      </c>
      <c r="FG20" s="26" t="s">
        <v>363</v>
      </c>
      <c r="FH20" s="26" t="s">
        <v>363</v>
      </c>
      <c r="FI20" s="26">
        <v>41.767230497349153</v>
      </c>
      <c r="FJ20" s="26" t="s">
        <v>363</v>
      </c>
      <c r="FK20" s="26" t="s">
        <v>363</v>
      </c>
      <c r="FL20" s="26" t="s">
        <v>363</v>
      </c>
      <c r="FM20" s="26" t="s">
        <v>363</v>
      </c>
      <c r="FN20" s="26" t="s">
        <v>363</v>
      </c>
      <c r="FO20" s="26" t="s">
        <v>363</v>
      </c>
      <c r="FP20" s="26">
        <v>43.747672253258848</v>
      </c>
      <c r="FQ20" s="26" t="s">
        <v>363</v>
      </c>
      <c r="FR20" s="26" t="s">
        <v>363</v>
      </c>
      <c r="FS20" s="26"/>
      <c r="FT20" s="26"/>
      <c r="FU20" s="26"/>
      <c r="FV20" s="26"/>
      <c r="FW20" s="26"/>
      <c r="FX20" s="26"/>
      <c r="FY20" s="26"/>
      <c r="FZ20" s="26"/>
      <c r="GA20" s="26"/>
      <c r="GB20" s="26"/>
      <c r="GC20" s="26"/>
      <c r="GD20" s="26"/>
      <c r="GE20" s="26"/>
      <c r="GF20" s="26"/>
      <c r="GG20" s="26"/>
      <c r="GH20" s="26"/>
      <c r="GI20" s="26"/>
      <c r="GJ20" s="26"/>
      <c r="GK20" s="26"/>
      <c r="GL20" s="26"/>
      <c r="GM20" s="26"/>
      <c r="GN20" s="26"/>
      <c r="GO20" s="26"/>
      <c r="GP20" s="26"/>
      <c r="GQ20" s="26"/>
      <c r="GR20" s="26"/>
      <c r="GS20" s="26"/>
      <c r="GT20" s="26"/>
      <c r="GU20" s="26"/>
      <c r="GV20" s="26"/>
      <c r="GW20" s="26"/>
      <c r="GX20" s="26"/>
      <c r="GY20" s="26"/>
      <c r="GZ20" s="26"/>
      <c r="HA20" s="26"/>
      <c r="HB20" s="26"/>
      <c r="HC20" s="26"/>
      <c r="HD20" s="26"/>
      <c r="HE20" s="26"/>
      <c r="HF20" s="26"/>
    </row>
    <row r="21" spans="1:214" x14ac:dyDescent="0.2">
      <c r="A21" s="25" t="s">
        <v>372</v>
      </c>
      <c r="C21" s="26" t="s">
        <v>363</v>
      </c>
      <c r="D21" s="26" t="s">
        <v>363</v>
      </c>
      <c r="E21" s="26" t="s">
        <v>363</v>
      </c>
      <c r="F21" s="26" t="s">
        <v>363</v>
      </c>
      <c r="G21" s="26" t="s">
        <v>363</v>
      </c>
      <c r="H21" s="26" t="s">
        <v>363</v>
      </c>
      <c r="I21" s="26" t="s">
        <v>363</v>
      </c>
      <c r="J21" s="26" t="s">
        <v>363</v>
      </c>
      <c r="K21" s="26" t="s">
        <v>363</v>
      </c>
      <c r="L21" s="26" t="s">
        <v>363</v>
      </c>
      <c r="M21" s="26" t="s">
        <v>363</v>
      </c>
      <c r="N21" s="26" t="s">
        <v>363</v>
      </c>
      <c r="O21" s="26" t="s">
        <v>363</v>
      </c>
      <c r="P21" s="26" t="s">
        <v>363</v>
      </c>
      <c r="Q21" s="26" t="s">
        <v>363</v>
      </c>
      <c r="R21" s="26" t="s">
        <v>363</v>
      </c>
      <c r="S21" s="26" t="s">
        <v>363</v>
      </c>
      <c r="T21" s="26">
        <v>203.6888888888889</v>
      </c>
      <c r="U21" s="26" t="s">
        <v>363</v>
      </c>
      <c r="V21" s="26">
        <v>2.9627906976744187</v>
      </c>
      <c r="W21" s="26">
        <v>0.64675796073255232</v>
      </c>
      <c r="X21" s="26" t="s">
        <v>363</v>
      </c>
      <c r="Y21" s="26" t="s">
        <v>363</v>
      </c>
      <c r="Z21" s="26" t="s">
        <v>363</v>
      </c>
      <c r="AA21" s="26">
        <v>11.963636363636363</v>
      </c>
      <c r="AB21" s="26">
        <v>128.5146103896104</v>
      </c>
      <c r="AC21" s="26">
        <v>315.25821596244128</v>
      </c>
      <c r="AD21" s="26">
        <v>124.38461538461539</v>
      </c>
      <c r="AE21" s="26" t="s">
        <v>363</v>
      </c>
      <c r="AF21" s="26" t="s">
        <v>363</v>
      </c>
      <c r="AG21" s="26" t="s">
        <v>363</v>
      </c>
      <c r="AH21" s="26" t="s">
        <v>363</v>
      </c>
      <c r="AI21" s="26">
        <v>72.78303637713438</v>
      </c>
      <c r="AJ21" s="26" t="s">
        <v>363</v>
      </c>
      <c r="AK21" s="26" t="s">
        <v>363</v>
      </c>
      <c r="AL21" s="26" t="s">
        <v>363</v>
      </c>
      <c r="AM21" s="26" t="s">
        <v>363</v>
      </c>
      <c r="AN21" s="26" t="s">
        <v>363</v>
      </c>
      <c r="AO21" s="26" t="s">
        <v>363</v>
      </c>
      <c r="AP21" s="26" t="s">
        <v>363</v>
      </c>
      <c r="AQ21" s="26">
        <v>5.1642867045612091</v>
      </c>
      <c r="AR21" s="26">
        <v>34.320758784220736</v>
      </c>
      <c r="AS21" s="26">
        <v>88.235294117647058</v>
      </c>
      <c r="AT21" s="26" t="s">
        <v>363</v>
      </c>
      <c r="AU21" s="26">
        <v>5.9350775193798446</v>
      </c>
      <c r="AV21" s="26">
        <v>14.730223384804079</v>
      </c>
      <c r="AW21" s="26" t="s">
        <v>363</v>
      </c>
      <c r="AX21" s="26" t="s">
        <v>363</v>
      </c>
      <c r="AY21" s="26" t="s">
        <v>363</v>
      </c>
      <c r="AZ21" s="26" t="s">
        <v>363</v>
      </c>
      <c r="BA21" s="26" t="s">
        <v>363</v>
      </c>
      <c r="BB21" s="26" t="s">
        <v>363</v>
      </c>
      <c r="BC21" s="26" t="s">
        <v>363</v>
      </c>
      <c r="BD21" s="26" t="s">
        <v>363</v>
      </c>
      <c r="BE21" s="26" t="s">
        <v>363</v>
      </c>
      <c r="BF21" s="26" t="s">
        <v>363</v>
      </c>
      <c r="BG21" s="26">
        <v>32.95317813235679</v>
      </c>
      <c r="BH21" s="26" t="s">
        <v>363</v>
      </c>
      <c r="BI21" s="26" t="s">
        <v>363</v>
      </c>
      <c r="BJ21" s="26">
        <v>100.08469449485783</v>
      </c>
      <c r="BK21" s="26" t="s">
        <v>363</v>
      </c>
      <c r="BL21" s="26">
        <v>432.91666666666663</v>
      </c>
      <c r="BM21" s="26" t="s">
        <v>363</v>
      </c>
      <c r="BN21" s="26" t="s">
        <v>363</v>
      </c>
      <c r="BO21" s="26" t="s">
        <v>363</v>
      </c>
      <c r="BP21" s="26" t="s">
        <v>363</v>
      </c>
      <c r="BQ21" s="26" t="s">
        <v>363</v>
      </c>
      <c r="BR21" s="26"/>
      <c r="BS21" s="26" t="s">
        <v>363</v>
      </c>
      <c r="BT21" s="26" t="s">
        <v>363</v>
      </c>
      <c r="BU21" s="26" t="s">
        <v>363</v>
      </c>
      <c r="BV21" s="26" t="s">
        <v>363</v>
      </c>
      <c r="BW21" s="26" t="s">
        <v>363</v>
      </c>
      <c r="BX21" s="26" t="s">
        <v>363</v>
      </c>
      <c r="BY21" s="26" t="s">
        <v>363</v>
      </c>
      <c r="BZ21" s="26" t="s">
        <v>363</v>
      </c>
      <c r="CA21" s="26" t="s">
        <v>363</v>
      </c>
      <c r="CB21" s="26" t="s">
        <v>363</v>
      </c>
      <c r="CC21" s="26" t="s">
        <v>363</v>
      </c>
      <c r="CD21" s="26" t="s">
        <v>363</v>
      </c>
      <c r="CE21" s="26" t="s">
        <v>363</v>
      </c>
      <c r="CF21" s="26" t="s">
        <v>363</v>
      </c>
      <c r="CG21" s="26" t="s">
        <v>363</v>
      </c>
      <c r="CH21" s="26">
        <v>24.5</v>
      </c>
      <c r="CI21" s="26" t="s">
        <v>363</v>
      </c>
      <c r="CJ21" s="26" t="s">
        <v>363</v>
      </c>
      <c r="CK21" s="26" t="s">
        <v>363</v>
      </c>
      <c r="CL21" s="26">
        <v>338.59133897461419</v>
      </c>
      <c r="CM21" s="26" t="s">
        <v>363</v>
      </c>
      <c r="CN21" s="26" t="s">
        <v>363</v>
      </c>
      <c r="CO21" s="26">
        <v>1309.7476340694006</v>
      </c>
      <c r="CP21" s="26" t="s">
        <v>363</v>
      </c>
      <c r="CQ21" s="26" t="s">
        <v>363</v>
      </c>
      <c r="CR21" s="26" t="s">
        <v>363</v>
      </c>
      <c r="CS21" s="26">
        <v>1016.2931034482759</v>
      </c>
      <c r="CT21" s="26" t="s">
        <v>363</v>
      </c>
      <c r="CU21" s="26" t="s">
        <v>363</v>
      </c>
      <c r="CV21" s="26" t="s">
        <v>363</v>
      </c>
      <c r="CW21" s="26"/>
      <c r="CX21" s="26" t="s">
        <v>363</v>
      </c>
      <c r="CY21" s="26" t="s">
        <v>363</v>
      </c>
      <c r="CZ21" s="26" t="s">
        <v>363</v>
      </c>
      <c r="DA21" s="26" t="s">
        <v>363</v>
      </c>
      <c r="DB21" s="26" t="s">
        <v>363</v>
      </c>
      <c r="DC21" s="26" t="s">
        <v>363</v>
      </c>
      <c r="DD21" s="26" t="s">
        <v>363</v>
      </c>
      <c r="DE21" s="26" t="s">
        <v>363</v>
      </c>
      <c r="DF21" s="26" t="s">
        <v>363</v>
      </c>
      <c r="DG21" s="26">
        <v>32.248628884826324</v>
      </c>
      <c r="DH21" s="26" t="s">
        <v>363</v>
      </c>
      <c r="DI21" s="26" t="s">
        <v>363</v>
      </c>
      <c r="DJ21" s="26" t="s">
        <v>363</v>
      </c>
      <c r="DK21" s="26" t="s">
        <v>363</v>
      </c>
      <c r="DL21" s="26">
        <v>4.5978552278820377</v>
      </c>
      <c r="DM21" s="26">
        <v>218.77251501000666</v>
      </c>
      <c r="DN21" s="26" t="s">
        <v>363</v>
      </c>
      <c r="DO21" s="26">
        <v>65.73853989813243</v>
      </c>
      <c r="DP21" s="26" t="s">
        <v>363</v>
      </c>
      <c r="DQ21" s="26" t="s">
        <v>363</v>
      </c>
      <c r="DR21" s="26" t="s">
        <v>363</v>
      </c>
      <c r="DS21" s="26" t="s">
        <v>363</v>
      </c>
      <c r="DT21" s="26" t="s">
        <v>363</v>
      </c>
      <c r="DU21" s="26" t="s">
        <v>363</v>
      </c>
      <c r="DV21" s="26" t="s">
        <v>363</v>
      </c>
      <c r="DW21" s="26">
        <v>8.0615257888734</v>
      </c>
      <c r="DX21" s="26" t="s">
        <v>363</v>
      </c>
      <c r="DY21" s="26">
        <v>3.3310976761760813E-2</v>
      </c>
      <c r="DZ21" s="26" t="s">
        <v>363</v>
      </c>
      <c r="EA21" s="26" t="s">
        <v>363</v>
      </c>
      <c r="EB21" s="26" t="s">
        <v>363</v>
      </c>
      <c r="EC21" s="26" t="s">
        <v>363</v>
      </c>
      <c r="ED21" s="26" t="s">
        <v>363</v>
      </c>
      <c r="EE21" s="26" t="s">
        <v>363</v>
      </c>
      <c r="EF21" s="26" t="s">
        <v>363</v>
      </c>
      <c r="EG21" s="26" t="s">
        <v>363</v>
      </c>
      <c r="EH21" s="26" t="s">
        <v>363</v>
      </c>
      <c r="EI21" s="26" t="s">
        <v>363</v>
      </c>
      <c r="EJ21" s="26" t="s">
        <v>363</v>
      </c>
      <c r="EK21" s="26" t="s">
        <v>363</v>
      </c>
      <c r="EL21" s="26" t="s">
        <v>363</v>
      </c>
      <c r="EM21" s="26" t="s">
        <v>363</v>
      </c>
      <c r="EN21" s="26" t="s">
        <v>363</v>
      </c>
      <c r="EO21" s="26" t="s">
        <v>363</v>
      </c>
      <c r="EP21" s="26" t="s">
        <v>363</v>
      </c>
      <c r="EQ21" s="26" t="s">
        <v>363</v>
      </c>
      <c r="ER21" s="26" t="s">
        <v>363</v>
      </c>
      <c r="ES21" s="26" t="s">
        <v>363</v>
      </c>
      <c r="ET21" s="26" t="s">
        <v>363</v>
      </c>
      <c r="EU21" s="26" t="s">
        <v>363</v>
      </c>
      <c r="EV21" s="26" t="s">
        <v>363</v>
      </c>
      <c r="EW21" s="26" t="s">
        <v>363</v>
      </c>
      <c r="EX21" s="26" t="s">
        <v>363</v>
      </c>
      <c r="EY21" s="26" t="s">
        <v>363</v>
      </c>
      <c r="EZ21" s="26" t="s">
        <v>363</v>
      </c>
      <c r="FA21" s="26" t="s">
        <v>363</v>
      </c>
      <c r="FB21" s="26" t="s">
        <v>363</v>
      </c>
      <c r="FC21" s="26" t="s">
        <v>363</v>
      </c>
      <c r="FD21" s="26" t="s">
        <v>363</v>
      </c>
      <c r="FE21" s="26">
        <v>41.256168685509195</v>
      </c>
      <c r="FF21" s="26" t="s">
        <v>363</v>
      </c>
      <c r="FG21" s="26" t="s">
        <v>363</v>
      </c>
      <c r="FH21" s="26" t="s">
        <v>363</v>
      </c>
      <c r="FI21" s="26">
        <v>45.665066026410564</v>
      </c>
      <c r="FJ21" s="26" t="s">
        <v>363</v>
      </c>
      <c r="FK21" s="26" t="s">
        <v>363</v>
      </c>
      <c r="FL21" s="26" t="s">
        <v>363</v>
      </c>
      <c r="FM21" s="26" t="s">
        <v>363</v>
      </c>
      <c r="FN21" s="26" t="s">
        <v>363</v>
      </c>
      <c r="FO21" s="26" t="s">
        <v>363</v>
      </c>
      <c r="FP21" s="26">
        <v>37.217152740502179</v>
      </c>
      <c r="FQ21" s="26" t="s">
        <v>363</v>
      </c>
      <c r="FR21" s="26" t="s">
        <v>363</v>
      </c>
      <c r="FS21" s="26"/>
      <c r="FT21" s="26"/>
      <c r="FU21" s="26"/>
      <c r="FV21" s="26"/>
      <c r="FW21" s="26"/>
      <c r="FX21" s="26"/>
      <c r="FY21" s="26"/>
      <c r="FZ21" s="26"/>
      <c r="GA21" s="26"/>
      <c r="GB21" s="26"/>
      <c r="GC21" s="26"/>
      <c r="GD21" s="26"/>
      <c r="GE21" s="26"/>
      <c r="GF21" s="26"/>
      <c r="GG21" s="26"/>
      <c r="GH21" s="26"/>
      <c r="GI21" s="26"/>
      <c r="GJ21" s="26"/>
      <c r="GK21" s="26"/>
      <c r="GL21" s="26"/>
      <c r="GM21" s="26"/>
      <c r="GN21" s="26"/>
      <c r="GO21" s="26"/>
      <c r="GP21" s="26"/>
      <c r="GQ21" s="26"/>
      <c r="GR21" s="26"/>
      <c r="GS21" s="26"/>
      <c r="GT21" s="26"/>
      <c r="GU21" s="26"/>
      <c r="GV21" s="26"/>
      <c r="GW21" s="26"/>
      <c r="GX21" s="26"/>
      <c r="GY21" s="26"/>
      <c r="GZ21" s="26"/>
      <c r="HA21" s="26"/>
      <c r="HB21" s="26"/>
      <c r="HC21" s="26"/>
      <c r="HD21" s="26"/>
      <c r="HE21" s="26"/>
      <c r="HF21" s="26"/>
    </row>
    <row r="22" spans="1:214" x14ac:dyDescent="0.2">
      <c r="A22" s="25" t="s">
        <v>373</v>
      </c>
      <c r="C22" s="26" t="s">
        <v>363</v>
      </c>
      <c r="D22" s="26" t="s">
        <v>363</v>
      </c>
      <c r="E22" s="26" t="s">
        <v>363</v>
      </c>
      <c r="F22" s="26" t="s">
        <v>363</v>
      </c>
      <c r="G22" s="26" t="s">
        <v>363</v>
      </c>
      <c r="H22" s="26" t="s">
        <v>363</v>
      </c>
      <c r="I22" s="26" t="s">
        <v>363</v>
      </c>
      <c r="J22" s="26" t="s">
        <v>363</v>
      </c>
      <c r="K22" s="26" t="s">
        <v>363</v>
      </c>
      <c r="L22" s="26" t="s">
        <v>363</v>
      </c>
      <c r="M22" s="26" t="s">
        <v>363</v>
      </c>
      <c r="N22" s="26" t="s">
        <v>363</v>
      </c>
      <c r="O22" s="26" t="s">
        <v>363</v>
      </c>
      <c r="P22" s="26" t="s">
        <v>363</v>
      </c>
      <c r="Q22" s="26" t="s">
        <v>363</v>
      </c>
      <c r="R22" s="26" t="s">
        <v>363</v>
      </c>
      <c r="S22" s="26" t="s">
        <v>363</v>
      </c>
      <c r="T22" s="26" t="s">
        <v>363</v>
      </c>
      <c r="U22" s="26" t="s">
        <v>363</v>
      </c>
      <c r="V22" s="26" t="s">
        <v>363</v>
      </c>
      <c r="W22" s="26" t="s">
        <v>363</v>
      </c>
      <c r="X22" s="26" t="s">
        <v>363</v>
      </c>
      <c r="Y22" s="26" t="s">
        <v>363</v>
      </c>
      <c r="Z22" s="26" t="s">
        <v>363</v>
      </c>
      <c r="AA22" s="26" t="s">
        <v>363</v>
      </c>
      <c r="AB22" s="26" t="s">
        <v>363</v>
      </c>
      <c r="AC22" s="26" t="s">
        <v>363</v>
      </c>
      <c r="AD22" s="26" t="s">
        <v>363</v>
      </c>
      <c r="AE22" s="26" t="s">
        <v>363</v>
      </c>
      <c r="AF22" s="26" t="s">
        <v>363</v>
      </c>
      <c r="AG22" s="26" t="s">
        <v>363</v>
      </c>
      <c r="AH22" s="26" t="s">
        <v>363</v>
      </c>
      <c r="AI22" s="26" t="s">
        <v>363</v>
      </c>
      <c r="AJ22" s="26" t="s">
        <v>363</v>
      </c>
      <c r="AK22" s="26">
        <v>5.0476724621424562</v>
      </c>
      <c r="AL22" s="26">
        <v>18.842530282637956</v>
      </c>
      <c r="AM22" s="26" t="s">
        <v>363</v>
      </c>
      <c r="AN22" s="26" t="s">
        <v>363</v>
      </c>
      <c r="AO22" s="26" t="s">
        <v>363</v>
      </c>
      <c r="AP22" s="26" t="s">
        <v>363</v>
      </c>
      <c r="AQ22" s="26" t="s">
        <v>363</v>
      </c>
      <c r="AR22" s="26" t="s">
        <v>363</v>
      </c>
      <c r="AS22" s="26" t="s">
        <v>363</v>
      </c>
      <c r="AT22" s="26" t="s">
        <v>363</v>
      </c>
      <c r="AU22" s="26" t="s">
        <v>363</v>
      </c>
      <c r="AV22" s="26">
        <v>19.820067933535299</v>
      </c>
      <c r="AW22" s="26" t="s">
        <v>363</v>
      </c>
      <c r="AX22" s="26" t="s">
        <v>363</v>
      </c>
      <c r="AY22" s="26" t="s">
        <v>363</v>
      </c>
      <c r="AZ22" s="26" t="s">
        <v>363</v>
      </c>
      <c r="BA22" s="26" t="s">
        <v>363</v>
      </c>
      <c r="BB22" s="26">
        <v>11.37801440651425</v>
      </c>
      <c r="BC22" s="26" t="s">
        <v>363</v>
      </c>
      <c r="BD22" s="26" t="s">
        <v>363</v>
      </c>
      <c r="BE22" s="26" t="s">
        <v>363</v>
      </c>
      <c r="BF22" s="26" t="s">
        <v>363</v>
      </c>
      <c r="BG22" s="26" t="s">
        <v>363</v>
      </c>
      <c r="BH22" s="26" t="s">
        <v>363</v>
      </c>
      <c r="BI22" s="26" t="s">
        <v>363</v>
      </c>
      <c r="BJ22" s="26" t="s">
        <v>363</v>
      </c>
      <c r="BK22" s="26" t="s">
        <v>363</v>
      </c>
      <c r="BL22" s="26" t="s">
        <v>363</v>
      </c>
      <c r="BM22" s="26">
        <v>124.67836257309942</v>
      </c>
      <c r="BN22" s="26" t="s">
        <v>363</v>
      </c>
      <c r="BO22" s="26" t="s">
        <v>363</v>
      </c>
      <c r="BP22" s="26" t="s">
        <v>363</v>
      </c>
      <c r="BQ22" s="26" t="s">
        <v>363</v>
      </c>
      <c r="BR22" s="26" t="s">
        <v>363</v>
      </c>
      <c r="BS22" s="26" t="s">
        <v>363</v>
      </c>
      <c r="BT22" s="26" t="s">
        <v>363</v>
      </c>
      <c r="BU22" s="26" t="s">
        <v>363</v>
      </c>
      <c r="BV22" s="26" t="s">
        <v>363</v>
      </c>
      <c r="BW22" s="26" t="s">
        <v>363</v>
      </c>
      <c r="BX22" s="26" t="s">
        <v>363</v>
      </c>
      <c r="BY22" s="26" t="s">
        <v>363</v>
      </c>
      <c r="BZ22" s="26" t="s">
        <v>363</v>
      </c>
      <c r="CA22" s="26" t="s">
        <v>363</v>
      </c>
      <c r="CB22" s="26" t="s">
        <v>363</v>
      </c>
      <c r="CC22" s="26" t="s">
        <v>363</v>
      </c>
      <c r="CD22" s="26" t="s">
        <v>363</v>
      </c>
      <c r="CE22" s="26" t="s">
        <v>363</v>
      </c>
      <c r="CF22" s="26" t="s">
        <v>363</v>
      </c>
      <c r="CG22" s="26" t="s">
        <v>363</v>
      </c>
      <c r="CH22" s="26" t="s">
        <v>363</v>
      </c>
      <c r="CI22" s="26" t="s">
        <v>363</v>
      </c>
      <c r="CJ22" s="26" t="s">
        <v>363</v>
      </c>
      <c r="CK22" s="26" t="s">
        <v>363</v>
      </c>
      <c r="CL22" s="26" t="s">
        <v>363</v>
      </c>
      <c r="CM22" s="26" t="s">
        <v>363</v>
      </c>
      <c r="CN22" s="26" t="s">
        <v>363</v>
      </c>
      <c r="CO22" s="26" t="s">
        <v>363</v>
      </c>
      <c r="CP22" s="26" t="s">
        <v>363</v>
      </c>
      <c r="CQ22" s="26" t="s">
        <v>363</v>
      </c>
      <c r="CR22" s="26" t="s">
        <v>363</v>
      </c>
      <c r="CS22" s="26" t="s">
        <v>363</v>
      </c>
      <c r="CT22" s="26" t="s">
        <v>363</v>
      </c>
      <c r="CU22" s="26" t="s">
        <v>363</v>
      </c>
      <c r="CV22" s="26" t="s">
        <v>363</v>
      </c>
      <c r="CW22" s="26"/>
      <c r="CX22" s="26" t="s">
        <v>363</v>
      </c>
      <c r="CY22" s="26" t="s">
        <v>363</v>
      </c>
      <c r="CZ22" s="26" t="s">
        <v>363</v>
      </c>
      <c r="DA22" s="26" t="s">
        <v>363</v>
      </c>
      <c r="DB22" s="26" t="s">
        <v>363</v>
      </c>
      <c r="DC22" s="26" t="s">
        <v>363</v>
      </c>
      <c r="DD22" s="26" t="s">
        <v>363</v>
      </c>
      <c r="DE22" s="26" t="s">
        <v>363</v>
      </c>
      <c r="DF22" s="26" t="s">
        <v>363</v>
      </c>
      <c r="DG22" s="26" t="s">
        <v>363</v>
      </c>
      <c r="DH22" s="26" t="s">
        <v>363</v>
      </c>
      <c r="DI22" s="26" t="s">
        <v>363</v>
      </c>
      <c r="DJ22" s="26" t="s">
        <v>363</v>
      </c>
      <c r="DK22" s="26" t="s">
        <v>363</v>
      </c>
      <c r="DL22" s="26" t="s">
        <v>363</v>
      </c>
      <c r="DM22" s="26" t="s">
        <v>363</v>
      </c>
      <c r="DN22" s="26" t="s">
        <v>363</v>
      </c>
      <c r="DO22" s="26" t="s">
        <v>363</v>
      </c>
      <c r="DP22" s="26" t="s">
        <v>363</v>
      </c>
      <c r="DQ22" s="26" t="s">
        <v>363</v>
      </c>
      <c r="DR22" s="26" t="s">
        <v>363</v>
      </c>
      <c r="DS22" s="26" t="s">
        <v>363</v>
      </c>
      <c r="DT22" s="26" t="s">
        <v>363</v>
      </c>
      <c r="DU22" s="26" t="s">
        <v>363</v>
      </c>
      <c r="DV22" s="26" t="s">
        <v>363</v>
      </c>
      <c r="DW22" s="26">
        <v>10.897972470238095</v>
      </c>
      <c r="DX22" s="26" t="s">
        <v>363</v>
      </c>
      <c r="DY22" s="26">
        <v>3.3199851530668199E-2</v>
      </c>
      <c r="DZ22" s="26" t="s">
        <v>363</v>
      </c>
      <c r="EA22" s="26" t="s">
        <v>363</v>
      </c>
      <c r="EB22" s="26" t="s">
        <v>363</v>
      </c>
      <c r="EC22" s="26" t="s">
        <v>363</v>
      </c>
      <c r="ED22" s="26" t="s">
        <v>363</v>
      </c>
      <c r="EE22" s="26" t="s">
        <v>363</v>
      </c>
      <c r="EF22" s="26" t="s">
        <v>363</v>
      </c>
      <c r="EG22" s="26" t="s">
        <v>363</v>
      </c>
      <c r="EH22" s="26" t="s">
        <v>363</v>
      </c>
      <c r="EI22" s="26" t="s">
        <v>363</v>
      </c>
      <c r="EJ22" s="26" t="s">
        <v>363</v>
      </c>
      <c r="EK22" s="26" t="s">
        <v>363</v>
      </c>
      <c r="EL22" s="26" t="s">
        <v>363</v>
      </c>
      <c r="EM22" s="26" t="s">
        <v>363</v>
      </c>
      <c r="EN22" s="26" t="s">
        <v>363</v>
      </c>
      <c r="EO22" s="26" t="s">
        <v>363</v>
      </c>
      <c r="EP22" s="26" t="s">
        <v>363</v>
      </c>
      <c r="EQ22" s="26" t="s">
        <v>363</v>
      </c>
      <c r="ER22" s="26" t="s">
        <v>363</v>
      </c>
      <c r="ES22" s="26" t="s">
        <v>363</v>
      </c>
      <c r="ET22" s="26" t="s">
        <v>363</v>
      </c>
      <c r="EU22" s="26" t="s">
        <v>363</v>
      </c>
      <c r="EV22" s="26" t="s">
        <v>363</v>
      </c>
      <c r="EW22" s="26" t="s">
        <v>363</v>
      </c>
      <c r="EX22" s="26" t="s">
        <v>363</v>
      </c>
      <c r="EY22" s="26" t="s">
        <v>363</v>
      </c>
      <c r="EZ22" s="26" t="s">
        <v>363</v>
      </c>
      <c r="FA22" s="26" t="s">
        <v>363</v>
      </c>
      <c r="FB22" s="26" t="s">
        <v>363</v>
      </c>
      <c r="FC22" s="26" t="s">
        <v>363</v>
      </c>
      <c r="FD22" s="26" t="s">
        <v>363</v>
      </c>
      <c r="FE22" s="26" t="s">
        <v>363</v>
      </c>
      <c r="FF22" s="26" t="s">
        <v>363</v>
      </c>
      <c r="FG22" s="26" t="s">
        <v>363</v>
      </c>
      <c r="FH22" s="26" t="s">
        <v>363</v>
      </c>
      <c r="FI22" s="26" t="s">
        <v>363</v>
      </c>
      <c r="FJ22" s="26" t="s">
        <v>363</v>
      </c>
      <c r="FK22" s="26" t="s">
        <v>363</v>
      </c>
      <c r="FL22" s="26" t="s">
        <v>363</v>
      </c>
      <c r="FM22" s="26" t="s">
        <v>363</v>
      </c>
      <c r="FN22" s="26" t="s">
        <v>363</v>
      </c>
      <c r="FO22" s="26" t="s">
        <v>363</v>
      </c>
      <c r="FP22" s="26" t="s">
        <v>363</v>
      </c>
      <c r="FQ22" s="26" t="s">
        <v>363</v>
      </c>
      <c r="FR22" s="26" t="s">
        <v>363</v>
      </c>
      <c r="FS22" s="26"/>
      <c r="FT22" s="26"/>
      <c r="FU22" s="26"/>
      <c r="FV22" s="26"/>
      <c r="FW22" s="26"/>
      <c r="FX22" s="26"/>
      <c r="FY22" s="26"/>
      <c r="FZ22" s="26"/>
      <c r="GA22" s="26"/>
      <c r="GB22" s="26"/>
      <c r="GC22" s="26"/>
      <c r="GD22" s="26"/>
      <c r="GE22" s="26"/>
      <c r="GF22" s="26"/>
      <c r="GG22" s="26"/>
      <c r="GH22" s="26"/>
      <c r="GI22" s="26"/>
      <c r="GJ22" s="26"/>
      <c r="GK22" s="26"/>
      <c r="GL22" s="26"/>
      <c r="GM22" s="26"/>
      <c r="GN22" s="26"/>
      <c r="GO22" s="26"/>
      <c r="GP22" s="26"/>
      <c r="GQ22" s="26"/>
      <c r="GR22" s="26"/>
      <c r="GS22" s="26"/>
      <c r="GT22" s="26"/>
      <c r="GU22" s="26"/>
      <c r="GV22" s="26"/>
      <c r="GW22" s="26"/>
      <c r="GX22" s="26"/>
      <c r="GY22" s="26"/>
      <c r="GZ22" s="26"/>
      <c r="HA22" s="26"/>
      <c r="HB22" s="26"/>
      <c r="HC22" s="26"/>
      <c r="HD22" s="26"/>
      <c r="HE22" s="26"/>
      <c r="HF22" s="26"/>
    </row>
    <row r="23" spans="1:214" x14ac:dyDescent="0.2">
      <c r="A23" s="25" t="s">
        <v>374</v>
      </c>
      <c r="C23" s="26" t="s">
        <v>363</v>
      </c>
      <c r="D23" s="26" t="s">
        <v>363</v>
      </c>
      <c r="E23" s="26" t="s">
        <v>363</v>
      </c>
      <c r="F23" s="26" t="s">
        <v>363</v>
      </c>
      <c r="G23" s="26" t="s">
        <v>363</v>
      </c>
      <c r="H23" s="26" t="s">
        <v>363</v>
      </c>
      <c r="I23" s="26" t="s">
        <v>363</v>
      </c>
      <c r="J23" s="26" t="s">
        <v>363</v>
      </c>
      <c r="K23" s="26" t="s">
        <v>363</v>
      </c>
      <c r="L23" s="26" t="s">
        <v>363</v>
      </c>
      <c r="M23" s="26" t="s">
        <v>363</v>
      </c>
      <c r="N23" s="26" t="s">
        <v>363</v>
      </c>
      <c r="O23" s="26" t="s">
        <v>363</v>
      </c>
      <c r="P23" s="26" t="s">
        <v>363</v>
      </c>
      <c r="Q23" s="26" t="s">
        <v>363</v>
      </c>
      <c r="R23" s="26" t="s">
        <v>363</v>
      </c>
      <c r="S23" s="26" t="s">
        <v>363</v>
      </c>
      <c r="T23" s="26" t="s">
        <v>363</v>
      </c>
      <c r="U23" s="26" t="s">
        <v>363</v>
      </c>
      <c r="V23" s="26" t="s">
        <v>363</v>
      </c>
      <c r="W23" s="26" t="s">
        <v>363</v>
      </c>
      <c r="X23" s="26" t="s">
        <v>363</v>
      </c>
      <c r="Y23" s="26" t="s">
        <v>363</v>
      </c>
      <c r="Z23" s="26" t="s">
        <v>363</v>
      </c>
      <c r="AA23" s="26" t="s">
        <v>363</v>
      </c>
      <c r="AB23" s="26" t="s">
        <v>363</v>
      </c>
      <c r="AC23" s="26" t="s">
        <v>363</v>
      </c>
      <c r="AD23" s="26" t="s">
        <v>363</v>
      </c>
      <c r="AE23" s="26" t="s">
        <v>363</v>
      </c>
      <c r="AF23" s="26" t="s">
        <v>363</v>
      </c>
      <c r="AG23" s="26" t="s">
        <v>363</v>
      </c>
      <c r="AH23" s="26" t="s">
        <v>363</v>
      </c>
      <c r="AI23" s="26" t="s">
        <v>363</v>
      </c>
      <c r="AJ23" s="26" t="s">
        <v>363</v>
      </c>
      <c r="AK23" s="26">
        <v>5.4715997915581029</v>
      </c>
      <c r="AL23" s="26">
        <v>31.1284046692607</v>
      </c>
      <c r="AM23" s="26" t="s">
        <v>363</v>
      </c>
      <c r="AN23" s="26" t="s">
        <v>363</v>
      </c>
      <c r="AO23" s="26" t="s">
        <v>363</v>
      </c>
      <c r="AP23" s="26" t="s">
        <v>363</v>
      </c>
      <c r="AQ23" s="26" t="s">
        <v>363</v>
      </c>
      <c r="AR23" s="26" t="s">
        <v>363</v>
      </c>
      <c r="AS23" s="26" t="s">
        <v>363</v>
      </c>
      <c r="AT23" s="26" t="s">
        <v>363</v>
      </c>
      <c r="AU23" s="26" t="s">
        <v>363</v>
      </c>
      <c r="AV23" s="26">
        <v>25.087546017778575</v>
      </c>
      <c r="AW23" s="26" t="s">
        <v>363</v>
      </c>
      <c r="AX23" s="26" t="s">
        <v>363</v>
      </c>
      <c r="AY23" s="26" t="s">
        <v>363</v>
      </c>
      <c r="AZ23" s="26" t="s">
        <v>363</v>
      </c>
      <c r="BA23" s="26" t="s">
        <v>363</v>
      </c>
      <c r="BB23" s="26">
        <v>27.082239720034995</v>
      </c>
      <c r="BC23" s="26" t="s">
        <v>363</v>
      </c>
      <c r="BD23" s="26" t="s">
        <v>363</v>
      </c>
      <c r="BE23" s="26" t="s">
        <v>363</v>
      </c>
      <c r="BF23" s="26" t="s">
        <v>363</v>
      </c>
      <c r="BG23" s="26" t="s">
        <v>363</v>
      </c>
      <c r="BH23" s="26" t="s">
        <v>363</v>
      </c>
      <c r="BI23" s="26" t="s">
        <v>363</v>
      </c>
      <c r="BJ23" s="26" t="s">
        <v>363</v>
      </c>
      <c r="BK23" s="26" t="s">
        <v>363</v>
      </c>
      <c r="BL23" s="26" t="s">
        <v>363</v>
      </c>
      <c r="BM23" s="26">
        <v>123.47629796839729</v>
      </c>
      <c r="BN23" s="26" t="s">
        <v>363</v>
      </c>
      <c r="BO23" s="26" t="s">
        <v>363</v>
      </c>
      <c r="BP23" s="26" t="s">
        <v>363</v>
      </c>
      <c r="BQ23" s="26" t="s">
        <v>363</v>
      </c>
      <c r="BR23" s="26" t="s">
        <v>363</v>
      </c>
      <c r="BS23" s="26" t="s">
        <v>363</v>
      </c>
      <c r="BT23" s="26" t="s">
        <v>363</v>
      </c>
      <c r="BU23" s="26" t="s">
        <v>363</v>
      </c>
      <c r="BV23" s="26" t="s">
        <v>363</v>
      </c>
      <c r="BW23" s="26" t="s">
        <v>363</v>
      </c>
      <c r="BX23" s="26" t="s">
        <v>363</v>
      </c>
      <c r="BY23" s="26" t="s">
        <v>363</v>
      </c>
      <c r="BZ23" s="26" t="s">
        <v>363</v>
      </c>
      <c r="CA23" s="26" t="s">
        <v>363</v>
      </c>
      <c r="CB23" s="26" t="s">
        <v>363</v>
      </c>
      <c r="CC23" s="26" t="s">
        <v>363</v>
      </c>
      <c r="CD23" s="26" t="s">
        <v>363</v>
      </c>
      <c r="CE23" s="26" t="s">
        <v>363</v>
      </c>
      <c r="CF23" s="26" t="s">
        <v>363</v>
      </c>
      <c r="CG23" s="26" t="s">
        <v>363</v>
      </c>
      <c r="CH23" s="26" t="s">
        <v>363</v>
      </c>
      <c r="CI23" s="26" t="s">
        <v>363</v>
      </c>
      <c r="CJ23" s="26" t="s">
        <v>363</v>
      </c>
      <c r="CK23" s="26" t="s">
        <v>363</v>
      </c>
      <c r="CL23" s="26" t="s">
        <v>363</v>
      </c>
      <c r="CM23" s="26" t="s">
        <v>363</v>
      </c>
      <c r="CN23" s="26" t="s">
        <v>363</v>
      </c>
      <c r="CO23" s="26" t="s">
        <v>363</v>
      </c>
      <c r="CP23" s="26" t="s">
        <v>363</v>
      </c>
      <c r="CQ23" s="26" t="s">
        <v>363</v>
      </c>
      <c r="CR23" s="26" t="s">
        <v>363</v>
      </c>
      <c r="CS23" s="26" t="s">
        <v>363</v>
      </c>
      <c r="CT23" s="26" t="s">
        <v>363</v>
      </c>
      <c r="CU23" s="26" t="s">
        <v>363</v>
      </c>
      <c r="CV23" s="26" t="s">
        <v>363</v>
      </c>
      <c r="CW23" s="26"/>
      <c r="CX23" s="26" t="s">
        <v>363</v>
      </c>
      <c r="CY23" s="26" t="s">
        <v>363</v>
      </c>
      <c r="CZ23" s="26" t="s">
        <v>363</v>
      </c>
      <c r="DA23" s="26" t="s">
        <v>363</v>
      </c>
      <c r="DB23" s="26" t="s">
        <v>363</v>
      </c>
      <c r="DC23" s="26" t="s">
        <v>363</v>
      </c>
      <c r="DD23" s="26" t="s">
        <v>363</v>
      </c>
      <c r="DE23" s="26" t="s">
        <v>363</v>
      </c>
      <c r="DF23" s="26" t="s">
        <v>363</v>
      </c>
      <c r="DG23" s="26" t="s">
        <v>363</v>
      </c>
      <c r="DH23" s="26" t="s">
        <v>363</v>
      </c>
      <c r="DI23" s="26" t="s">
        <v>363</v>
      </c>
      <c r="DJ23" s="26" t="s">
        <v>363</v>
      </c>
      <c r="DK23" s="26" t="s">
        <v>363</v>
      </c>
      <c r="DL23" s="26" t="s">
        <v>363</v>
      </c>
      <c r="DM23" s="26" t="s">
        <v>363</v>
      </c>
      <c r="DN23" s="26" t="s">
        <v>363</v>
      </c>
      <c r="DO23" s="26" t="s">
        <v>363</v>
      </c>
      <c r="DP23" s="26" t="s">
        <v>363</v>
      </c>
      <c r="DQ23" s="26" t="s">
        <v>363</v>
      </c>
      <c r="DR23" s="26" t="s">
        <v>363</v>
      </c>
      <c r="DS23" s="26" t="s">
        <v>363</v>
      </c>
      <c r="DT23" s="26" t="s">
        <v>363</v>
      </c>
      <c r="DU23" s="26" t="s">
        <v>363</v>
      </c>
      <c r="DV23" s="26" t="s">
        <v>363</v>
      </c>
      <c r="DW23" s="26">
        <v>11.071306939123032</v>
      </c>
      <c r="DX23" s="26" t="s">
        <v>363</v>
      </c>
      <c r="DY23" s="26" t="s">
        <v>363</v>
      </c>
      <c r="DZ23" s="26" t="s">
        <v>363</v>
      </c>
      <c r="EA23" s="26" t="s">
        <v>363</v>
      </c>
      <c r="EB23" s="26" t="s">
        <v>363</v>
      </c>
      <c r="EC23" s="26" t="s">
        <v>363</v>
      </c>
      <c r="ED23" s="26" t="s">
        <v>363</v>
      </c>
      <c r="EE23" s="26" t="s">
        <v>363</v>
      </c>
      <c r="EF23" s="26" t="s">
        <v>363</v>
      </c>
      <c r="EG23" s="26" t="s">
        <v>363</v>
      </c>
      <c r="EH23" s="26" t="s">
        <v>363</v>
      </c>
      <c r="EI23" s="26" t="s">
        <v>363</v>
      </c>
      <c r="EJ23" s="26" t="s">
        <v>363</v>
      </c>
      <c r="EK23" s="26" t="s">
        <v>363</v>
      </c>
      <c r="EL23" s="26" t="s">
        <v>363</v>
      </c>
      <c r="EM23" s="26" t="s">
        <v>363</v>
      </c>
      <c r="EN23" s="26" t="s">
        <v>363</v>
      </c>
      <c r="EO23" s="26" t="s">
        <v>363</v>
      </c>
      <c r="EP23" s="26" t="s">
        <v>363</v>
      </c>
      <c r="EQ23" s="26" t="s">
        <v>363</v>
      </c>
      <c r="ER23" s="26" t="s">
        <v>363</v>
      </c>
      <c r="ES23" s="26" t="s">
        <v>363</v>
      </c>
      <c r="ET23" s="26" t="s">
        <v>363</v>
      </c>
      <c r="EU23" s="26" t="s">
        <v>363</v>
      </c>
      <c r="EV23" s="26" t="s">
        <v>363</v>
      </c>
      <c r="EW23" s="26" t="s">
        <v>363</v>
      </c>
      <c r="EX23" s="26" t="s">
        <v>363</v>
      </c>
      <c r="EY23" s="26" t="s">
        <v>363</v>
      </c>
      <c r="EZ23" s="26" t="s">
        <v>363</v>
      </c>
      <c r="FA23" s="26" t="s">
        <v>363</v>
      </c>
      <c r="FB23" s="26" t="s">
        <v>363</v>
      </c>
      <c r="FC23" s="26" t="s">
        <v>363</v>
      </c>
      <c r="FD23" s="26" t="s">
        <v>363</v>
      </c>
      <c r="FE23" s="26" t="s">
        <v>363</v>
      </c>
      <c r="FF23" s="26" t="s">
        <v>363</v>
      </c>
      <c r="FG23" s="26" t="s">
        <v>363</v>
      </c>
      <c r="FH23" s="26" t="s">
        <v>363</v>
      </c>
      <c r="FI23" s="26" t="s">
        <v>363</v>
      </c>
      <c r="FJ23" s="26" t="s">
        <v>363</v>
      </c>
      <c r="FK23" s="26" t="s">
        <v>363</v>
      </c>
      <c r="FL23" s="26" t="s">
        <v>363</v>
      </c>
      <c r="FM23" s="26" t="s">
        <v>363</v>
      </c>
      <c r="FN23" s="26" t="s">
        <v>363</v>
      </c>
      <c r="FO23" s="26" t="s">
        <v>363</v>
      </c>
      <c r="FP23" s="26" t="s">
        <v>363</v>
      </c>
      <c r="FQ23" s="26" t="s">
        <v>363</v>
      </c>
      <c r="FR23" s="26" t="s">
        <v>363</v>
      </c>
      <c r="FS23" s="26"/>
      <c r="FT23" s="26"/>
      <c r="FU23" s="26"/>
      <c r="FV23" s="26"/>
      <c r="FW23" s="26"/>
      <c r="FX23" s="26"/>
      <c r="FY23" s="26"/>
      <c r="FZ23" s="26"/>
      <c r="GA23" s="26"/>
      <c r="GB23" s="26"/>
      <c r="GC23" s="26"/>
      <c r="GD23" s="26"/>
      <c r="GE23" s="26"/>
      <c r="GF23" s="26"/>
      <c r="GG23" s="26"/>
      <c r="GH23" s="26"/>
      <c r="GI23" s="26"/>
      <c r="GJ23" s="26"/>
      <c r="GK23" s="26"/>
      <c r="GL23" s="26"/>
      <c r="GM23" s="26"/>
      <c r="GN23" s="26"/>
      <c r="GO23" s="26"/>
      <c r="GP23" s="26"/>
      <c r="GQ23" s="26"/>
      <c r="GR23" s="26"/>
      <c r="GS23" s="26"/>
      <c r="GT23" s="26"/>
      <c r="GU23" s="26"/>
      <c r="GV23" s="26"/>
      <c r="GW23" s="26"/>
      <c r="GX23" s="26"/>
      <c r="GY23" s="26"/>
      <c r="GZ23" s="26"/>
      <c r="HA23" s="26"/>
      <c r="HB23" s="26"/>
      <c r="HC23" s="26"/>
      <c r="HD23" s="26"/>
      <c r="HE23" s="26"/>
      <c r="HF23" s="26"/>
    </row>
    <row r="24" spans="1:214" x14ac:dyDescent="0.2">
      <c r="A24" s="25" t="s">
        <v>375</v>
      </c>
      <c r="C24" s="26" t="s">
        <v>363</v>
      </c>
      <c r="D24" s="26" t="s">
        <v>363</v>
      </c>
      <c r="E24" s="26" t="s">
        <v>363</v>
      </c>
      <c r="F24" s="26" t="s">
        <v>363</v>
      </c>
      <c r="G24" s="26" t="s">
        <v>363</v>
      </c>
      <c r="H24" s="26" t="s">
        <v>363</v>
      </c>
      <c r="I24" s="26" t="s">
        <v>363</v>
      </c>
      <c r="J24" s="26" t="s">
        <v>363</v>
      </c>
      <c r="K24" s="26" t="s">
        <v>363</v>
      </c>
      <c r="L24" s="26" t="s">
        <v>363</v>
      </c>
      <c r="M24" s="26" t="s">
        <v>363</v>
      </c>
      <c r="N24" s="26" t="s">
        <v>363</v>
      </c>
      <c r="O24" s="26" t="s">
        <v>363</v>
      </c>
      <c r="P24" s="26" t="s">
        <v>363</v>
      </c>
      <c r="Q24" s="26" t="s">
        <v>363</v>
      </c>
      <c r="R24" s="26"/>
      <c r="S24" s="26" t="s">
        <v>363</v>
      </c>
      <c r="T24" s="26" t="s">
        <v>363</v>
      </c>
      <c r="U24" s="26" t="s">
        <v>363</v>
      </c>
      <c r="V24" s="26" t="s">
        <v>363</v>
      </c>
      <c r="W24" s="26" t="s">
        <v>363</v>
      </c>
      <c r="X24" s="26" t="s">
        <v>363</v>
      </c>
      <c r="Y24" s="26" t="s">
        <v>363</v>
      </c>
      <c r="Z24" s="26" t="s">
        <v>363</v>
      </c>
      <c r="AA24" s="26" t="s">
        <v>363</v>
      </c>
      <c r="AB24" s="26" t="s">
        <v>363</v>
      </c>
      <c r="AC24" s="26" t="s">
        <v>363</v>
      </c>
      <c r="AD24" s="26" t="s">
        <v>363</v>
      </c>
      <c r="AE24" s="26" t="s">
        <v>363</v>
      </c>
      <c r="AF24" s="26" t="s">
        <v>363</v>
      </c>
      <c r="AG24" s="26" t="s">
        <v>363</v>
      </c>
      <c r="AH24" s="26" t="s">
        <v>363</v>
      </c>
      <c r="AI24" s="26" t="s">
        <v>363</v>
      </c>
      <c r="AJ24" s="26" t="s">
        <v>363</v>
      </c>
      <c r="AK24" s="26">
        <v>6.0646900269541781</v>
      </c>
      <c r="AL24" s="26">
        <v>21.75191064079953</v>
      </c>
      <c r="AM24" s="26" t="s">
        <v>363</v>
      </c>
      <c r="AN24" s="26" t="s">
        <v>363</v>
      </c>
      <c r="AO24" s="26" t="s">
        <v>363</v>
      </c>
      <c r="AP24" s="26" t="s">
        <v>363</v>
      </c>
      <c r="AQ24" s="26" t="s">
        <v>363</v>
      </c>
      <c r="AR24" s="26" t="s">
        <v>363</v>
      </c>
      <c r="AS24" s="26" t="s">
        <v>363</v>
      </c>
      <c r="AT24" s="26" t="s">
        <v>363</v>
      </c>
      <c r="AU24" s="26" t="s">
        <v>363</v>
      </c>
      <c r="AV24" s="26">
        <v>26.665153750141837</v>
      </c>
      <c r="AW24" s="26" t="s">
        <v>363</v>
      </c>
      <c r="AX24" s="26" t="s">
        <v>363</v>
      </c>
      <c r="AY24" s="26" t="s">
        <v>363</v>
      </c>
      <c r="AZ24" s="26" t="s">
        <v>363</v>
      </c>
      <c r="BA24" s="26" t="s">
        <v>363</v>
      </c>
      <c r="BB24" s="26" t="s">
        <v>363</v>
      </c>
      <c r="BC24" s="26" t="s">
        <v>363</v>
      </c>
      <c r="BD24" s="26" t="s">
        <v>363</v>
      </c>
      <c r="BE24" s="26" t="s">
        <v>363</v>
      </c>
      <c r="BF24" s="26" t="s">
        <v>363</v>
      </c>
      <c r="BG24" s="26" t="s">
        <v>363</v>
      </c>
      <c r="BH24" s="26" t="s">
        <v>363</v>
      </c>
      <c r="BI24" s="26" t="s">
        <v>363</v>
      </c>
      <c r="BJ24" s="26" t="s">
        <v>363</v>
      </c>
      <c r="BK24" s="26" t="s">
        <v>363</v>
      </c>
      <c r="BL24" s="26" t="s">
        <v>363</v>
      </c>
      <c r="BM24" s="26">
        <v>106.85579196217495</v>
      </c>
      <c r="BN24" s="26" t="s">
        <v>363</v>
      </c>
      <c r="BO24" s="26" t="s">
        <v>363</v>
      </c>
      <c r="BP24" s="26">
        <v>3.9661016949152543</v>
      </c>
      <c r="BQ24" s="26" t="s">
        <v>363</v>
      </c>
      <c r="BR24" s="26" t="s">
        <v>363</v>
      </c>
      <c r="BS24" s="26" t="s">
        <v>363</v>
      </c>
      <c r="BT24" s="26" t="s">
        <v>363</v>
      </c>
      <c r="BU24" s="26" t="s">
        <v>363</v>
      </c>
      <c r="BV24" s="26" t="s">
        <v>363</v>
      </c>
      <c r="BW24" s="26" t="s">
        <v>363</v>
      </c>
      <c r="BX24" s="26" t="s">
        <v>363</v>
      </c>
      <c r="BY24" s="26" t="s">
        <v>363</v>
      </c>
      <c r="BZ24" s="26" t="s">
        <v>363</v>
      </c>
      <c r="CA24" s="26" t="s">
        <v>363</v>
      </c>
      <c r="CB24" s="26" t="s">
        <v>363</v>
      </c>
      <c r="CC24" s="26" t="s">
        <v>363</v>
      </c>
      <c r="CD24" s="26" t="s">
        <v>363</v>
      </c>
      <c r="CE24" s="26"/>
      <c r="CF24" s="26" t="s">
        <v>363</v>
      </c>
      <c r="CG24" s="26" t="s">
        <v>363</v>
      </c>
      <c r="CH24" s="26" t="s">
        <v>363</v>
      </c>
      <c r="CI24" s="26" t="s">
        <v>363</v>
      </c>
      <c r="CJ24" s="26" t="s">
        <v>363</v>
      </c>
      <c r="CK24" s="26" t="s">
        <v>363</v>
      </c>
      <c r="CL24" s="26" t="s">
        <v>363</v>
      </c>
      <c r="CM24" s="26" t="s">
        <v>363</v>
      </c>
      <c r="CN24" s="26" t="s">
        <v>363</v>
      </c>
      <c r="CO24" s="26" t="s">
        <v>363</v>
      </c>
      <c r="CP24" s="26" t="s">
        <v>363</v>
      </c>
      <c r="CQ24" s="26" t="s">
        <v>363</v>
      </c>
      <c r="CR24" s="26" t="s">
        <v>363</v>
      </c>
      <c r="CS24" s="26" t="s">
        <v>363</v>
      </c>
      <c r="CT24" s="26" t="s">
        <v>363</v>
      </c>
      <c r="CU24" s="26" t="s">
        <v>363</v>
      </c>
      <c r="CV24" s="26" t="s">
        <v>363</v>
      </c>
      <c r="CW24" s="26"/>
      <c r="CX24" s="26" t="s">
        <v>363</v>
      </c>
      <c r="CY24" s="26" t="s">
        <v>363</v>
      </c>
      <c r="CZ24" s="26" t="s">
        <v>363</v>
      </c>
      <c r="DA24" s="26" t="s">
        <v>363</v>
      </c>
      <c r="DB24" s="26" t="s">
        <v>363</v>
      </c>
      <c r="DC24" s="26" t="s">
        <v>363</v>
      </c>
      <c r="DD24" s="26" t="s">
        <v>363</v>
      </c>
      <c r="DE24" s="26" t="s">
        <v>363</v>
      </c>
      <c r="DF24" s="26" t="s">
        <v>363</v>
      </c>
      <c r="DG24" s="26" t="s">
        <v>363</v>
      </c>
      <c r="DH24" s="26" t="s">
        <v>363</v>
      </c>
      <c r="DI24" s="26" t="s">
        <v>363</v>
      </c>
      <c r="DJ24" s="26" t="s">
        <v>363</v>
      </c>
      <c r="DK24" s="26" t="s">
        <v>363</v>
      </c>
      <c r="DL24" s="26" t="s">
        <v>363</v>
      </c>
      <c r="DM24" s="26" t="s">
        <v>363</v>
      </c>
      <c r="DN24" s="26" t="s">
        <v>363</v>
      </c>
      <c r="DO24" s="26" t="s">
        <v>363</v>
      </c>
      <c r="DP24" s="26" t="s">
        <v>363</v>
      </c>
      <c r="DQ24" s="26" t="s">
        <v>363</v>
      </c>
      <c r="DR24" s="26"/>
      <c r="DS24" s="26" t="s">
        <v>363</v>
      </c>
      <c r="DT24" s="26" t="s">
        <v>363</v>
      </c>
      <c r="DU24" s="26" t="s">
        <v>363</v>
      </c>
      <c r="DV24" s="26"/>
      <c r="DW24" s="26">
        <v>11.225260080818503</v>
      </c>
      <c r="DX24" s="26"/>
      <c r="DY24" s="26"/>
      <c r="DZ24" s="26"/>
      <c r="EA24" s="26"/>
      <c r="EB24" s="26"/>
      <c r="EC24" s="26"/>
      <c r="ED24" s="26"/>
      <c r="EE24" s="26"/>
      <c r="EF24" s="26"/>
      <c r="EG24" s="26"/>
      <c r="EH24" s="26"/>
      <c r="EI24" s="26"/>
      <c r="EJ24" s="26"/>
      <c r="EK24" s="26"/>
      <c r="EL24" s="26" t="s">
        <v>363</v>
      </c>
      <c r="EM24" s="26" t="s">
        <v>363</v>
      </c>
      <c r="EN24" s="26" t="s">
        <v>363</v>
      </c>
      <c r="EO24" s="26" t="s">
        <v>363</v>
      </c>
      <c r="EP24" s="26" t="s">
        <v>363</v>
      </c>
      <c r="EQ24" s="26" t="s">
        <v>363</v>
      </c>
      <c r="ER24" s="26" t="s">
        <v>363</v>
      </c>
      <c r="ES24" s="26" t="s">
        <v>363</v>
      </c>
      <c r="ET24" s="26" t="s">
        <v>363</v>
      </c>
      <c r="EU24" s="26" t="s">
        <v>363</v>
      </c>
      <c r="EV24" s="26" t="s">
        <v>363</v>
      </c>
      <c r="EW24" s="26" t="s">
        <v>363</v>
      </c>
      <c r="EX24" s="26" t="s">
        <v>363</v>
      </c>
      <c r="EY24" s="26" t="s">
        <v>363</v>
      </c>
      <c r="EZ24" s="26" t="s">
        <v>363</v>
      </c>
      <c r="FA24" s="26" t="s">
        <v>363</v>
      </c>
      <c r="FB24" s="26" t="s">
        <v>363</v>
      </c>
      <c r="FC24" s="26" t="s">
        <v>363</v>
      </c>
      <c r="FD24" s="26" t="s">
        <v>363</v>
      </c>
      <c r="FE24" s="26" t="s">
        <v>363</v>
      </c>
      <c r="FF24" s="26" t="s">
        <v>363</v>
      </c>
      <c r="FG24" s="26" t="s">
        <v>363</v>
      </c>
      <c r="FH24" s="26" t="s">
        <v>363</v>
      </c>
      <c r="FI24" s="26" t="s">
        <v>363</v>
      </c>
      <c r="FJ24" s="26" t="s">
        <v>363</v>
      </c>
      <c r="FK24" s="26" t="s">
        <v>363</v>
      </c>
      <c r="FL24" s="26" t="s">
        <v>363</v>
      </c>
      <c r="FM24" s="26" t="s">
        <v>363</v>
      </c>
      <c r="FN24" s="26" t="s">
        <v>363</v>
      </c>
      <c r="FO24" s="26" t="s">
        <v>363</v>
      </c>
      <c r="FP24" s="26" t="s">
        <v>363</v>
      </c>
      <c r="FQ24" s="26" t="s">
        <v>363</v>
      </c>
      <c r="FR24" s="26" t="s">
        <v>363</v>
      </c>
      <c r="FS24" s="26"/>
      <c r="FT24" s="26"/>
      <c r="FU24" s="26"/>
      <c r="FV24" s="26"/>
      <c r="FW24" s="26"/>
      <c r="FX24" s="26"/>
      <c r="FY24" s="26"/>
      <c r="FZ24" s="26"/>
      <c r="GA24" s="26"/>
      <c r="GB24" s="26"/>
      <c r="GC24" s="26"/>
      <c r="GD24" s="26"/>
      <c r="GE24" s="26"/>
      <c r="GF24" s="26"/>
      <c r="GG24" s="26"/>
      <c r="GH24" s="26"/>
      <c r="GI24" s="26"/>
      <c r="GJ24" s="26"/>
      <c r="GK24" s="26"/>
      <c r="GL24" s="26"/>
      <c r="GM24" s="26"/>
      <c r="GN24" s="26"/>
      <c r="GO24" s="26"/>
      <c r="GP24" s="26"/>
      <c r="GQ24" s="26"/>
      <c r="GR24" s="26"/>
      <c r="GS24" s="26"/>
      <c r="GT24" s="26"/>
      <c r="GU24" s="26"/>
      <c r="GV24" s="26"/>
      <c r="GW24" s="26"/>
      <c r="GX24" s="26"/>
      <c r="GY24" s="26"/>
      <c r="GZ24" s="26"/>
      <c r="HA24" s="26"/>
      <c r="HB24" s="26"/>
      <c r="HC24" s="26"/>
      <c r="HD24" s="26"/>
      <c r="HE24" s="26"/>
      <c r="HF24" s="26"/>
    </row>
    <row r="25" spans="1:214" x14ac:dyDescent="0.2">
      <c r="A25" s="25" t="s">
        <v>326</v>
      </c>
      <c r="C25" s="26" t="s">
        <v>363</v>
      </c>
      <c r="D25" s="26" t="s">
        <v>363</v>
      </c>
      <c r="E25" s="26" t="s">
        <v>363</v>
      </c>
      <c r="F25" s="26" t="s">
        <v>363</v>
      </c>
      <c r="G25" s="26" t="s">
        <v>363</v>
      </c>
      <c r="H25" s="26" t="s">
        <v>363</v>
      </c>
      <c r="I25" s="26" t="s">
        <v>363</v>
      </c>
      <c r="J25" s="26" t="s">
        <v>363</v>
      </c>
      <c r="K25" s="26" t="s">
        <v>363</v>
      </c>
      <c r="L25" s="26" t="s">
        <v>363</v>
      </c>
      <c r="M25" s="26" t="s">
        <v>363</v>
      </c>
      <c r="N25" s="26" t="s">
        <v>363</v>
      </c>
      <c r="O25" s="26" t="s">
        <v>363</v>
      </c>
      <c r="P25" s="26">
        <v>12.263295371434541</v>
      </c>
      <c r="Q25" s="26" t="s">
        <v>363</v>
      </c>
      <c r="R25" s="26">
        <v>27.188512518409425</v>
      </c>
      <c r="S25" s="26" t="s">
        <v>363</v>
      </c>
      <c r="T25" s="26" t="s">
        <v>363</v>
      </c>
      <c r="U25" s="26" t="s">
        <v>363</v>
      </c>
      <c r="V25" s="26" t="s">
        <v>363</v>
      </c>
      <c r="W25" s="26" t="s">
        <v>363</v>
      </c>
      <c r="X25" s="26" t="s">
        <v>363</v>
      </c>
      <c r="Y25" s="26" t="s">
        <v>363</v>
      </c>
      <c r="Z25" s="26" t="s">
        <v>363</v>
      </c>
      <c r="AA25" s="26" t="s">
        <v>363</v>
      </c>
      <c r="AB25" s="26" t="s">
        <v>363</v>
      </c>
      <c r="AC25" s="26" t="s">
        <v>363</v>
      </c>
      <c r="AD25" s="26" t="s">
        <v>363</v>
      </c>
      <c r="AE25" s="26" t="s">
        <v>363</v>
      </c>
      <c r="AF25" s="26" t="s">
        <v>363</v>
      </c>
      <c r="AG25" s="26" t="s">
        <v>363</v>
      </c>
      <c r="AH25" s="26" t="s">
        <v>363</v>
      </c>
      <c r="AI25" s="26">
        <v>46.785521339816313</v>
      </c>
      <c r="AJ25" s="26" t="s">
        <v>363</v>
      </c>
      <c r="AK25" s="26">
        <v>6.3145809414466134</v>
      </c>
      <c r="AL25" s="26">
        <v>24.641833810888251</v>
      </c>
      <c r="AM25" s="26" t="s">
        <v>363</v>
      </c>
      <c r="AN25" s="26" t="s">
        <v>363</v>
      </c>
      <c r="AO25" s="26" t="s">
        <v>363</v>
      </c>
      <c r="AP25" s="26" t="s">
        <v>363</v>
      </c>
      <c r="AQ25" s="26" t="s">
        <v>363</v>
      </c>
      <c r="AR25" s="26" t="s">
        <v>363</v>
      </c>
      <c r="AS25" s="26" t="s">
        <v>363</v>
      </c>
      <c r="AT25" s="26" t="s">
        <v>363</v>
      </c>
      <c r="AU25" s="26" t="s">
        <v>363</v>
      </c>
      <c r="AV25" s="26">
        <v>20.158792724815587</v>
      </c>
      <c r="AW25" s="26" t="s">
        <v>363</v>
      </c>
      <c r="AX25" s="26" t="s">
        <v>363</v>
      </c>
      <c r="AY25" s="26" t="s">
        <v>363</v>
      </c>
      <c r="AZ25" s="26" t="s">
        <v>363</v>
      </c>
      <c r="BA25" s="26" t="s">
        <v>363</v>
      </c>
      <c r="BB25" s="26" t="s">
        <v>363</v>
      </c>
      <c r="BC25" s="26" t="s">
        <v>363</v>
      </c>
      <c r="BD25" s="26" t="s">
        <v>363</v>
      </c>
      <c r="BE25" s="26" t="s">
        <v>363</v>
      </c>
      <c r="BF25" s="26" t="s">
        <v>363</v>
      </c>
      <c r="BG25" s="26">
        <v>33.844765342960287</v>
      </c>
      <c r="BH25" s="26" t="s">
        <v>363</v>
      </c>
      <c r="BI25" s="26" t="s">
        <v>363</v>
      </c>
      <c r="BJ25" s="26" t="s">
        <v>363</v>
      </c>
      <c r="BK25" s="26" t="s">
        <v>363</v>
      </c>
      <c r="BL25" s="26">
        <v>370.23121387283237</v>
      </c>
      <c r="BM25" s="26">
        <v>126.05419354838709</v>
      </c>
      <c r="BN25" s="26">
        <v>379.09692307692308</v>
      </c>
      <c r="BO25" s="26" t="s">
        <v>363</v>
      </c>
      <c r="BP25" s="26">
        <v>3.9854014598540144</v>
      </c>
      <c r="BQ25" s="26" t="s">
        <v>363</v>
      </c>
      <c r="BR25" s="26" t="s">
        <v>363</v>
      </c>
      <c r="BS25" s="26" t="s">
        <v>363</v>
      </c>
      <c r="BT25" s="26" t="s">
        <v>363</v>
      </c>
      <c r="BU25" s="26" t="s">
        <v>363</v>
      </c>
      <c r="BV25" s="26" t="s">
        <v>363</v>
      </c>
      <c r="BW25" s="26">
        <v>96.15384615384616</v>
      </c>
      <c r="BX25" s="26" t="s">
        <v>363</v>
      </c>
      <c r="BY25" s="26" t="s">
        <v>363</v>
      </c>
      <c r="BZ25" s="26" t="s">
        <v>363</v>
      </c>
      <c r="CA25" s="26" t="s">
        <v>363</v>
      </c>
      <c r="CB25" s="26" t="s">
        <v>363</v>
      </c>
      <c r="CC25" s="26" t="s">
        <v>363</v>
      </c>
      <c r="CD25" s="26" t="s">
        <v>363</v>
      </c>
      <c r="CE25" s="26">
        <v>1.3602296340647343E-2</v>
      </c>
      <c r="CF25" s="26" t="s">
        <v>363</v>
      </c>
      <c r="CG25" s="26" t="s">
        <v>363</v>
      </c>
      <c r="CH25" s="26" t="s">
        <v>363</v>
      </c>
      <c r="CI25" s="26" t="s">
        <v>363</v>
      </c>
      <c r="CJ25" s="26" t="s">
        <v>363</v>
      </c>
      <c r="CK25" s="26" t="s">
        <v>363</v>
      </c>
      <c r="CL25" s="26" t="s">
        <v>363</v>
      </c>
      <c r="CM25" s="26" t="s">
        <v>363</v>
      </c>
      <c r="CN25" s="26" t="s">
        <v>363</v>
      </c>
      <c r="CO25" s="26" t="s">
        <v>363</v>
      </c>
      <c r="CP25" s="26" t="s">
        <v>363</v>
      </c>
      <c r="CQ25" s="26" t="s">
        <v>363</v>
      </c>
      <c r="CR25" s="26" t="s">
        <v>363</v>
      </c>
      <c r="CS25" s="26">
        <v>409.09090909090907</v>
      </c>
      <c r="CT25" s="26" t="s">
        <v>363</v>
      </c>
      <c r="CU25" s="26" t="s">
        <v>363</v>
      </c>
      <c r="CV25" s="26" t="s">
        <v>363</v>
      </c>
      <c r="CW25" s="26"/>
      <c r="CX25" s="26" t="s">
        <v>363</v>
      </c>
      <c r="CY25" s="26" t="s">
        <v>363</v>
      </c>
      <c r="CZ25" s="26" t="s">
        <v>363</v>
      </c>
      <c r="DA25" s="26" t="s">
        <v>363</v>
      </c>
      <c r="DB25" s="26" t="s">
        <v>363</v>
      </c>
      <c r="DC25" s="26" t="s">
        <v>363</v>
      </c>
      <c r="DD25" s="26" t="s">
        <v>363</v>
      </c>
      <c r="DE25" s="26" t="s">
        <v>363</v>
      </c>
      <c r="DF25" s="26" t="s">
        <v>363</v>
      </c>
      <c r="DG25" s="26" t="s">
        <v>363</v>
      </c>
      <c r="DH25" s="26" t="s">
        <v>363</v>
      </c>
      <c r="DI25" s="26" t="s">
        <v>363</v>
      </c>
      <c r="DJ25" s="26" t="s">
        <v>363</v>
      </c>
      <c r="DK25" s="26" t="s">
        <v>363</v>
      </c>
      <c r="DL25" s="26" t="s">
        <v>363</v>
      </c>
      <c r="DM25" s="26" t="s">
        <v>363</v>
      </c>
      <c r="DN25" s="26" t="s">
        <v>363</v>
      </c>
      <c r="DO25" s="26" t="s">
        <v>363</v>
      </c>
      <c r="DP25" s="26" t="s">
        <v>363</v>
      </c>
      <c r="DQ25" s="26" t="s">
        <v>363</v>
      </c>
      <c r="DR25" s="26">
        <v>0.95916862423122828</v>
      </c>
      <c r="DS25" s="26" t="s">
        <v>363</v>
      </c>
      <c r="DT25" s="26" t="s">
        <v>363</v>
      </c>
      <c r="DU25" s="26" t="s">
        <v>363</v>
      </c>
      <c r="DV25" s="26">
        <v>86.645714285714291</v>
      </c>
      <c r="DW25" s="26">
        <v>15.355512067840834</v>
      </c>
      <c r="DX25" s="26">
        <v>136.00222222222223</v>
      </c>
      <c r="DY25" s="26" t="s">
        <v>363</v>
      </c>
      <c r="DZ25" s="26">
        <v>3.263187483937291E-2</v>
      </c>
      <c r="EA25" s="26">
        <v>4.25888587017536E-2</v>
      </c>
      <c r="EB25" s="26" t="s">
        <v>363</v>
      </c>
      <c r="EC25" s="26">
        <v>8.6733010571751062E-3</v>
      </c>
      <c r="ED25" s="26">
        <v>9.5374540156036719E-3</v>
      </c>
      <c r="EE25" s="26">
        <v>1.0457220307968943E-2</v>
      </c>
      <c r="EF25" s="26">
        <v>1.230112209437219E-2</v>
      </c>
      <c r="EG25" s="26" t="s">
        <v>363</v>
      </c>
      <c r="EH25" s="26" t="s">
        <v>363</v>
      </c>
      <c r="EI25" s="26">
        <v>8.3994206908477795E-2</v>
      </c>
      <c r="EJ25" s="26">
        <v>5.1992012206067133E-2</v>
      </c>
      <c r="EK25" s="26">
        <v>0.31920408163265307</v>
      </c>
      <c r="EL25" s="26">
        <v>484.50704225352115</v>
      </c>
      <c r="EM25" s="26">
        <v>519.48051948051943</v>
      </c>
      <c r="EN25" s="26" t="s">
        <v>363</v>
      </c>
      <c r="EO25" s="26" t="s">
        <v>363</v>
      </c>
      <c r="EP25" s="26">
        <v>1458.7301587301588</v>
      </c>
      <c r="EQ25" s="26" t="s">
        <v>363</v>
      </c>
      <c r="ER25" s="26" t="s">
        <v>363</v>
      </c>
      <c r="ES25" s="26" t="s">
        <v>363</v>
      </c>
      <c r="ET25" s="26" t="s">
        <v>363</v>
      </c>
      <c r="EU25" s="26" t="s">
        <v>363</v>
      </c>
      <c r="EV25" s="26" t="s">
        <v>363</v>
      </c>
      <c r="EW25" s="26" t="s">
        <v>363</v>
      </c>
      <c r="EX25" s="26" t="s">
        <v>363</v>
      </c>
      <c r="EY25" s="26" t="s">
        <v>363</v>
      </c>
      <c r="EZ25" s="26" t="s">
        <v>363</v>
      </c>
      <c r="FA25" s="26" t="s">
        <v>363</v>
      </c>
      <c r="FB25" s="26" t="s">
        <v>363</v>
      </c>
      <c r="FC25" s="26" t="s">
        <v>363</v>
      </c>
      <c r="FD25" s="26" t="s">
        <v>363</v>
      </c>
      <c r="FE25" s="26">
        <v>38.605512134923899</v>
      </c>
      <c r="FF25" s="26" t="s">
        <v>363</v>
      </c>
      <c r="FG25" s="26">
        <v>71.672354948805463</v>
      </c>
      <c r="FH25" s="26" t="s">
        <v>363</v>
      </c>
      <c r="FI25" s="26">
        <v>17.669468298921981</v>
      </c>
      <c r="FJ25" s="26" t="s">
        <v>363</v>
      </c>
      <c r="FK25" s="26" t="s">
        <v>363</v>
      </c>
      <c r="FL25" s="26" t="s">
        <v>363</v>
      </c>
      <c r="FM25" s="26" t="s">
        <v>363</v>
      </c>
      <c r="FN25" s="26" t="s">
        <v>363</v>
      </c>
      <c r="FO25" s="26" t="s">
        <v>363</v>
      </c>
      <c r="FP25" s="26" t="s">
        <v>363</v>
      </c>
      <c r="FQ25" s="26" t="s">
        <v>363</v>
      </c>
      <c r="FR25" s="26" t="s">
        <v>363</v>
      </c>
      <c r="FS25" s="26"/>
      <c r="FT25" s="26"/>
      <c r="FU25" s="26"/>
      <c r="FV25" s="26"/>
      <c r="FW25" s="26"/>
      <c r="FX25" s="26"/>
      <c r="FY25" s="26"/>
      <c r="FZ25" s="26"/>
      <c r="GA25" s="26"/>
      <c r="GB25" s="26"/>
      <c r="GC25" s="26"/>
      <c r="GD25" s="26"/>
      <c r="GE25" s="26"/>
      <c r="GF25" s="26"/>
      <c r="GG25" s="26"/>
      <c r="GH25" s="26"/>
      <c r="GI25" s="26"/>
      <c r="GJ25" s="26"/>
      <c r="GK25" s="26"/>
      <c r="GL25" s="26"/>
      <c r="GM25" s="26"/>
      <c r="GN25" s="26"/>
      <c r="GO25" s="26"/>
      <c r="GP25" s="26"/>
      <c r="GQ25" s="26"/>
      <c r="GR25" s="26"/>
      <c r="GS25" s="26"/>
      <c r="GT25" s="26"/>
      <c r="GU25" s="26"/>
      <c r="GV25" s="26"/>
      <c r="GW25" s="26"/>
      <c r="GX25" s="26"/>
      <c r="GY25" s="26"/>
      <c r="GZ25" s="26"/>
      <c r="HA25" s="26"/>
      <c r="HB25" s="26"/>
      <c r="HC25" s="26"/>
      <c r="HD25" s="26"/>
      <c r="HE25" s="26"/>
      <c r="HF25" s="26"/>
    </row>
    <row r="26" spans="1:214" x14ac:dyDescent="0.2">
      <c r="A26" s="25" t="s">
        <v>376</v>
      </c>
      <c r="C26" s="26" t="s">
        <v>363</v>
      </c>
      <c r="D26" s="26" t="s">
        <v>363</v>
      </c>
      <c r="E26" s="26" t="s">
        <v>363</v>
      </c>
      <c r="F26" s="26" t="s">
        <v>363</v>
      </c>
      <c r="G26" s="26" t="s">
        <v>363</v>
      </c>
      <c r="H26" s="26" t="s">
        <v>363</v>
      </c>
      <c r="I26" s="26" t="s">
        <v>363</v>
      </c>
      <c r="J26" s="26" t="s">
        <v>363</v>
      </c>
      <c r="K26" s="26" t="s">
        <v>363</v>
      </c>
      <c r="L26" s="26" t="s">
        <v>363</v>
      </c>
      <c r="M26" s="26" t="s">
        <v>363</v>
      </c>
      <c r="N26" s="26" t="s">
        <v>363</v>
      </c>
      <c r="O26" s="26" t="s">
        <v>363</v>
      </c>
      <c r="P26" s="26" t="s">
        <v>363</v>
      </c>
      <c r="Q26" s="26" t="s">
        <v>363</v>
      </c>
      <c r="R26" s="26">
        <v>28.533505154639176</v>
      </c>
      <c r="S26" s="26" t="s">
        <v>363</v>
      </c>
      <c r="T26" s="26" t="s">
        <v>363</v>
      </c>
      <c r="U26" s="26" t="s">
        <v>363</v>
      </c>
      <c r="V26" s="26" t="s">
        <v>363</v>
      </c>
      <c r="W26" s="26" t="s">
        <v>363</v>
      </c>
      <c r="X26" s="26" t="s">
        <v>363</v>
      </c>
      <c r="Y26" s="26" t="s">
        <v>363</v>
      </c>
      <c r="Z26" s="26" t="s">
        <v>363</v>
      </c>
      <c r="AA26" s="26" t="s">
        <v>363</v>
      </c>
      <c r="AB26" s="26" t="s">
        <v>363</v>
      </c>
      <c r="AC26" s="26" t="s">
        <v>363</v>
      </c>
      <c r="AD26" s="26" t="s">
        <v>363</v>
      </c>
      <c r="AE26" s="26" t="s">
        <v>363</v>
      </c>
      <c r="AF26" s="26" t="s">
        <v>363</v>
      </c>
      <c r="AG26" s="26" t="s">
        <v>363</v>
      </c>
      <c r="AH26" s="26" t="s">
        <v>363</v>
      </c>
      <c r="AI26" s="26" t="s">
        <v>363</v>
      </c>
      <c r="AJ26" s="26" t="s">
        <v>363</v>
      </c>
      <c r="AK26" s="26">
        <v>5.0287356321839081</v>
      </c>
      <c r="AL26" s="26">
        <v>31.174089068825911</v>
      </c>
      <c r="AM26" s="26">
        <v>15.218625780806359</v>
      </c>
      <c r="AN26" s="26">
        <v>5.7925223802001051</v>
      </c>
      <c r="AO26" s="26" t="s">
        <v>363</v>
      </c>
      <c r="AP26" s="26" t="s">
        <v>363</v>
      </c>
      <c r="AQ26" s="26" t="s">
        <v>363</v>
      </c>
      <c r="AR26" s="26" t="s">
        <v>363</v>
      </c>
      <c r="AS26" s="26" t="s">
        <v>363</v>
      </c>
      <c r="AT26" s="26" t="s">
        <v>363</v>
      </c>
      <c r="AU26" s="26" t="s">
        <v>363</v>
      </c>
      <c r="AV26" s="26">
        <v>14.964783171725466</v>
      </c>
      <c r="AW26" s="26" t="s">
        <v>363</v>
      </c>
      <c r="AX26" s="26">
        <v>8.7176602924634423</v>
      </c>
      <c r="AY26" s="26" t="s">
        <v>363</v>
      </c>
      <c r="AZ26" s="26" t="s">
        <v>363</v>
      </c>
      <c r="BA26" s="26" t="s">
        <v>363</v>
      </c>
      <c r="BB26" s="26">
        <v>103.092783505155</v>
      </c>
      <c r="BC26" s="26" t="s">
        <v>363</v>
      </c>
      <c r="BD26" s="26" t="s">
        <v>363</v>
      </c>
      <c r="BE26" s="26" t="s">
        <v>363</v>
      </c>
      <c r="BF26" s="26" t="s">
        <v>363</v>
      </c>
      <c r="BG26" s="26" t="s">
        <v>363</v>
      </c>
      <c r="BH26" s="26" t="s">
        <v>363</v>
      </c>
      <c r="BI26" s="26" t="s">
        <v>363</v>
      </c>
      <c r="BJ26" s="26" t="s">
        <v>363</v>
      </c>
      <c r="BK26" s="26" t="s">
        <v>363</v>
      </c>
      <c r="BL26" s="26" t="s">
        <v>363</v>
      </c>
      <c r="BM26" s="26">
        <v>120</v>
      </c>
      <c r="BN26" s="26">
        <v>359.696261682243</v>
      </c>
      <c r="BO26" s="26" t="s">
        <v>363</v>
      </c>
      <c r="BP26" s="26" t="s">
        <v>363</v>
      </c>
      <c r="BQ26" s="26" t="s">
        <v>363</v>
      </c>
      <c r="BR26" s="26" t="s">
        <v>363</v>
      </c>
      <c r="BS26" s="26" t="s">
        <v>363</v>
      </c>
      <c r="BT26" s="26" t="s">
        <v>363</v>
      </c>
      <c r="BU26" s="26" t="s">
        <v>363</v>
      </c>
      <c r="BV26" s="26" t="s">
        <v>363</v>
      </c>
      <c r="BW26" s="26">
        <v>283.33333333333331</v>
      </c>
      <c r="BX26" s="26" t="s">
        <v>363</v>
      </c>
      <c r="BY26" s="26" t="s">
        <v>363</v>
      </c>
      <c r="BZ26" s="26" t="s">
        <v>363</v>
      </c>
      <c r="CA26" s="26" t="s">
        <v>363</v>
      </c>
      <c r="CB26" s="26" t="s">
        <v>363</v>
      </c>
      <c r="CC26" s="26" t="s">
        <v>363</v>
      </c>
      <c r="CD26" s="26" t="s">
        <v>363</v>
      </c>
      <c r="CE26" s="26">
        <v>1.2136195953532066E-2</v>
      </c>
      <c r="CF26" s="26" t="s">
        <v>363</v>
      </c>
      <c r="CG26" s="26" t="s">
        <v>363</v>
      </c>
      <c r="CH26" s="26" t="s">
        <v>363</v>
      </c>
      <c r="CI26" s="26" t="s">
        <v>363</v>
      </c>
      <c r="CJ26" s="26" t="s">
        <v>363</v>
      </c>
      <c r="CK26" s="26" t="s">
        <v>363</v>
      </c>
      <c r="CL26" s="26">
        <v>356.16438356164383</v>
      </c>
      <c r="CM26" s="26" t="s">
        <v>363</v>
      </c>
      <c r="CN26" s="26" t="s">
        <v>363</v>
      </c>
      <c r="CO26" s="26" t="s">
        <v>363</v>
      </c>
      <c r="CP26" s="26" t="s">
        <v>363</v>
      </c>
      <c r="CQ26" s="26" t="s">
        <v>363</v>
      </c>
      <c r="CR26" s="26" t="s">
        <v>363</v>
      </c>
      <c r="CS26" s="26">
        <v>320.3501094091904</v>
      </c>
      <c r="CT26" s="26" t="s">
        <v>363</v>
      </c>
      <c r="CU26" s="26" t="s">
        <v>363</v>
      </c>
      <c r="CV26" s="26">
        <v>349.12718204488777</v>
      </c>
      <c r="CW26" s="26"/>
      <c r="CX26" s="26">
        <v>3.5416022270337147E-2</v>
      </c>
      <c r="CY26" s="26" t="s">
        <v>363</v>
      </c>
      <c r="CZ26" s="26" t="s">
        <v>363</v>
      </c>
      <c r="DA26" s="26" t="s">
        <v>363</v>
      </c>
      <c r="DB26" s="26" t="s">
        <v>363</v>
      </c>
      <c r="DC26" s="26" t="s">
        <v>363</v>
      </c>
      <c r="DD26" s="26" t="s">
        <v>363</v>
      </c>
      <c r="DE26" s="26" t="s">
        <v>363</v>
      </c>
      <c r="DF26" s="26" t="s">
        <v>363</v>
      </c>
      <c r="DG26" s="26" t="s">
        <v>363</v>
      </c>
      <c r="DH26" s="26" t="s">
        <v>363</v>
      </c>
      <c r="DI26" s="26" t="s">
        <v>363</v>
      </c>
      <c r="DJ26" s="26" t="s">
        <v>363</v>
      </c>
      <c r="DK26" s="26" t="s">
        <v>363</v>
      </c>
      <c r="DL26" s="26" t="s">
        <v>363</v>
      </c>
      <c r="DM26" s="26" t="s">
        <v>363</v>
      </c>
      <c r="DN26" s="26" t="s">
        <v>363</v>
      </c>
      <c r="DO26" s="26" t="s">
        <v>363</v>
      </c>
      <c r="DP26" s="26" t="s">
        <v>363</v>
      </c>
      <c r="DQ26" s="26" t="s">
        <v>363</v>
      </c>
      <c r="DR26" s="26">
        <v>0.8098108708719195</v>
      </c>
      <c r="DS26" s="26" t="s">
        <v>363</v>
      </c>
      <c r="DT26" s="26" t="s">
        <v>363</v>
      </c>
      <c r="DU26" s="26" t="s">
        <v>363</v>
      </c>
      <c r="DV26" s="26">
        <v>86.089086859688194</v>
      </c>
      <c r="DW26" s="26">
        <v>15.760343481654957</v>
      </c>
      <c r="DX26" s="26">
        <v>121.89972899728997</v>
      </c>
      <c r="DY26" s="26" t="s">
        <v>363</v>
      </c>
      <c r="DZ26" s="26">
        <v>3.3676557377049179E-2</v>
      </c>
      <c r="EA26" s="26">
        <v>4.39293696122601E-2</v>
      </c>
      <c r="EB26" s="26" t="s">
        <v>363</v>
      </c>
      <c r="EC26" s="26">
        <v>8.8668461957420123E-3</v>
      </c>
      <c r="ED26" s="26">
        <v>9.4136586984648243E-3</v>
      </c>
      <c r="EE26" s="26">
        <v>1.0448935909125505E-2</v>
      </c>
      <c r="EF26" s="26">
        <v>1.1873457274884064E-2</v>
      </c>
      <c r="EG26" s="26" t="s">
        <v>363</v>
      </c>
      <c r="EH26" s="26" t="s">
        <v>363</v>
      </c>
      <c r="EI26" s="26">
        <v>8.6231012968346787E-2</v>
      </c>
      <c r="EJ26" s="26">
        <v>5.3804299240115407E-2</v>
      </c>
      <c r="EK26" s="26">
        <v>0.29837982832618026</v>
      </c>
      <c r="EL26" s="26">
        <v>476.8041237113402</v>
      </c>
      <c r="EM26" s="26">
        <v>417.82945736434107</v>
      </c>
      <c r="EN26" s="26">
        <v>72.507552870090635</v>
      </c>
      <c r="EO26" s="26">
        <v>120.20330368487929</v>
      </c>
      <c r="EP26" s="26" t="s">
        <v>363</v>
      </c>
      <c r="EQ26" s="26" t="s">
        <v>363</v>
      </c>
      <c r="ER26" s="26" t="s">
        <v>363</v>
      </c>
      <c r="ES26" s="26" t="s">
        <v>363</v>
      </c>
      <c r="ET26" s="26" t="s">
        <v>363</v>
      </c>
      <c r="EU26" s="26" t="s">
        <v>363</v>
      </c>
      <c r="EV26" s="26" t="s">
        <v>363</v>
      </c>
      <c r="EW26" s="26" t="s">
        <v>363</v>
      </c>
      <c r="EX26" s="26" t="s">
        <v>363</v>
      </c>
      <c r="EY26" s="26" t="s">
        <v>363</v>
      </c>
      <c r="EZ26" s="26" t="s">
        <v>363</v>
      </c>
      <c r="FA26" s="26" t="s">
        <v>363</v>
      </c>
      <c r="FB26" s="26" t="s">
        <v>363</v>
      </c>
      <c r="FC26" s="26" t="s">
        <v>363</v>
      </c>
      <c r="FD26" s="26" t="s">
        <v>363</v>
      </c>
      <c r="FE26" s="26" t="s">
        <v>363</v>
      </c>
      <c r="FF26" s="26" t="s">
        <v>363</v>
      </c>
      <c r="FG26" s="26" t="s">
        <v>363</v>
      </c>
      <c r="FH26" s="26" t="s">
        <v>363</v>
      </c>
      <c r="FI26" s="26" t="s">
        <v>363</v>
      </c>
      <c r="FJ26" s="26" t="s">
        <v>363</v>
      </c>
      <c r="FK26" s="26" t="s">
        <v>363</v>
      </c>
      <c r="FL26" s="26" t="s">
        <v>363</v>
      </c>
      <c r="FM26" s="26" t="s">
        <v>363</v>
      </c>
      <c r="FN26" s="26" t="s">
        <v>363</v>
      </c>
      <c r="FO26" s="26">
        <v>320.18691588785049</v>
      </c>
      <c r="FP26" s="26" t="s">
        <v>363</v>
      </c>
      <c r="FQ26" s="26" t="s">
        <v>363</v>
      </c>
      <c r="FR26" s="26" t="s">
        <v>363</v>
      </c>
      <c r="FS26" s="26"/>
      <c r="FT26" s="26"/>
      <c r="FU26" s="26"/>
      <c r="FV26" s="26"/>
      <c r="FW26" s="26"/>
      <c r="FX26" s="26"/>
      <c r="FY26" s="26"/>
      <c r="FZ26" s="26"/>
      <c r="GA26" s="26"/>
      <c r="GB26" s="26"/>
      <c r="GC26" s="26"/>
      <c r="GD26" s="26"/>
      <c r="GE26" s="26"/>
      <c r="GF26" s="26"/>
      <c r="GG26" s="26"/>
      <c r="GH26" s="26"/>
      <c r="GI26" s="26"/>
      <c r="GJ26" s="26"/>
      <c r="GK26" s="26"/>
      <c r="GL26" s="26"/>
      <c r="GM26" s="26"/>
      <c r="GN26" s="26"/>
      <c r="GO26" s="26"/>
      <c r="GP26" s="26"/>
      <c r="GQ26" s="26"/>
      <c r="GR26" s="26"/>
      <c r="GS26" s="26"/>
      <c r="GT26" s="26"/>
      <c r="GU26" s="26"/>
      <c r="GV26" s="26"/>
      <c r="GW26" s="26"/>
      <c r="GX26" s="26"/>
      <c r="GY26" s="26"/>
      <c r="GZ26" s="26"/>
      <c r="HA26" s="26"/>
      <c r="HB26" s="26"/>
      <c r="HC26" s="26"/>
      <c r="HD26" s="26"/>
      <c r="HE26" s="26"/>
      <c r="HF26" s="26"/>
    </row>
    <row r="27" spans="1:214" x14ac:dyDescent="0.2">
      <c r="A27" s="25" t="s">
        <v>377</v>
      </c>
      <c r="C27" s="26" t="s">
        <v>363</v>
      </c>
      <c r="D27" s="26" t="s">
        <v>363</v>
      </c>
      <c r="E27" s="26" t="s">
        <v>363</v>
      </c>
      <c r="F27" s="26" t="s">
        <v>363</v>
      </c>
      <c r="G27" s="26" t="s">
        <v>363</v>
      </c>
      <c r="H27" s="26" t="s">
        <v>363</v>
      </c>
      <c r="I27" s="26" t="s">
        <v>363</v>
      </c>
      <c r="J27" s="26" t="s">
        <v>363</v>
      </c>
      <c r="K27" s="26" t="s">
        <v>363</v>
      </c>
      <c r="L27" s="26" t="s">
        <v>363</v>
      </c>
      <c r="M27" s="26" t="s">
        <v>363</v>
      </c>
      <c r="N27" s="26" t="s">
        <v>363</v>
      </c>
      <c r="O27" s="26" t="s">
        <v>363</v>
      </c>
      <c r="P27" s="26">
        <v>9.2203443719137184</v>
      </c>
      <c r="Q27" s="26" t="s">
        <v>363</v>
      </c>
      <c r="R27" s="26">
        <v>29.685950413223139</v>
      </c>
      <c r="S27" s="26" t="s">
        <v>363</v>
      </c>
      <c r="T27" s="26" t="s">
        <v>363</v>
      </c>
      <c r="U27" s="26" t="s">
        <v>363</v>
      </c>
      <c r="V27" s="26" t="s">
        <v>363</v>
      </c>
      <c r="W27" s="26" t="s">
        <v>363</v>
      </c>
      <c r="X27" s="26" t="s">
        <v>363</v>
      </c>
      <c r="Y27" s="26" t="s">
        <v>363</v>
      </c>
      <c r="Z27" s="26">
        <v>152.66485998193315</v>
      </c>
      <c r="AA27" s="26" t="s">
        <v>363</v>
      </c>
      <c r="AB27" s="26" t="s">
        <v>363</v>
      </c>
      <c r="AC27" s="26" t="s">
        <v>363</v>
      </c>
      <c r="AD27" s="26" t="s">
        <v>363</v>
      </c>
      <c r="AE27" s="26" t="s">
        <v>363</v>
      </c>
      <c r="AF27" s="26" t="s">
        <v>363</v>
      </c>
      <c r="AG27" s="26" t="s">
        <v>363</v>
      </c>
      <c r="AH27" s="26" t="s">
        <v>363</v>
      </c>
      <c r="AI27" s="26" t="s">
        <v>363</v>
      </c>
      <c r="AJ27" s="26" t="s">
        <v>363</v>
      </c>
      <c r="AK27" s="26" t="s">
        <v>363</v>
      </c>
      <c r="AL27" s="26" t="s">
        <v>363</v>
      </c>
      <c r="AM27" s="26" t="s">
        <v>363</v>
      </c>
      <c r="AN27" s="26" t="s">
        <v>363</v>
      </c>
      <c r="AO27" s="26" t="s">
        <v>363</v>
      </c>
      <c r="AP27" s="26" t="s">
        <v>363</v>
      </c>
      <c r="AQ27" s="26" t="s">
        <v>363</v>
      </c>
      <c r="AR27" s="26" t="s">
        <v>363</v>
      </c>
      <c r="AS27" s="26" t="s">
        <v>363</v>
      </c>
      <c r="AT27" s="26" t="s">
        <v>363</v>
      </c>
      <c r="AU27" s="26" t="s">
        <v>363</v>
      </c>
      <c r="AV27" s="26">
        <v>17.628380597832038</v>
      </c>
      <c r="AW27" s="26" t="s">
        <v>363</v>
      </c>
      <c r="AX27" s="26" t="s">
        <v>363</v>
      </c>
      <c r="AY27" s="26" t="s">
        <v>363</v>
      </c>
      <c r="AZ27" s="26" t="s">
        <v>363</v>
      </c>
      <c r="BA27" s="26" t="s">
        <v>363</v>
      </c>
      <c r="BB27" s="26" t="s">
        <v>363</v>
      </c>
      <c r="BC27" s="26" t="s">
        <v>363</v>
      </c>
      <c r="BD27" s="26" t="s">
        <v>363</v>
      </c>
      <c r="BE27" s="26" t="s">
        <v>363</v>
      </c>
      <c r="BF27" s="26" t="s">
        <v>363</v>
      </c>
      <c r="BG27" s="26" t="s">
        <v>363</v>
      </c>
      <c r="BH27" s="26" t="s">
        <v>363</v>
      </c>
      <c r="BI27" s="26" t="s">
        <v>363</v>
      </c>
      <c r="BJ27" s="26" t="s">
        <v>363</v>
      </c>
      <c r="BK27" s="26" t="s">
        <v>363</v>
      </c>
      <c r="BL27" s="26" t="s">
        <v>363</v>
      </c>
      <c r="BM27" s="26">
        <v>134.1317365269461</v>
      </c>
      <c r="BN27" s="26">
        <v>366.32253470986115</v>
      </c>
      <c r="BO27" s="26">
        <v>53.54330708661417</v>
      </c>
      <c r="BP27" s="26" t="s">
        <v>363</v>
      </c>
      <c r="BQ27" s="26" t="s">
        <v>363</v>
      </c>
      <c r="BR27" s="26" t="s">
        <v>363</v>
      </c>
      <c r="BS27" s="26" t="s">
        <v>363</v>
      </c>
      <c r="BT27" s="26" t="s">
        <v>363</v>
      </c>
      <c r="BU27" s="26" t="s">
        <v>363</v>
      </c>
      <c r="BV27" s="26" t="s">
        <v>363</v>
      </c>
      <c r="BW27" s="26" t="s">
        <v>363</v>
      </c>
      <c r="BX27" s="26" t="s">
        <v>363</v>
      </c>
      <c r="BY27" s="26" t="s">
        <v>363</v>
      </c>
      <c r="BZ27" s="26" t="s">
        <v>363</v>
      </c>
      <c r="CA27" s="26" t="s">
        <v>363</v>
      </c>
      <c r="CB27" s="26" t="s">
        <v>363</v>
      </c>
      <c r="CC27" s="26" t="s">
        <v>363</v>
      </c>
      <c r="CD27" s="26" t="s">
        <v>363</v>
      </c>
      <c r="CE27" s="26">
        <v>1.1666748130407155E-2</v>
      </c>
      <c r="CF27" s="26" t="s">
        <v>363</v>
      </c>
      <c r="CG27" s="26" t="s">
        <v>363</v>
      </c>
      <c r="CH27" s="26" t="s">
        <v>363</v>
      </c>
      <c r="CI27" s="26" t="s">
        <v>363</v>
      </c>
      <c r="CJ27" s="26" t="s">
        <v>363</v>
      </c>
      <c r="CK27" s="26" t="s">
        <v>363</v>
      </c>
      <c r="CL27" s="26" t="s">
        <v>363</v>
      </c>
      <c r="CM27" s="26" t="s">
        <v>363</v>
      </c>
      <c r="CN27" s="26" t="s">
        <v>363</v>
      </c>
      <c r="CO27" s="26" t="s">
        <v>363</v>
      </c>
      <c r="CP27" s="26" t="s">
        <v>363</v>
      </c>
      <c r="CQ27" s="26" t="s">
        <v>363</v>
      </c>
      <c r="CR27" s="26" t="s">
        <v>363</v>
      </c>
      <c r="CS27" s="26" t="s">
        <v>363</v>
      </c>
      <c r="CT27" s="26" t="s">
        <v>363</v>
      </c>
      <c r="CU27" s="26" t="s">
        <v>363</v>
      </c>
      <c r="CV27" s="26" t="s">
        <v>363</v>
      </c>
      <c r="CW27" s="26"/>
      <c r="CX27" s="26">
        <v>3.4267531513890587E-2</v>
      </c>
      <c r="CY27" s="26" t="s">
        <v>363</v>
      </c>
      <c r="CZ27" s="26" t="s">
        <v>363</v>
      </c>
      <c r="DA27" s="26" t="s">
        <v>363</v>
      </c>
      <c r="DB27" s="26" t="s">
        <v>363</v>
      </c>
      <c r="DC27" s="26" t="s">
        <v>363</v>
      </c>
      <c r="DD27" s="26" t="s">
        <v>363</v>
      </c>
      <c r="DE27" s="26" t="s">
        <v>363</v>
      </c>
      <c r="DF27" s="26" t="s">
        <v>363</v>
      </c>
      <c r="DG27" s="26" t="s">
        <v>363</v>
      </c>
      <c r="DH27" s="26" t="s">
        <v>363</v>
      </c>
      <c r="DI27" s="26" t="s">
        <v>363</v>
      </c>
      <c r="DJ27" s="26" t="s">
        <v>363</v>
      </c>
      <c r="DK27" s="26" t="s">
        <v>363</v>
      </c>
      <c r="DL27" s="26" t="s">
        <v>363</v>
      </c>
      <c r="DM27" s="26" t="s">
        <v>363</v>
      </c>
      <c r="DN27" s="26" t="s">
        <v>363</v>
      </c>
      <c r="DO27" s="26" t="s">
        <v>363</v>
      </c>
      <c r="DP27" s="26" t="s">
        <v>363</v>
      </c>
      <c r="DQ27" s="26" t="s">
        <v>363</v>
      </c>
      <c r="DR27" s="26">
        <v>0.71135721017907638</v>
      </c>
      <c r="DS27" s="26" t="s">
        <v>363</v>
      </c>
      <c r="DT27" s="26" t="s">
        <v>363</v>
      </c>
      <c r="DU27" s="26" t="s">
        <v>363</v>
      </c>
      <c r="DV27" s="26">
        <v>70.479274611398964</v>
      </c>
      <c r="DW27" s="26">
        <v>15.238199922410448</v>
      </c>
      <c r="DX27" s="26">
        <v>120.8047493403694</v>
      </c>
      <c r="DY27" s="26" t="s">
        <v>363</v>
      </c>
      <c r="DZ27" s="26">
        <v>3.2079263291328014E-2</v>
      </c>
      <c r="EA27" s="26">
        <v>3.9642697390715013E-2</v>
      </c>
      <c r="EB27" s="26" t="s">
        <v>363</v>
      </c>
      <c r="EC27" s="26">
        <v>8.7052608039358201E-3</v>
      </c>
      <c r="ED27" s="26">
        <v>9.3360518228667536E-3</v>
      </c>
      <c r="EE27" s="26">
        <v>1.007343E-2</v>
      </c>
      <c r="EF27" s="26">
        <v>1.143548145091714E-2</v>
      </c>
      <c r="EG27" s="26" t="s">
        <v>363</v>
      </c>
      <c r="EH27" s="26" t="s">
        <v>363</v>
      </c>
      <c r="EI27" s="26">
        <v>8.6108550309372534E-2</v>
      </c>
      <c r="EJ27" s="26">
        <v>5.3814088021778582E-2</v>
      </c>
      <c r="EK27" s="26">
        <v>0.23430188679245284</v>
      </c>
      <c r="EL27" s="26" t="s">
        <v>363</v>
      </c>
      <c r="EM27" s="26" t="s">
        <v>363</v>
      </c>
      <c r="EN27" s="26">
        <v>77.045505492042139</v>
      </c>
      <c r="EO27" s="26">
        <v>121.81818181818181</v>
      </c>
      <c r="EP27" s="26" t="s">
        <v>363</v>
      </c>
      <c r="EQ27" s="26" t="s">
        <v>363</v>
      </c>
      <c r="ER27" s="26" t="s">
        <v>363</v>
      </c>
      <c r="ES27" s="26" t="s">
        <v>363</v>
      </c>
      <c r="ET27" s="26" t="s">
        <v>363</v>
      </c>
      <c r="EU27" s="26" t="s">
        <v>363</v>
      </c>
      <c r="EV27" s="26" t="s">
        <v>363</v>
      </c>
      <c r="EW27" s="26" t="s">
        <v>363</v>
      </c>
      <c r="EX27" s="26" t="s">
        <v>363</v>
      </c>
      <c r="EY27" s="26" t="s">
        <v>363</v>
      </c>
      <c r="EZ27" s="26" t="s">
        <v>363</v>
      </c>
      <c r="FA27" s="26" t="s">
        <v>363</v>
      </c>
      <c r="FB27" s="26" t="s">
        <v>363</v>
      </c>
      <c r="FC27" s="26" t="s">
        <v>363</v>
      </c>
      <c r="FD27" s="26" t="s">
        <v>363</v>
      </c>
      <c r="FE27" s="26" t="s">
        <v>363</v>
      </c>
      <c r="FF27" s="26" t="s">
        <v>363</v>
      </c>
      <c r="FG27" s="26" t="s">
        <v>363</v>
      </c>
      <c r="FH27" s="26" t="s">
        <v>363</v>
      </c>
      <c r="FI27" s="26">
        <v>15.878744135691086</v>
      </c>
      <c r="FJ27" s="26" t="s">
        <v>363</v>
      </c>
      <c r="FK27" s="26" t="s">
        <v>363</v>
      </c>
      <c r="FL27" s="26" t="s">
        <v>363</v>
      </c>
      <c r="FM27" s="26" t="s">
        <v>363</v>
      </c>
      <c r="FN27" s="26" t="s">
        <v>363</v>
      </c>
      <c r="FO27" s="26">
        <v>333.33333333333331</v>
      </c>
      <c r="FP27" s="26" t="s">
        <v>363</v>
      </c>
      <c r="FQ27" s="26" t="s">
        <v>363</v>
      </c>
      <c r="FR27" s="26" t="s">
        <v>363</v>
      </c>
      <c r="FS27" s="26"/>
      <c r="FT27" s="26"/>
      <c r="FU27" s="26"/>
      <c r="FV27" s="26"/>
      <c r="FW27" s="26"/>
      <c r="FX27" s="26"/>
      <c r="FY27" s="26"/>
      <c r="FZ27" s="26"/>
      <c r="GA27" s="26"/>
      <c r="GB27" s="26"/>
      <c r="GC27" s="26"/>
      <c r="GD27" s="26"/>
      <c r="GE27" s="26"/>
      <c r="GF27" s="26"/>
      <c r="GG27" s="26"/>
      <c r="GH27" s="26"/>
      <c r="GI27" s="26"/>
      <c r="GJ27" s="26"/>
      <c r="GK27" s="26"/>
      <c r="GL27" s="26"/>
      <c r="GM27" s="26"/>
      <c r="GN27" s="26"/>
      <c r="GO27" s="26"/>
      <c r="GP27" s="26"/>
      <c r="GQ27" s="26"/>
      <c r="GR27" s="26"/>
      <c r="GS27" s="26"/>
      <c r="GT27" s="26"/>
      <c r="GU27" s="26"/>
      <c r="GV27" s="26"/>
      <c r="GW27" s="26"/>
      <c r="GX27" s="26"/>
      <c r="GY27" s="26"/>
      <c r="GZ27" s="26"/>
      <c r="HA27" s="26"/>
      <c r="HB27" s="26"/>
      <c r="HC27" s="26"/>
      <c r="HD27" s="26"/>
      <c r="HE27" s="26"/>
      <c r="HF27" s="26"/>
    </row>
    <row r="28" spans="1:214" x14ac:dyDescent="0.2">
      <c r="A28" s="25" t="s">
        <v>378</v>
      </c>
      <c r="C28" s="26" t="s">
        <v>363</v>
      </c>
      <c r="D28" s="26" t="s">
        <v>363</v>
      </c>
      <c r="E28" s="26" t="s">
        <v>363</v>
      </c>
      <c r="F28" s="26" t="s">
        <v>363</v>
      </c>
      <c r="G28" s="26" t="s">
        <v>363</v>
      </c>
      <c r="H28" s="26" t="s">
        <v>363</v>
      </c>
      <c r="I28" s="26" t="s">
        <v>363</v>
      </c>
      <c r="J28" s="26" t="s">
        <v>363</v>
      </c>
      <c r="K28" s="26" t="s">
        <v>363</v>
      </c>
      <c r="L28" s="26" t="s">
        <v>363</v>
      </c>
      <c r="M28" s="26" t="s">
        <v>363</v>
      </c>
      <c r="N28" s="26" t="s">
        <v>363</v>
      </c>
      <c r="O28" s="26" t="s">
        <v>363</v>
      </c>
      <c r="P28" s="26"/>
      <c r="Q28" s="26" t="s">
        <v>363</v>
      </c>
      <c r="R28" s="26">
        <v>24.630012936610608</v>
      </c>
      <c r="S28" s="26" t="s">
        <v>363</v>
      </c>
      <c r="T28" s="26" t="s">
        <v>363</v>
      </c>
      <c r="U28" s="26" t="s">
        <v>363</v>
      </c>
      <c r="V28" s="26" t="s">
        <v>363</v>
      </c>
      <c r="W28" s="26" t="s">
        <v>363</v>
      </c>
      <c r="X28" s="26" t="s">
        <v>363</v>
      </c>
      <c r="Y28" s="26" t="s">
        <v>363</v>
      </c>
      <c r="Z28" s="26" t="s">
        <v>363</v>
      </c>
      <c r="AA28" s="26" t="s">
        <v>363</v>
      </c>
      <c r="AB28" s="26" t="s">
        <v>363</v>
      </c>
      <c r="AC28" s="26" t="s">
        <v>363</v>
      </c>
      <c r="AD28" s="26" t="s">
        <v>363</v>
      </c>
      <c r="AE28" s="26" t="s">
        <v>363</v>
      </c>
      <c r="AF28" s="26" t="s">
        <v>363</v>
      </c>
      <c r="AG28" s="26" t="s">
        <v>363</v>
      </c>
      <c r="AH28" s="26" t="s">
        <v>363</v>
      </c>
      <c r="AI28" s="26" t="s">
        <v>363</v>
      </c>
      <c r="AJ28" s="26" t="s">
        <v>363</v>
      </c>
      <c r="AK28" s="26" t="s">
        <v>363</v>
      </c>
      <c r="AL28" s="26" t="s">
        <v>363</v>
      </c>
      <c r="AM28" s="26" t="s">
        <v>363</v>
      </c>
      <c r="AN28" s="26">
        <v>4.5201668984700971</v>
      </c>
      <c r="AO28" s="26" t="s">
        <v>363</v>
      </c>
      <c r="AP28" s="26" t="s">
        <v>363</v>
      </c>
      <c r="AQ28" s="26" t="s">
        <v>363</v>
      </c>
      <c r="AR28" s="26" t="s">
        <v>363</v>
      </c>
      <c r="AS28" s="26" t="s">
        <v>363</v>
      </c>
      <c r="AT28" s="26" t="s">
        <v>363</v>
      </c>
      <c r="AU28" s="26" t="s">
        <v>363</v>
      </c>
      <c r="AV28" s="26" t="s">
        <v>363</v>
      </c>
      <c r="AW28" s="26" t="s">
        <v>363</v>
      </c>
      <c r="AX28" s="26">
        <v>18.877818563188253</v>
      </c>
      <c r="AY28" s="26" t="s">
        <v>363</v>
      </c>
      <c r="AZ28" s="26" t="s">
        <v>363</v>
      </c>
      <c r="BA28" s="26" t="s">
        <v>363</v>
      </c>
      <c r="BB28" s="26" t="s">
        <v>363</v>
      </c>
      <c r="BC28" s="26" t="s">
        <v>363</v>
      </c>
      <c r="BD28" s="26" t="s">
        <v>363</v>
      </c>
      <c r="BE28" s="26" t="s">
        <v>363</v>
      </c>
      <c r="BF28" s="26" t="s">
        <v>363</v>
      </c>
      <c r="BG28" s="26" t="s">
        <v>363</v>
      </c>
      <c r="BH28" s="26" t="s">
        <v>363</v>
      </c>
      <c r="BI28" s="26" t="s">
        <v>363</v>
      </c>
      <c r="BJ28" s="26" t="s">
        <v>363</v>
      </c>
      <c r="BK28" s="26" t="s">
        <v>363</v>
      </c>
      <c r="BL28" s="26" t="s">
        <v>363</v>
      </c>
      <c r="BM28" s="26" t="s">
        <v>363</v>
      </c>
      <c r="BN28" s="26" t="s">
        <v>363</v>
      </c>
      <c r="BO28" s="26" t="s">
        <v>363</v>
      </c>
      <c r="BP28" s="26" t="s">
        <v>363</v>
      </c>
      <c r="BQ28" s="26" t="s">
        <v>363</v>
      </c>
      <c r="BR28" s="26" t="s">
        <v>363</v>
      </c>
      <c r="BS28" s="26" t="s">
        <v>363</v>
      </c>
      <c r="BT28" s="26" t="s">
        <v>363</v>
      </c>
      <c r="BU28" s="26" t="s">
        <v>363</v>
      </c>
      <c r="BV28" s="26" t="s">
        <v>363</v>
      </c>
      <c r="BW28" s="26" t="s">
        <v>363</v>
      </c>
      <c r="BX28" s="26" t="s">
        <v>363</v>
      </c>
      <c r="BY28" s="26" t="s">
        <v>363</v>
      </c>
      <c r="BZ28" s="26" t="s">
        <v>363</v>
      </c>
      <c r="CA28" s="26" t="s">
        <v>363</v>
      </c>
      <c r="CB28" s="26" t="s">
        <v>363</v>
      </c>
      <c r="CC28" s="26" t="s">
        <v>363</v>
      </c>
      <c r="CD28" s="26" t="s">
        <v>363</v>
      </c>
      <c r="CE28" s="26">
        <v>1.2195121951219513E-2</v>
      </c>
      <c r="CF28" s="26" t="s">
        <v>363</v>
      </c>
      <c r="CG28" s="26" t="s">
        <v>363</v>
      </c>
      <c r="CH28" s="26" t="s">
        <v>363</v>
      </c>
      <c r="CI28" s="26" t="s">
        <v>363</v>
      </c>
      <c r="CJ28" s="26" t="s">
        <v>363</v>
      </c>
      <c r="CK28" s="26" t="s">
        <v>363</v>
      </c>
      <c r="CL28" s="26" t="s">
        <v>363</v>
      </c>
      <c r="CM28" s="26" t="s">
        <v>363</v>
      </c>
      <c r="CN28" s="26" t="s">
        <v>363</v>
      </c>
      <c r="CO28" s="26" t="s">
        <v>363</v>
      </c>
      <c r="CP28" s="26" t="s">
        <v>363</v>
      </c>
      <c r="CQ28" s="26" t="s">
        <v>363</v>
      </c>
      <c r="CR28" s="26" t="s">
        <v>363</v>
      </c>
      <c r="CS28" s="26" t="s">
        <v>363</v>
      </c>
      <c r="CT28" s="26" t="s">
        <v>363</v>
      </c>
      <c r="CU28" s="26" t="s">
        <v>363</v>
      </c>
      <c r="CV28" s="26" t="s">
        <v>363</v>
      </c>
      <c r="CW28" s="26"/>
      <c r="CX28" s="26">
        <v>3.5714285714285712E-2</v>
      </c>
      <c r="CY28" s="26" t="s">
        <v>363</v>
      </c>
      <c r="CZ28" s="26" t="s">
        <v>363</v>
      </c>
      <c r="DA28" s="26" t="s">
        <v>363</v>
      </c>
      <c r="DB28" s="26" t="s">
        <v>363</v>
      </c>
      <c r="DC28" s="26" t="s">
        <v>363</v>
      </c>
      <c r="DD28" s="26" t="s">
        <v>363</v>
      </c>
      <c r="DE28" s="26" t="s">
        <v>363</v>
      </c>
      <c r="DF28" s="26">
        <v>22.844509948415624</v>
      </c>
      <c r="DG28" s="26" t="s">
        <v>363</v>
      </c>
      <c r="DH28" s="26" t="s">
        <v>363</v>
      </c>
      <c r="DI28" s="26" t="s">
        <v>363</v>
      </c>
      <c r="DJ28" s="26" t="s">
        <v>363</v>
      </c>
      <c r="DK28" s="26" t="s">
        <v>363</v>
      </c>
      <c r="DL28" s="26">
        <v>102.83323371189479</v>
      </c>
      <c r="DM28" s="26" t="s">
        <v>363</v>
      </c>
      <c r="DN28" s="26" t="s">
        <v>363</v>
      </c>
      <c r="DO28" s="26" t="s">
        <v>363</v>
      </c>
      <c r="DP28" s="26" t="s">
        <v>363</v>
      </c>
      <c r="DQ28" s="26">
        <v>1.5404314100520666</v>
      </c>
      <c r="DR28" s="26">
        <v>0.66606591959419092</v>
      </c>
      <c r="DS28" s="26" t="s">
        <v>363</v>
      </c>
      <c r="DT28" s="26" t="s">
        <v>363</v>
      </c>
      <c r="DU28" s="26" t="s">
        <v>363</v>
      </c>
      <c r="DV28" s="26">
        <v>70.600522193211489</v>
      </c>
      <c r="DW28" s="26">
        <v>15.014237639140564</v>
      </c>
      <c r="DX28" s="26">
        <v>123.87900355871886</v>
      </c>
      <c r="DY28" s="26" t="s">
        <v>363</v>
      </c>
      <c r="DZ28" s="26">
        <v>3.3749655904675761E-2</v>
      </c>
      <c r="EA28" s="26">
        <v>4.2057930596250924E-2</v>
      </c>
      <c r="EB28" s="26" t="s">
        <v>363</v>
      </c>
      <c r="EC28" s="26">
        <v>8.8527628865979376E-3</v>
      </c>
      <c r="ED28" s="26">
        <v>9.4619014084507038E-3</v>
      </c>
      <c r="EE28" s="26">
        <v>1.1064534883720931E-2</v>
      </c>
      <c r="EF28" s="26">
        <v>1.2360433962264151E-2</v>
      </c>
      <c r="EG28" s="26" t="s">
        <v>363</v>
      </c>
      <c r="EH28" s="26" t="s">
        <v>363</v>
      </c>
      <c r="EI28" s="26">
        <v>8.6182529051877052E-2</v>
      </c>
      <c r="EJ28" s="26">
        <v>1.2918783911807767</v>
      </c>
      <c r="EK28" s="26">
        <v>0.25939410013140285</v>
      </c>
      <c r="EL28" s="26" t="s">
        <v>363</v>
      </c>
      <c r="EM28" s="26" t="s">
        <v>363</v>
      </c>
      <c r="EN28" s="26">
        <v>78.264094955489611</v>
      </c>
      <c r="EO28" s="26">
        <v>140.9691629955947</v>
      </c>
      <c r="EP28" s="26" t="s">
        <v>363</v>
      </c>
      <c r="EQ28" s="26" t="s">
        <v>363</v>
      </c>
      <c r="ER28" s="26" t="s">
        <v>363</v>
      </c>
      <c r="ES28" s="26" t="s">
        <v>363</v>
      </c>
      <c r="ET28" s="26" t="s">
        <v>363</v>
      </c>
      <c r="EU28" s="26" t="s">
        <v>363</v>
      </c>
      <c r="EV28" s="26" t="s">
        <v>363</v>
      </c>
      <c r="EW28" s="26" t="s">
        <v>363</v>
      </c>
      <c r="EX28" s="26" t="s">
        <v>363</v>
      </c>
      <c r="EY28" s="26" t="s">
        <v>363</v>
      </c>
      <c r="EZ28" s="26" t="s">
        <v>363</v>
      </c>
      <c r="FA28" s="26" t="s">
        <v>363</v>
      </c>
      <c r="FB28" s="26" t="s">
        <v>363</v>
      </c>
      <c r="FC28" s="26" t="s">
        <v>363</v>
      </c>
      <c r="FD28" s="26" t="s">
        <v>363</v>
      </c>
      <c r="FE28" s="26" t="s">
        <v>363</v>
      </c>
      <c r="FF28" s="26" t="s">
        <v>363</v>
      </c>
      <c r="FG28" s="26" t="s">
        <v>363</v>
      </c>
      <c r="FH28" s="26" t="s">
        <v>363</v>
      </c>
      <c r="FI28" s="26" t="s">
        <v>363</v>
      </c>
      <c r="FJ28" s="26" t="s">
        <v>363</v>
      </c>
      <c r="FK28" s="26" t="s">
        <v>363</v>
      </c>
      <c r="FL28" s="26" t="s">
        <v>363</v>
      </c>
      <c r="FM28" s="26" t="s">
        <v>363</v>
      </c>
      <c r="FN28" s="26" t="s">
        <v>363</v>
      </c>
      <c r="FO28" s="26" t="s">
        <v>363</v>
      </c>
      <c r="FP28" s="26" t="s">
        <v>363</v>
      </c>
      <c r="FQ28" s="26" t="s">
        <v>363</v>
      </c>
      <c r="FR28" s="26" t="s">
        <v>363</v>
      </c>
      <c r="FS28" s="26"/>
      <c r="FT28" s="26"/>
      <c r="FU28" s="26"/>
      <c r="FV28" s="26"/>
      <c r="FW28" s="26"/>
      <c r="FX28" s="26"/>
      <c r="FY28" s="26"/>
      <c r="FZ28" s="26"/>
      <c r="GA28" s="26"/>
      <c r="GB28" s="26"/>
      <c r="GC28" s="26"/>
      <c r="GD28" s="26"/>
      <c r="GE28" s="26"/>
      <c r="GF28" s="26"/>
      <c r="GG28" s="26"/>
      <c r="GH28" s="26"/>
      <c r="GI28" s="26"/>
      <c r="GJ28" s="26"/>
      <c r="GK28" s="26"/>
      <c r="GL28" s="26"/>
      <c r="GM28" s="26"/>
      <c r="GN28" s="26"/>
      <c r="GO28" s="26"/>
      <c r="GP28" s="26"/>
      <c r="GQ28" s="26"/>
      <c r="GR28" s="26"/>
      <c r="GS28" s="26"/>
      <c r="GT28" s="26"/>
      <c r="GU28" s="26"/>
      <c r="GV28" s="26"/>
      <c r="GW28" s="26"/>
      <c r="GX28" s="26"/>
      <c r="GY28" s="26"/>
      <c r="GZ28" s="26"/>
      <c r="HA28" s="26"/>
      <c r="HB28" s="26"/>
      <c r="HC28" s="26"/>
      <c r="HD28" s="26"/>
      <c r="HE28" s="26"/>
      <c r="HF28" s="26"/>
    </row>
    <row r="29" spans="1:214" x14ac:dyDescent="0.2">
      <c r="A29" s="25" t="s">
        <v>327</v>
      </c>
      <c r="C29" s="26" t="s">
        <v>363</v>
      </c>
      <c r="D29" s="26" t="s">
        <v>363</v>
      </c>
      <c r="E29" s="26" t="s">
        <v>363</v>
      </c>
      <c r="F29" s="26" t="s">
        <v>363</v>
      </c>
      <c r="G29" s="26" t="s">
        <v>363</v>
      </c>
      <c r="H29" s="26" t="s">
        <v>363</v>
      </c>
      <c r="I29" s="26" t="s">
        <v>363</v>
      </c>
      <c r="J29" s="26">
        <v>58.997265268915221</v>
      </c>
      <c r="K29" s="26" t="s">
        <v>363</v>
      </c>
      <c r="L29" s="26" t="s">
        <v>363</v>
      </c>
      <c r="M29" s="26" t="s">
        <v>363</v>
      </c>
      <c r="N29" s="26" t="s">
        <v>363</v>
      </c>
      <c r="O29" s="26" t="s">
        <v>363</v>
      </c>
      <c r="P29" s="26">
        <v>10.668928419971877</v>
      </c>
      <c r="Q29" s="26" t="s">
        <v>363</v>
      </c>
      <c r="R29" s="26">
        <v>20.379619260918254</v>
      </c>
      <c r="S29" s="26" t="s">
        <v>363</v>
      </c>
      <c r="T29" s="26" t="s">
        <v>363</v>
      </c>
      <c r="U29" s="26" t="s">
        <v>363</v>
      </c>
      <c r="V29" s="26" t="s">
        <v>363</v>
      </c>
      <c r="W29" s="26" t="s">
        <v>363</v>
      </c>
      <c r="X29" s="26" t="s">
        <v>363</v>
      </c>
      <c r="Y29" s="26" t="s">
        <v>363</v>
      </c>
      <c r="Z29" s="26">
        <v>123.66412213740458</v>
      </c>
      <c r="AA29" s="26" t="s">
        <v>363</v>
      </c>
      <c r="AB29" s="26" t="s">
        <v>363</v>
      </c>
      <c r="AC29" s="26" t="s">
        <v>363</v>
      </c>
      <c r="AD29" s="26" t="s">
        <v>363</v>
      </c>
      <c r="AE29" s="26" t="s">
        <v>363</v>
      </c>
      <c r="AF29" s="26" t="s">
        <v>363</v>
      </c>
      <c r="AG29" s="26" t="s">
        <v>363</v>
      </c>
      <c r="AH29" s="26" t="s">
        <v>363</v>
      </c>
      <c r="AI29" s="26" t="s">
        <v>363</v>
      </c>
      <c r="AJ29" s="26" t="s">
        <v>363</v>
      </c>
      <c r="AK29" s="26" t="s">
        <v>363</v>
      </c>
      <c r="AL29" s="26" t="s">
        <v>363</v>
      </c>
      <c r="AM29" s="26" t="s">
        <v>363</v>
      </c>
      <c r="AN29" s="26" t="s">
        <v>363</v>
      </c>
      <c r="AO29" s="26" t="s">
        <v>363</v>
      </c>
      <c r="AP29" s="26" t="s">
        <v>363</v>
      </c>
      <c r="AQ29" s="26" t="s">
        <v>363</v>
      </c>
      <c r="AR29" s="26" t="s">
        <v>363</v>
      </c>
      <c r="AS29" s="26" t="s">
        <v>363</v>
      </c>
      <c r="AT29" s="26" t="s">
        <v>363</v>
      </c>
      <c r="AU29" s="26" t="s">
        <v>363</v>
      </c>
      <c r="AV29" s="26">
        <v>15.918173812910656</v>
      </c>
      <c r="AW29" s="26" t="s">
        <v>363</v>
      </c>
      <c r="AX29" s="26">
        <v>8.1279496591504987</v>
      </c>
      <c r="AY29" s="26" t="s">
        <v>363</v>
      </c>
      <c r="AZ29" s="26" t="s">
        <v>363</v>
      </c>
      <c r="BA29" s="26" t="s">
        <v>363</v>
      </c>
      <c r="BB29" s="26" t="s">
        <v>363</v>
      </c>
      <c r="BC29" s="26" t="s">
        <v>363</v>
      </c>
      <c r="BD29" s="26" t="s">
        <v>363</v>
      </c>
      <c r="BE29" s="26" t="s">
        <v>363</v>
      </c>
      <c r="BF29" s="26" t="s">
        <v>363</v>
      </c>
      <c r="BG29" s="26" t="s">
        <v>363</v>
      </c>
      <c r="BH29" s="26" t="s">
        <v>363</v>
      </c>
      <c r="BI29" s="26" t="s">
        <v>363</v>
      </c>
      <c r="BJ29" s="26">
        <v>831.05022831050223</v>
      </c>
      <c r="BK29" s="26" t="s">
        <v>363</v>
      </c>
      <c r="BL29" s="26">
        <v>208.5427135678392</v>
      </c>
      <c r="BM29" s="26">
        <v>139.13043478260869</v>
      </c>
      <c r="BN29" s="26">
        <v>385.63669281834643</v>
      </c>
      <c r="BO29" s="26">
        <v>49.808429118773944</v>
      </c>
      <c r="BP29" s="26" t="s">
        <v>363</v>
      </c>
      <c r="BQ29" s="26" t="s">
        <v>363</v>
      </c>
      <c r="BR29" s="26" t="s">
        <v>363</v>
      </c>
      <c r="BS29" s="26" t="s">
        <v>363</v>
      </c>
      <c r="BT29" s="26" t="s">
        <v>363</v>
      </c>
      <c r="BU29" s="26" t="s">
        <v>363</v>
      </c>
      <c r="BV29" s="26" t="s">
        <v>363</v>
      </c>
      <c r="BW29" s="26" t="s">
        <v>363</v>
      </c>
      <c r="BX29" s="26" t="s">
        <v>363</v>
      </c>
      <c r="BY29" s="26" t="s">
        <v>363</v>
      </c>
      <c r="BZ29" s="26" t="s">
        <v>363</v>
      </c>
      <c r="CA29" s="26" t="s">
        <v>363</v>
      </c>
      <c r="CB29" s="26" t="s">
        <v>363</v>
      </c>
      <c r="CC29" s="26" t="s">
        <v>363</v>
      </c>
      <c r="CD29" s="26" t="s">
        <v>363</v>
      </c>
      <c r="CE29" s="26">
        <v>1.2726485862665898E-2</v>
      </c>
      <c r="CF29" s="26" t="s">
        <v>363</v>
      </c>
      <c r="CG29" s="26" t="s">
        <v>363</v>
      </c>
      <c r="CH29" s="26" t="s">
        <v>363</v>
      </c>
      <c r="CI29" s="26">
        <v>191.53600737667128</v>
      </c>
      <c r="CJ29" s="26" t="s">
        <v>363</v>
      </c>
      <c r="CK29" s="26" t="s">
        <v>363</v>
      </c>
      <c r="CL29" s="26">
        <v>443.62969752520621</v>
      </c>
      <c r="CM29" s="26" t="s">
        <v>363</v>
      </c>
      <c r="CN29" s="26" t="s">
        <v>363</v>
      </c>
      <c r="CO29" s="26" t="s">
        <v>363</v>
      </c>
      <c r="CP29" s="26" t="s">
        <v>363</v>
      </c>
      <c r="CQ29" s="26" t="s">
        <v>363</v>
      </c>
      <c r="CR29" s="26" t="s">
        <v>363</v>
      </c>
      <c r="CS29" s="26">
        <v>349.90439770554491</v>
      </c>
      <c r="CT29" s="26" t="s">
        <v>363</v>
      </c>
      <c r="CU29" s="26" t="s">
        <v>363</v>
      </c>
      <c r="CV29" s="26" t="s">
        <v>363</v>
      </c>
      <c r="CW29" s="26"/>
      <c r="CX29" s="26">
        <v>3.1981973610853004E-2</v>
      </c>
      <c r="CY29" s="26">
        <v>22.403931472254456</v>
      </c>
      <c r="CZ29" s="26" t="s">
        <v>363</v>
      </c>
      <c r="DA29" s="26" t="s">
        <v>363</v>
      </c>
      <c r="DB29" s="26" t="s">
        <v>363</v>
      </c>
      <c r="DC29" s="26" t="s">
        <v>363</v>
      </c>
      <c r="DD29" s="26">
        <v>59.674999999999997</v>
      </c>
      <c r="DE29" s="26" t="s">
        <v>363</v>
      </c>
      <c r="DF29" s="26" t="s">
        <v>363</v>
      </c>
      <c r="DG29" s="26" t="s">
        <v>363</v>
      </c>
      <c r="DH29" s="26" t="s">
        <v>363</v>
      </c>
      <c r="DI29" s="26" t="s">
        <v>363</v>
      </c>
      <c r="DJ29" s="26" t="s">
        <v>363</v>
      </c>
      <c r="DK29" s="26" t="s">
        <v>363</v>
      </c>
      <c r="DL29" s="26">
        <v>32.750574768869541</v>
      </c>
      <c r="DM29" s="26" t="s">
        <v>363</v>
      </c>
      <c r="DN29" s="26" t="s">
        <v>363</v>
      </c>
      <c r="DO29" s="26" t="s">
        <v>363</v>
      </c>
      <c r="DP29" s="26">
        <v>2.9239261340826977E-2</v>
      </c>
      <c r="DQ29" s="26">
        <v>1.7964202074272333</v>
      </c>
      <c r="DR29" s="26">
        <v>0.64343273059057726</v>
      </c>
      <c r="DS29" s="26" t="s">
        <v>363</v>
      </c>
      <c r="DT29" s="26" t="s">
        <v>363</v>
      </c>
      <c r="DU29" s="26" t="s">
        <v>363</v>
      </c>
      <c r="DV29" s="26">
        <v>71.655967450271248</v>
      </c>
      <c r="DW29" s="26">
        <v>12.366066606660667</v>
      </c>
      <c r="DX29" s="26">
        <v>126.16369047619048</v>
      </c>
      <c r="DY29" s="26" t="s">
        <v>363</v>
      </c>
      <c r="DZ29" s="26">
        <v>3.9049064238745573E-2</v>
      </c>
      <c r="EA29" s="26">
        <v>4.8305860805860808E-2</v>
      </c>
      <c r="EB29" s="26" t="s">
        <v>363</v>
      </c>
      <c r="EC29" s="26">
        <v>9.2831858407079644E-3</v>
      </c>
      <c r="ED29" s="26">
        <v>9.2555555555555551E-3</v>
      </c>
      <c r="EE29" s="26">
        <v>1.139090909090909E-2</v>
      </c>
      <c r="EF29" s="26">
        <v>1.2865671641791044E-2</v>
      </c>
      <c r="EG29" s="26" t="s">
        <v>363</v>
      </c>
      <c r="EH29" s="26" t="s">
        <v>363</v>
      </c>
      <c r="EI29" s="26" t="s">
        <v>363</v>
      </c>
      <c r="EJ29" s="26" t="s">
        <v>363</v>
      </c>
      <c r="EK29" s="26">
        <v>0.2770840745207952</v>
      </c>
      <c r="EL29" s="26" t="s">
        <v>363</v>
      </c>
      <c r="EM29" s="26" t="s">
        <v>363</v>
      </c>
      <c r="EN29" s="26" t="s">
        <v>363</v>
      </c>
      <c r="EO29" s="26" t="s">
        <v>363</v>
      </c>
      <c r="EP29" s="26" t="s">
        <v>363</v>
      </c>
      <c r="EQ29" s="26" t="s">
        <v>363</v>
      </c>
      <c r="ER29" s="26" t="s">
        <v>363</v>
      </c>
      <c r="ES29" s="26" t="s">
        <v>363</v>
      </c>
      <c r="ET29" s="26" t="s">
        <v>363</v>
      </c>
      <c r="EU29" s="26" t="s">
        <v>363</v>
      </c>
      <c r="EV29" s="26" t="s">
        <v>363</v>
      </c>
      <c r="EW29" s="26" t="s">
        <v>363</v>
      </c>
      <c r="EX29" s="26" t="s">
        <v>363</v>
      </c>
      <c r="EY29" s="26" t="s">
        <v>363</v>
      </c>
      <c r="EZ29" s="26" t="s">
        <v>363</v>
      </c>
      <c r="FA29" s="26" t="s">
        <v>363</v>
      </c>
      <c r="FB29" s="26" t="s">
        <v>363</v>
      </c>
      <c r="FC29" s="26" t="s">
        <v>363</v>
      </c>
      <c r="FD29" s="26" t="s">
        <v>363</v>
      </c>
      <c r="FE29" s="26" t="s">
        <v>363</v>
      </c>
      <c r="FF29" s="26" t="s">
        <v>363</v>
      </c>
      <c r="FG29" s="26" t="s">
        <v>363</v>
      </c>
      <c r="FH29" s="26">
        <v>43.53233830845771</v>
      </c>
      <c r="FI29" s="26">
        <v>15.256214663914566</v>
      </c>
      <c r="FJ29" s="26" t="s">
        <v>363</v>
      </c>
      <c r="FK29" s="26" t="s">
        <v>363</v>
      </c>
      <c r="FL29" s="26" t="s">
        <v>363</v>
      </c>
      <c r="FM29" s="26">
        <v>121.45321307779031</v>
      </c>
      <c r="FN29" s="26" t="s">
        <v>363</v>
      </c>
      <c r="FO29" s="26" t="s">
        <v>363</v>
      </c>
      <c r="FP29" s="26" t="s">
        <v>363</v>
      </c>
      <c r="FQ29" s="26" t="s">
        <v>363</v>
      </c>
      <c r="FR29" s="26" t="s">
        <v>363</v>
      </c>
      <c r="FS29" s="26"/>
      <c r="FT29" s="26"/>
      <c r="FU29" s="26"/>
      <c r="FV29" s="26"/>
      <c r="FW29" s="26"/>
      <c r="FX29" s="26"/>
      <c r="FY29" s="26"/>
      <c r="FZ29" s="26"/>
      <c r="GA29" s="26"/>
      <c r="GB29" s="26"/>
      <c r="GC29" s="26"/>
      <c r="GD29" s="26"/>
      <c r="GE29" s="26"/>
      <c r="GF29" s="26"/>
      <c r="GG29" s="26"/>
      <c r="GH29" s="26"/>
      <c r="GI29" s="26"/>
      <c r="GJ29" s="26"/>
      <c r="GK29" s="26"/>
      <c r="GL29" s="26"/>
      <c r="GM29" s="26"/>
      <c r="GN29" s="26"/>
      <c r="GO29" s="26"/>
      <c r="GP29" s="26"/>
      <c r="GQ29" s="26"/>
      <c r="GR29" s="26"/>
      <c r="GS29" s="26"/>
      <c r="GT29" s="26"/>
      <c r="GU29" s="26"/>
      <c r="GV29" s="26"/>
      <c r="GW29" s="26"/>
      <c r="GX29" s="26"/>
      <c r="GY29" s="26"/>
      <c r="GZ29" s="26"/>
      <c r="HA29" s="26"/>
      <c r="HB29" s="26"/>
      <c r="HC29" s="26"/>
      <c r="HD29" s="26"/>
      <c r="HE29" s="26"/>
      <c r="HF29" s="26"/>
    </row>
    <row r="30" spans="1:214" x14ac:dyDescent="0.2">
      <c r="A30" s="25" t="s">
        <v>379</v>
      </c>
      <c r="C30" s="26" t="s">
        <v>363</v>
      </c>
      <c r="D30" s="26" t="s">
        <v>363</v>
      </c>
      <c r="E30" s="26" t="s">
        <v>363</v>
      </c>
      <c r="F30" s="26" t="s">
        <v>363</v>
      </c>
      <c r="G30" s="26" t="s">
        <v>363</v>
      </c>
      <c r="H30" s="26" t="s">
        <v>363</v>
      </c>
      <c r="I30" s="26" t="s">
        <v>363</v>
      </c>
      <c r="J30" s="26">
        <v>60.972941853770877</v>
      </c>
      <c r="K30" s="26" t="s">
        <v>363</v>
      </c>
      <c r="L30" s="26" t="s">
        <v>363</v>
      </c>
      <c r="M30" s="26" t="s">
        <v>363</v>
      </c>
      <c r="N30" s="26" t="s">
        <v>363</v>
      </c>
      <c r="O30" s="26" t="s">
        <v>363</v>
      </c>
      <c r="P30" s="26">
        <v>16.397714743910996</v>
      </c>
      <c r="Q30" s="26" t="s">
        <v>363</v>
      </c>
      <c r="R30" s="26">
        <v>18.75062344139651</v>
      </c>
      <c r="S30" s="26" t="s">
        <v>363</v>
      </c>
      <c r="T30" s="26" t="s">
        <v>363</v>
      </c>
      <c r="U30" s="26" t="s">
        <v>363</v>
      </c>
      <c r="V30" s="26" t="s">
        <v>363</v>
      </c>
      <c r="W30" s="26" t="s">
        <v>363</v>
      </c>
      <c r="X30" s="26" t="s">
        <v>363</v>
      </c>
      <c r="Y30" s="26" t="s">
        <v>363</v>
      </c>
      <c r="Z30" s="26" t="s">
        <v>363</v>
      </c>
      <c r="AA30" s="26" t="s">
        <v>363</v>
      </c>
      <c r="AB30" s="26" t="s">
        <v>363</v>
      </c>
      <c r="AC30" s="26" t="s">
        <v>363</v>
      </c>
      <c r="AD30" s="26" t="s">
        <v>363</v>
      </c>
      <c r="AE30" s="26" t="s">
        <v>363</v>
      </c>
      <c r="AF30" s="26" t="s">
        <v>363</v>
      </c>
      <c r="AG30" s="26" t="s">
        <v>363</v>
      </c>
      <c r="AH30" s="26" t="s">
        <v>363</v>
      </c>
      <c r="AI30" s="26" t="s">
        <v>363</v>
      </c>
      <c r="AJ30" s="26" t="s">
        <v>363</v>
      </c>
      <c r="AK30" s="26" t="s">
        <v>363</v>
      </c>
      <c r="AL30" s="26" t="s">
        <v>363</v>
      </c>
      <c r="AM30" s="26" t="s">
        <v>363</v>
      </c>
      <c r="AN30" s="26" t="s">
        <v>363</v>
      </c>
      <c r="AO30" s="26" t="s">
        <v>363</v>
      </c>
      <c r="AP30" s="26" t="s">
        <v>363</v>
      </c>
      <c r="AQ30" s="26" t="s">
        <v>363</v>
      </c>
      <c r="AR30" s="26" t="s">
        <v>363</v>
      </c>
      <c r="AS30" s="26" t="s">
        <v>363</v>
      </c>
      <c r="AT30" s="26" t="s">
        <v>363</v>
      </c>
      <c r="AU30" s="26" t="s">
        <v>363</v>
      </c>
      <c r="AV30" s="26">
        <v>17.623260958146574</v>
      </c>
      <c r="AW30" s="26" t="s">
        <v>363</v>
      </c>
      <c r="AX30" s="26" t="s">
        <v>363</v>
      </c>
      <c r="AY30" s="26" t="s">
        <v>363</v>
      </c>
      <c r="AZ30" s="26" t="s">
        <v>363</v>
      </c>
      <c r="BA30" s="26" t="s">
        <v>363</v>
      </c>
      <c r="BB30" s="26" t="s">
        <v>363</v>
      </c>
      <c r="BC30" s="26" t="s">
        <v>363</v>
      </c>
      <c r="BD30" s="26" t="s">
        <v>363</v>
      </c>
      <c r="BE30" s="26" t="s">
        <v>363</v>
      </c>
      <c r="BF30" s="26" t="s">
        <v>363</v>
      </c>
      <c r="BG30" s="26" t="s">
        <v>363</v>
      </c>
      <c r="BH30" s="26" t="s">
        <v>363</v>
      </c>
      <c r="BI30" s="26" t="s">
        <v>363</v>
      </c>
      <c r="BJ30" s="26">
        <v>405.82959641255604</v>
      </c>
      <c r="BK30" s="26" t="s">
        <v>363</v>
      </c>
      <c r="BL30" s="26">
        <v>279.22971114167814</v>
      </c>
      <c r="BM30" s="26">
        <v>160.73968705547654</v>
      </c>
      <c r="BN30" s="26">
        <v>343.39990258158792</v>
      </c>
      <c r="BO30" s="26" t="s">
        <v>363</v>
      </c>
      <c r="BP30" s="26" t="s">
        <v>363</v>
      </c>
      <c r="BQ30" s="26" t="s">
        <v>363</v>
      </c>
      <c r="BR30" s="26" t="s">
        <v>363</v>
      </c>
      <c r="BS30" s="26" t="s">
        <v>363</v>
      </c>
      <c r="BT30" s="26" t="s">
        <v>363</v>
      </c>
      <c r="BU30" s="26" t="s">
        <v>363</v>
      </c>
      <c r="BV30" s="26" t="s">
        <v>363</v>
      </c>
      <c r="BW30" s="26" t="s">
        <v>363</v>
      </c>
      <c r="BX30" s="26" t="s">
        <v>363</v>
      </c>
      <c r="BY30" s="26" t="s">
        <v>363</v>
      </c>
      <c r="BZ30" s="26" t="s">
        <v>363</v>
      </c>
      <c r="CA30" s="26" t="s">
        <v>363</v>
      </c>
      <c r="CB30" s="26" t="s">
        <v>363</v>
      </c>
      <c r="CC30" s="26" t="s">
        <v>363</v>
      </c>
      <c r="CD30" s="26" t="s">
        <v>363</v>
      </c>
      <c r="CE30" s="26">
        <v>1.4827841108041863E-2</v>
      </c>
      <c r="CF30" s="26" t="s">
        <v>363</v>
      </c>
      <c r="CG30" s="26" t="s">
        <v>363</v>
      </c>
      <c r="CH30" s="26" t="s">
        <v>363</v>
      </c>
      <c r="CI30" s="26">
        <v>184.87971530249109</v>
      </c>
      <c r="CJ30" s="26" t="s">
        <v>363</v>
      </c>
      <c r="CK30" s="26" t="s">
        <v>363</v>
      </c>
      <c r="CL30" s="26">
        <v>332.89386947923532</v>
      </c>
      <c r="CM30" s="26" t="s">
        <v>363</v>
      </c>
      <c r="CN30" s="26" t="s">
        <v>363</v>
      </c>
      <c r="CO30" s="26" t="s">
        <v>363</v>
      </c>
      <c r="CP30" s="26" t="s">
        <v>363</v>
      </c>
      <c r="CQ30" s="26" t="s">
        <v>363</v>
      </c>
      <c r="CR30" s="26" t="s">
        <v>363</v>
      </c>
      <c r="CS30" s="26" t="s">
        <v>363</v>
      </c>
      <c r="CT30" s="26" t="s">
        <v>363</v>
      </c>
      <c r="CU30" s="26" t="s">
        <v>363</v>
      </c>
      <c r="CV30" s="26" t="s">
        <v>363</v>
      </c>
      <c r="CW30" s="26"/>
      <c r="CX30" s="26">
        <v>3.0352529012480842E-2</v>
      </c>
      <c r="CY30" s="26">
        <v>22.131302140007254</v>
      </c>
      <c r="CZ30" s="26" t="s">
        <v>363</v>
      </c>
      <c r="DA30" s="26" t="s">
        <v>363</v>
      </c>
      <c r="DB30" s="26" t="s">
        <v>363</v>
      </c>
      <c r="DC30" s="26" t="s">
        <v>363</v>
      </c>
      <c r="DD30" s="26">
        <v>54.265255731922402</v>
      </c>
      <c r="DE30" s="26" t="s">
        <v>363</v>
      </c>
      <c r="DF30" s="26" t="s">
        <v>363</v>
      </c>
      <c r="DG30" s="26" t="s">
        <v>363</v>
      </c>
      <c r="DH30" s="26" t="s">
        <v>363</v>
      </c>
      <c r="DI30" s="26" t="s">
        <v>363</v>
      </c>
      <c r="DJ30" s="26" t="s">
        <v>363</v>
      </c>
      <c r="DK30" s="26" t="s">
        <v>363</v>
      </c>
      <c r="DL30" s="26">
        <v>33.473735566758826</v>
      </c>
      <c r="DM30" s="26" t="s">
        <v>363</v>
      </c>
      <c r="DN30" s="26" t="s">
        <v>363</v>
      </c>
      <c r="DO30" s="26" t="s">
        <v>363</v>
      </c>
      <c r="DP30" s="26">
        <v>3.1602878639188745E-2</v>
      </c>
      <c r="DQ30" s="26">
        <v>1.7672295755362848</v>
      </c>
      <c r="DR30" s="26">
        <v>0.78516954757617563</v>
      </c>
      <c r="DS30" s="26" t="s">
        <v>363</v>
      </c>
      <c r="DT30" s="26" t="s">
        <v>363</v>
      </c>
      <c r="DU30" s="26" t="s">
        <v>363</v>
      </c>
      <c r="DV30" s="26">
        <v>80.28232758620689</v>
      </c>
      <c r="DW30" s="26">
        <v>11.352950914659383</v>
      </c>
      <c r="DX30" s="26">
        <v>144.55000000000001</v>
      </c>
      <c r="DY30" s="26" t="s">
        <v>363</v>
      </c>
      <c r="DZ30" s="26">
        <v>3.5999999999999997E-2</v>
      </c>
      <c r="EA30" s="26">
        <v>4.9399999999999999E-2</v>
      </c>
      <c r="EB30" s="26" t="s">
        <v>363</v>
      </c>
      <c r="EC30" s="26">
        <v>9.6216216216216208E-3</v>
      </c>
      <c r="ED30" s="26">
        <v>9.8118811881188119E-3</v>
      </c>
      <c r="EE30" s="26">
        <v>1.1141414141414141E-2</v>
      </c>
      <c r="EF30" s="26">
        <v>1.2323076923076923E-2</v>
      </c>
      <c r="EG30" s="26" t="s">
        <v>363</v>
      </c>
      <c r="EH30" s="26" t="s">
        <v>363</v>
      </c>
      <c r="EI30" s="26" t="s">
        <v>363</v>
      </c>
      <c r="EJ30" s="26" t="s">
        <v>363</v>
      </c>
      <c r="EK30" s="26">
        <v>0.27107521453811206</v>
      </c>
      <c r="EL30" s="26" t="s">
        <v>363</v>
      </c>
      <c r="EM30" s="26" t="s">
        <v>363</v>
      </c>
      <c r="EN30" s="26" t="s">
        <v>363</v>
      </c>
      <c r="EO30" s="26" t="s">
        <v>363</v>
      </c>
      <c r="EP30" s="26" t="s">
        <v>363</v>
      </c>
      <c r="EQ30" s="26" t="s">
        <v>363</v>
      </c>
      <c r="ER30" s="26" t="s">
        <v>363</v>
      </c>
      <c r="ES30" s="26" t="s">
        <v>363</v>
      </c>
      <c r="ET30" s="26" t="s">
        <v>363</v>
      </c>
      <c r="EU30" s="26" t="s">
        <v>363</v>
      </c>
      <c r="EV30" s="26" t="s">
        <v>363</v>
      </c>
      <c r="EW30" s="26" t="s">
        <v>363</v>
      </c>
      <c r="EX30" s="26" t="s">
        <v>363</v>
      </c>
      <c r="EY30" s="26" t="s">
        <v>363</v>
      </c>
      <c r="EZ30" s="26" t="s">
        <v>363</v>
      </c>
      <c r="FA30" s="26" t="s">
        <v>363</v>
      </c>
      <c r="FB30" s="26" t="s">
        <v>363</v>
      </c>
      <c r="FC30" s="26" t="s">
        <v>363</v>
      </c>
      <c r="FD30" s="26" t="s">
        <v>363</v>
      </c>
      <c r="FE30" s="26" t="s">
        <v>363</v>
      </c>
      <c r="FF30" s="26" t="s">
        <v>363</v>
      </c>
      <c r="FG30" s="26" t="s">
        <v>363</v>
      </c>
      <c r="FH30" s="26">
        <v>49.48364888123924</v>
      </c>
      <c r="FI30" s="26">
        <v>16.455901426718547</v>
      </c>
      <c r="FJ30" s="26" t="s">
        <v>363</v>
      </c>
      <c r="FK30" s="26" t="s">
        <v>363</v>
      </c>
      <c r="FL30" s="26" t="s">
        <v>363</v>
      </c>
      <c r="FM30" s="26">
        <v>44.165545087483174</v>
      </c>
      <c r="FN30" s="26" t="s">
        <v>363</v>
      </c>
      <c r="FO30" s="26" t="s">
        <v>363</v>
      </c>
      <c r="FP30" s="26" t="s">
        <v>363</v>
      </c>
      <c r="FQ30" s="26" t="s">
        <v>363</v>
      </c>
      <c r="FR30" s="26">
        <v>44.075144508670519</v>
      </c>
      <c r="FS30" s="26"/>
      <c r="FT30" s="26"/>
      <c r="FU30" s="26"/>
      <c r="FV30" s="26"/>
      <c r="FW30" s="26"/>
      <c r="FX30" s="26"/>
      <c r="FY30" s="26"/>
      <c r="FZ30" s="26"/>
      <c r="GA30" s="26"/>
      <c r="GB30" s="26"/>
      <c r="GC30" s="26"/>
      <c r="GD30" s="26"/>
      <c r="GE30" s="26"/>
      <c r="GF30" s="26"/>
      <c r="GG30" s="26"/>
      <c r="GH30" s="26"/>
      <c r="GI30" s="26"/>
      <c r="GJ30" s="26"/>
      <c r="GK30" s="26"/>
      <c r="GL30" s="26"/>
      <c r="GM30" s="26"/>
      <c r="GN30" s="26"/>
      <c r="GO30" s="26"/>
      <c r="GP30" s="26"/>
      <c r="GQ30" s="26"/>
      <c r="GR30" s="26"/>
      <c r="GS30" s="26"/>
      <c r="GT30" s="26"/>
      <c r="GU30" s="26"/>
      <c r="GV30" s="26"/>
      <c r="GW30" s="26"/>
      <c r="GX30" s="26"/>
      <c r="GY30" s="26"/>
      <c r="GZ30" s="26"/>
      <c r="HA30" s="26"/>
      <c r="HB30" s="26"/>
      <c r="HC30" s="26"/>
      <c r="HD30" s="26"/>
      <c r="HE30" s="26"/>
      <c r="HF30" s="26"/>
    </row>
    <row r="31" spans="1:214" x14ac:dyDescent="0.2">
      <c r="A31" s="25" t="s">
        <v>380</v>
      </c>
      <c r="C31" s="26" t="s">
        <v>363</v>
      </c>
      <c r="D31" s="26">
        <v>20.762848830944939</v>
      </c>
      <c r="E31" s="26" t="s">
        <v>363</v>
      </c>
      <c r="F31" s="26" t="s">
        <v>363</v>
      </c>
      <c r="G31" s="26" t="s">
        <v>363</v>
      </c>
      <c r="H31" s="26" t="s">
        <v>363</v>
      </c>
      <c r="I31" s="26" t="s">
        <v>363</v>
      </c>
      <c r="J31" s="26">
        <v>61.112271540469976</v>
      </c>
      <c r="K31" s="26" t="s">
        <v>363</v>
      </c>
      <c r="L31" s="26" t="s">
        <v>363</v>
      </c>
      <c r="M31" s="26" t="s">
        <v>363</v>
      </c>
      <c r="N31" s="26" t="s">
        <v>363</v>
      </c>
      <c r="O31" s="26" t="s">
        <v>363</v>
      </c>
      <c r="P31" s="26" t="s">
        <v>363</v>
      </c>
      <c r="Q31" s="26" t="s">
        <v>363</v>
      </c>
      <c r="R31" s="26">
        <v>21.641562064156208</v>
      </c>
      <c r="S31" s="26" t="s">
        <v>363</v>
      </c>
      <c r="T31" s="26" t="s">
        <v>363</v>
      </c>
      <c r="U31" s="26" t="s">
        <v>363</v>
      </c>
      <c r="V31" s="26" t="s">
        <v>363</v>
      </c>
      <c r="W31" s="26" t="s">
        <v>363</v>
      </c>
      <c r="X31" s="26" t="s">
        <v>363</v>
      </c>
      <c r="Y31" s="26" t="s">
        <v>363</v>
      </c>
      <c r="Z31" s="26" t="s">
        <v>363</v>
      </c>
      <c r="AA31" s="26" t="s">
        <v>363</v>
      </c>
      <c r="AB31" s="26" t="s">
        <v>363</v>
      </c>
      <c r="AC31" s="26" t="s">
        <v>363</v>
      </c>
      <c r="AD31" s="26" t="s">
        <v>363</v>
      </c>
      <c r="AE31" s="26" t="s">
        <v>363</v>
      </c>
      <c r="AF31" s="26" t="s">
        <v>363</v>
      </c>
      <c r="AG31" s="26" t="s">
        <v>363</v>
      </c>
      <c r="AH31" s="26" t="s">
        <v>363</v>
      </c>
      <c r="AI31" s="26" t="s">
        <v>363</v>
      </c>
      <c r="AJ31" s="26" t="s">
        <v>363</v>
      </c>
      <c r="AK31" s="26" t="s">
        <v>363</v>
      </c>
      <c r="AL31" s="26" t="s">
        <v>363</v>
      </c>
      <c r="AM31" s="26" t="s">
        <v>363</v>
      </c>
      <c r="AN31" s="26" t="s">
        <v>363</v>
      </c>
      <c r="AO31" s="26" t="s">
        <v>363</v>
      </c>
      <c r="AP31" s="26" t="s">
        <v>363</v>
      </c>
      <c r="AQ31" s="26" t="s">
        <v>363</v>
      </c>
      <c r="AR31" s="26" t="s">
        <v>363</v>
      </c>
      <c r="AS31" s="26" t="s">
        <v>363</v>
      </c>
      <c r="AT31" s="26" t="s">
        <v>363</v>
      </c>
      <c r="AU31" s="26" t="s">
        <v>363</v>
      </c>
      <c r="AV31" s="26" t="s">
        <v>363</v>
      </c>
      <c r="AW31" s="26" t="s">
        <v>363</v>
      </c>
      <c r="AX31" s="26" t="s">
        <v>363</v>
      </c>
      <c r="AY31" s="26" t="s">
        <v>363</v>
      </c>
      <c r="AZ31" s="26" t="s">
        <v>363</v>
      </c>
      <c r="BA31" s="26" t="s">
        <v>363</v>
      </c>
      <c r="BB31" s="26" t="s">
        <v>363</v>
      </c>
      <c r="BC31" s="26" t="s">
        <v>363</v>
      </c>
      <c r="BD31" s="26" t="s">
        <v>363</v>
      </c>
      <c r="BE31" s="26" t="s">
        <v>363</v>
      </c>
      <c r="BF31" s="26" t="s">
        <v>363</v>
      </c>
      <c r="BG31" s="26" t="s">
        <v>363</v>
      </c>
      <c r="BH31" s="26" t="s">
        <v>363</v>
      </c>
      <c r="BI31" s="26" t="s">
        <v>363</v>
      </c>
      <c r="BJ31" s="26" t="s">
        <v>363</v>
      </c>
      <c r="BK31" s="26" t="s">
        <v>363</v>
      </c>
      <c r="BL31" s="26" t="s">
        <v>363</v>
      </c>
      <c r="BM31" s="26" t="s">
        <v>363</v>
      </c>
      <c r="BN31" s="26" t="s">
        <v>363</v>
      </c>
      <c r="BO31" s="26" t="s">
        <v>363</v>
      </c>
      <c r="BP31" s="26" t="s">
        <v>363</v>
      </c>
      <c r="BQ31" s="26" t="s">
        <v>363</v>
      </c>
      <c r="BR31" s="26" t="s">
        <v>363</v>
      </c>
      <c r="BS31" s="26" t="s">
        <v>363</v>
      </c>
      <c r="BT31" s="26" t="s">
        <v>363</v>
      </c>
      <c r="BU31" s="26" t="s">
        <v>363</v>
      </c>
      <c r="BV31" s="26" t="s">
        <v>363</v>
      </c>
      <c r="BW31" s="26" t="s">
        <v>363</v>
      </c>
      <c r="BX31" s="26" t="s">
        <v>363</v>
      </c>
      <c r="BY31" s="26" t="s">
        <v>363</v>
      </c>
      <c r="BZ31" s="26" t="s">
        <v>363</v>
      </c>
      <c r="CA31" s="26" t="s">
        <v>363</v>
      </c>
      <c r="CB31" s="26" t="s">
        <v>363</v>
      </c>
      <c r="CC31" s="26" t="s">
        <v>363</v>
      </c>
      <c r="CD31" s="26" t="s">
        <v>363</v>
      </c>
      <c r="CE31" s="26">
        <v>1.6789622847176805E-2</v>
      </c>
      <c r="CF31" s="26" t="s">
        <v>363</v>
      </c>
      <c r="CG31" s="26" t="s">
        <v>363</v>
      </c>
      <c r="CH31" s="26" t="s">
        <v>363</v>
      </c>
      <c r="CI31" s="26">
        <v>191.76502649507947</v>
      </c>
      <c r="CJ31" s="26" t="s">
        <v>363</v>
      </c>
      <c r="CK31" s="26" t="s">
        <v>363</v>
      </c>
      <c r="CL31" s="26" t="s">
        <v>363</v>
      </c>
      <c r="CM31" s="26" t="s">
        <v>363</v>
      </c>
      <c r="CN31" s="26" t="s">
        <v>363</v>
      </c>
      <c r="CO31" s="26" t="s">
        <v>363</v>
      </c>
      <c r="CP31" s="26" t="s">
        <v>363</v>
      </c>
      <c r="CQ31" s="26" t="s">
        <v>363</v>
      </c>
      <c r="CR31" s="26" t="s">
        <v>363</v>
      </c>
      <c r="CS31" s="26" t="s">
        <v>363</v>
      </c>
      <c r="CT31" s="26" t="s">
        <v>363</v>
      </c>
      <c r="CU31" s="26" t="s">
        <v>363</v>
      </c>
      <c r="CV31" s="26" t="s">
        <v>363</v>
      </c>
      <c r="CW31" s="26"/>
      <c r="CX31" s="26">
        <v>3.0048706751763521E-2</v>
      </c>
      <c r="CY31" s="26">
        <v>20.385438972162738</v>
      </c>
      <c r="CZ31" s="26" t="s">
        <v>363</v>
      </c>
      <c r="DA31" s="26" t="s">
        <v>363</v>
      </c>
      <c r="DB31" s="26" t="s">
        <v>363</v>
      </c>
      <c r="DC31" s="26" t="s">
        <v>363</v>
      </c>
      <c r="DD31" s="26">
        <v>48.817191639682072</v>
      </c>
      <c r="DE31" s="26" t="s">
        <v>363</v>
      </c>
      <c r="DF31" s="26" t="s">
        <v>363</v>
      </c>
      <c r="DG31" s="26" t="s">
        <v>363</v>
      </c>
      <c r="DH31" s="26" t="s">
        <v>363</v>
      </c>
      <c r="DI31" s="26" t="s">
        <v>363</v>
      </c>
      <c r="DJ31" s="26" t="s">
        <v>363</v>
      </c>
      <c r="DK31" s="26" t="s">
        <v>363</v>
      </c>
      <c r="DL31" s="26">
        <v>37.782770714598861</v>
      </c>
      <c r="DM31" s="26" t="s">
        <v>363</v>
      </c>
      <c r="DN31" s="26" t="s">
        <v>363</v>
      </c>
      <c r="DO31" s="26" t="s">
        <v>363</v>
      </c>
      <c r="DP31" s="26">
        <v>3.1378378378378376E-2</v>
      </c>
      <c r="DQ31" s="26">
        <v>1.9650853624405262</v>
      </c>
      <c r="DR31" s="26">
        <v>0.64975070902499754</v>
      </c>
      <c r="DS31" s="26" t="s">
        <v>363</v>
      </c>
      <c r="DT31" s="26" t="s">
        <v>363</v>
      </c>
      <c r="DU31" s="26" t="s">
        <v>363</v>
      </c>
      <c r="DV31" s="26">
        <v>96.2</v>
      </c>
      <c r="DW31" s="26">
        <v>12.580912863070539</v>
      </c>
      <c r="DX31" s="26">
        <v>178.88065843621399</v>
      </c>
      <c r="DY31" s="26" t="s">
        <v>363</v>
      </c>
      <c r="DZ31" s="26">
        <v>3.8737759839349448E-2</v>
      </c>
      <c r="EA31" s="26">
        <v>4.8333490007332343E-2</v>
      </c>
      <c r="EB31" s="26" t="s">
        <v>363</v>
      </c>
      <c r="EC31" s="26">
        <v>9.8905947387997479E-3</v>
      </c>
      <c r="ED31" s="26">
        <v>9.8002382731379473E-3</v>
      </c>
      <c r="EE31" s="26">
        <v>1.115999435142412E-2</v>
      </c>
      <c r="EF31" s="26">
        <v>1.2851472530849039E-2</v>
      </c>
      <c r="EG31" s="26" t="s">
        <v>363</v>
      </c>
      <c r="EH31" s="26" t="s">
        <v>363</v>
      </c>
      <c r="EI31" s="26" t="s">
        <v>363</v>
      </c>
      <c r="EJ31" s="26" t="s">
        <v>363</v>
      </c>
      <c r="EK31" s="26">
        <v>0.28293182492510599</v>
      </c>
      <c r="EL31" s="26" t="s">
        <v>363</v>
      </c>
      <c r="EM31" s="26" t="s">
        <v>363</v>
      </c>
      <c r="EN31" s="26" t="s">
        <v>363</v>
      </c>
      <c r="EO31" s="26" t="s">
        <v>363</v>
      </c>
      <c r="EP31" s="26" t="s">
        <v>363</v>
      </c>
      <c r="EQ31" s="26" t="s">
        <v>363</v>
      </c>
      <c r="ER31" s="26" t="s">
        <v>363</v>
      </c>
      <c r="ES31" s="26" t="s">
        <v>363</v>
      </c>
      <c r="ET31" s="26" t="s">
        <v>363</v>
      </c>
      <c r="EU31" s="26" t="s">
        <v>363</v>
      </c>
      <c r="EV31" s="26" t="s">
        <v>363</v>
      </c>
      <c r="EW31" s="26" t="s">
        <v>363</v>
      </c>
      <c r="EX31" s="26" t="s">
        <v>363</v>
      </c>
      <c r="EY31" s="26" t="s">
        <v>363</v>
      </c>
      <c r="EZ31" s="26" t="s">
        <v>363</v>
      </c>
      <c r="FA31" s="26" t="s">
        <v>363</v>
      </c>
      <c r="FB31" s="26" t="s">
        <v>363</v>
      </c>
      <c r="FC31" s="26" t="s">
        <v>363</v>
      </c>
      <c r="FD31" s="26" t="s">
        <v>363</v>
      </c>
      <c r="FE31" s="26" t="s">
        <v>363</v>
      </c>
      <c r="FF31" s="26" t="s">
        <v>363</v>
      </c>
      <c r="FG31" s="26" t="s">
        <v>363</v>
      </c>
      <c r="FH31" s="26" t="s">
        <v>363</v>
      </c>
      <c r="FI31" s="26" t="s">
        <v>363</v>
      </c>
      <c r="FJ31" s="26" t="s">
        <v>363</v>
      </c>
      <c r="FK31" s="26" t="s">
        <v>363</v>
      </c>
      <c r="FL31" s="26" t="s">
        <v>363</v>
      </c>
      <c r="FM31" s="26">
        <v>58.079096045197737</v>
      </c>
      <c r="FN31" s="26" t="s">
        <v>363</v>
      </c>
      <c r="FO31" s="26" t="s">
        <v>363</v>
      </c>
      <c r="FP31" s="26" t="s">
        <v>363</v>
      </c>
      <c r="FQ31" s="26" t="s">
        <v>363</v>
      </c>
      <c r="FR31" s="26" t="s">
        <v>363</v>
      </c>
      <c r="FS31" s="26"/>
      <c r="FT31" s="26"/>
      <c r="FU31" s="26"/>
      <c r="FV31" s="26"/>
      <c r="FW31" s="26"/>
      <c r="FX31" s="26"/>
      <c r="FY31" s="26"/>
      <c r="FZ31" s="26"/>
      <c r="GA31" s="26"/>
      <c r="GB31" s="26"/>
      <c r="GC31" s="26"/>
      <c r="GD31" s="26"/>
      <c r="GE31" s="26"/>
      <c r="GF31" s="26"/>
      <c r="GG31" s="26"/>
      <c r="GH31" s="26"/>
      <c r="GI31" s="26"/>
      <c r="GJ31" s="26"/>
      <c r="GK31" s="26"/>
      <c r="GL31" s="26"/>
      <c r="GM31" s="26"/>
      <c r="GN31" s="26"/>
      <c r="GO31" s="26"/>
      <c r="GP31" s="26"/>
      <c r="GQ31" s="26"/>
      <c r="GR31" s="26"/>
      <c r="GS31" s="26"/>
      <c r="GT31" s="26"/>
      <c r="GU31" s="26"/>
      <c r="GV31" s="26"/>
      <c r="GW31" s="26"/>
      <c r="GX31" s="26"/>
      <c r="GY31" s="26"/>
      <c r="GZ31" s="26"/>
      <c r="HA31" s="26"/>
      <c r="HB31" s="26"/>
      <c r="HC31" s="26"/>
      <c r="HD31" s="26"/>
      <c r="HE31" s="26"/>
      <c r="HF31" s="26"/>
    </row>
    <row r="32" spans="1:214" x14ac:dyDescent="0.2">
      <c r="A32" s="25" t="s">
        <v>381</v>
      </c>
      <c r="C32" s="26" t="s">
        <v>363</v>
      </c>
      <c r="D32" s="26" t="s">
        <v>363</v>
      </c>
      <c r="E32" s="26" t="s">
        <v>363</v>
      </c>
      <c r="F32" s="26" t="s">
        <v>363</v>
      </c>
      <c r="G32" s="26" t="s">
        <v>363</v>
      </c>
      <c r="H32" s="26" t="s">
        <v>363</v>
      </c>
      <c r="I32" s="26" t="s">
        <v>363</v>
      </c>
      <c r="J32" s="26">
        <v>61.112271540469976</v>
      </c>
      <c r="K32" s="26" t="s">
        <v>363</v>
      </c>
      <c r="L32" s="26" t="s">
        <v>363</v>
      </c>
      <c r="M32" s="26" t="s">
        <v>363</v>
      </c>
      <c r="N32" s="26" t="s">
        <v>363</v>
      </c>
      <c r="O32" s="26" t="s">
        <v>363</v>
      </c>
      <c r="P32" s="26" t="s">
        <v>363</v>
      </c>
      <c r="Q32" s="26" t="s">
        <v>363</v>
      </c>
      <c r="R32" s="26" t="s">
        <v>363</v>
      </c>
      <c r="S32" s="26" t="s">
        <v>363</v>
      </c>
      <c r="T32" s="26" t="s">
        <v>363</v>
      </c>
      <c r="U32" s="26" t="s">
        <v>363</v>
      </c>
      <c r="V32" s="26" t="s">
        <v>363</v>
      </c>
      <c r="W32" s="26" t="s">
        <v>363</v>
      </c>
      <c r="X32" s="26" t="s">
        <v>363</v>
      </c>
      <c r="Y32" s="26" t="s">
        <v>363</v>
      </c>
      <c r="Z32" s="26" t="s">
        <v>363</v>
      </c>
      <c r="AA32" s="26" t="s">
        <v>363</v>
      </c>
      <c r="AB32" s="26" t="s">
        <v>363</v>
      </c>
      <c r="AC32" s="26" t="s">
        <v>363</v>
      </c>
      <c r="AD32" s="26" t="s">
        <v>363</v>
      </c>
      <c r="AE32" s="26" t="s">
        <v>363</v>
      </c>
      <c r="AF32" s="26" t="s">
        <v>363</v>
      </c>
      <c r="AG32" s="26" t="s">
        <v>363</v>
      </c>
      <c r="AH32" s="26" t="s">
        <v>363</v>
      </c>
      <c r="AI32" s="26" t="s">
        <v>363</v>
      </c>
      <c r="AJ32" s="26" t="s">
        <v>363</v>
      </c>
      <c r="AK32" s="26" t="s">
        <v>363</v>
      </c>
      <c r="AL32" s="26" t="s">
        <v>363</v>
      </c>
      <c r="AM32" s="26" t="s">
        <v>363</v>
      </c>
      <c r="AN32" s="26" t="s">
        <v>363</v>
      </c>
      <c r="AO32" s="26" t="s">
        <v>363</v>
      </c>
      <c r="AP32" s="26" t="s">
        <v>363</v>
      </c>
      <c r="AQ32" s="26" t="s">
        <v>363</v>
      </c>
      <c r="AR32" s="26" t="s">
        <v>363</v>
      </c>
      <c r="AS32" s="26" t="s">
        <v>363</v>
      </c>
      <c r="AT32" s="26" t="s">
        <v>363</v>
      </c>
      <c r="AU32" s="26" t="s">
        <v>363</v>
      </c>
      <c r="AV32" s="26" t="s">
        <v>363</v>
      </c>
      <c r="AW32" s="26" t="s">
        <v>363</v>
      </c>
      <c r="AX32" s="26" t="s">
        <v>363</v>
      </c>
      <c r="AY32" s="26" t="s">
        <v>363</v>
      </c>
      <c r="AZ32" s="26" t="s">
        <v>363</v>
      </c>
      <c r="BA32" s="26" t="s">
        <v>363</v>
      </c>
      <c r="BB32" s="26" t="s">
        <v>363</v>
      </c>
      <c r="BC32" s="26" t="s">
        <v>363</v>
      </c>
      <c r="BD32" s="26" t="s">
        <v>363</v>
      </c>
      <c r="BE32" s="26" t="s">
        <v>363</v>
      </c>
      <c r="BF32" s="26" t="s">
        <v>363</v>
      </c>
      <c r="BG32" s="26" t="s">
        <v>363</v>
      </c>
      <c r="BH32" s="26" t="s">
        <v>363</v>
      </c>
      <c r="BI32" s="26" t="s">
        <v>363</v>
      </c>
      <c r="BJ32" s="26" t="s">
        <v>363</v>
      </c>
      <c r="BK32" s="26" t="s">
        <v>363</v>
      </c>
      <c r="BL32" s="26" t="s">
        <v>363</v>
      </c>
      <c r="BM32" s="26" t="s">
        <v>363</v>
      </c>
      <c r="BN32" s="26" t="s">
        <v>363</v>
      </c>
      <c r="BO32" s="26" t="s">
        <v>363</v>
      </c>
      <c r="BP32" s="26" t="s">
        <v>363</v>
      </c>
      <c r="BQ32" s="26" t="s">
        <v>363</v>
      </c>
      <c r="BR32" s="26" t="s">
        <v>363</v>
      </c>
      <c r="BS32" s="26" t="s">
        <v>363</v>
      </c>
      <c r="BT32" s="26" t="s">
        <v>363</v>
      </c>
      <c r="BU32" s="26" t="s">
        <v>363</v>
      </c>
      <c r="BV32" s="26" t="s">
        <v>363</v>
      </c>
      <c r="BW32" s="26" t="s">
        <v>363</v>
      </c>
      <c r="BX32" s="26" t="s">
        <v>363</v>
      </c>
      <c r="BY32" s="26" t="s">
        <v>363</v>
      </c>
      <c r="BZ32" s="26" t="s">
        <v>363</v>
      </c>
      <c r="CA32" s="26" t="s">
        <v>363</v>
      </c>
      <c r="CB32" s="26" t="s">
        <v>363</v>
      </c>
      <c r="CC32" s="26" t="s">
        <v>363</v>
      </c>
      <c r="CD32" s="26" t="s">
        <v>363</v>
      </c>
      <c r="CE32" s="26" t="s">
        <v>363</v>
      </c>
      <c r="CF32" s="26" t="s">
        <v>363</v>
      </c>
      <c r="CG32" s="26" t="s">
        <v>363</v>
      </c>
      <c r="CH32" s="26" t="s">
        <v>363</v>
      </c>
      <c r="CI32" s="26" t="s">
        <v>363</v>
      </c>
      <c r="CJ32" s="26" t="s">
        <v>363</v>
      </c>
      <c r="CK32" s="26" t="s">
        <v>363</v>
      </c>
      <c r="CL32" s="26" t="s">
        <v>363</v>
      </c>
      <c r="CM32" s="26" t="s">
        <v>363</v>
      </c>
      <c r="CN32" s="26" t="s">
        <v>363</v>
      </c>
      <c r="CO32" s="26" t="s">
        <v>363</v>
      </c>
      <c r="CP32" s="26" t="s">
        <v>363</v>
      </c>
      <c r="CQ32" s="26" t="s">
        <v>363</v>
      </c>
      <c r="CR32" s="26" t="s">
        <v>363</v>
      </c>
      <c r="CS32" s="26" t="s">
        <v>363</v>
      </c>
      <c r="CT32" s="26" t="s">
        <v>363</v>
      </c>
      <c r="CU32" s="26" t="s">
        <v>363</v>
      </c>
      <c r="CV32" s="26" t="s">
        <v>363</v>
      </c>
      <c r="CW32" s="26"/>
      <c r="CX32" s="26" t="s">
        <v>363</v>
      </c>
      <c r="CY32" s="26" t="s">
        <v>363</v>
      </c>
      <c r="CZ32" s="26" t="s">
        <v>363</v>
      </c>
      <c r="DA32" s="26" t="s">
        <v>363</v>
      </c>
      <c r="DB32" s="26" t="s">
        <v>363</v>
      </c>
      <c r="DC32" s="26" t="s">
        <v>363</v>
      </c>
      <c r="DD32" s="26" t="s">
        <v>363</v>
      </c>
      <c r="DE32" s="26" t="s">
        <v>363</v>
      </c>
      <c r="DF32" s="26" t="s">
        <v>363</v>
      </c>
      <c r="DG32" s="26" t="s">
        <v>363</v>
      </c>
      <c r="DH32" s="26" t="s">
        <v>363</v>
      </c>
      <c r="DI32" s="26" t="s">
        <v>363</v>
      </c>
      <c r="DJ32" s="26" t="s">
        <v>363</v>
      </c>
      <c r="DK32" s="26" t="s">
        <v>363</v>
      </c>
      <c r="DL32" s="26" t="s">
        <v>363</v>
      </c>
      <c r="DM32" s="26" t="s">
        <v>363</v>
      </c>
      <c r="DN32" s="26" t="s">
        <v>363</v>
      </c>
      <c r="DO32" s="26" t="s">
        <v>363</v>
      </c>
      <c r="DP32" s="26" t="s">
        <v>363</v>
      </c>
      <c r="DQ32" s="26" t="s">
        <v>363</v>
      </c>
      <c r="DR32" s="26" t="s">
        <v>363</v>
      </c>
      <c r="DS32" s="26">
        <v>0.68782314137992517</v>
      </c>
      <c r="DT32" s="26">
        <v>0.55870561282932418</v>
      </c>
      <c r="DU32" s="26">
        <v>0.76822267085712803</v>
      </c>
      <c r="DV32" s="26">
        <v>108.81414141414142</v>
      </c>
      <c r="DW32" s="26" t="s">
        <v>363</v>
      </c>
      <c r="DX32" s="26" t="s">
        <v>363</v>
      </c>
      <c r="DY32" s="26" t="s">
        <v>363</v>
      </c>
      <c r="DZ32" s="26">
        <v>4.205116799267939E-2</v>
      </c>
      <c r="EA32" s="26">
        <v>5.0693929894556851E-2</v>
      </c>
      <c r="EB32" s="26" t="s">
        <v>363</v>
      </c>
      <c r="EC32" s="26">
        <v>1.0265812949584806E-2</v>
      </c>
      <c r="ED32" s="26">
        <v>9.7507728639334885E-3</v>
      </c>
      <c r="EE32" s="26">
        <v>1.1517058509363659E-2</v>
      </c>
      <c r="EF32" s="26" t="s">
        <v>363</v>
      </c>
      <c r="EG32" s="26" t="s">
        <v>363</v>
      </c>
      <c r="EH32" s="26">
        <v>1.2724646904756077E-2</v>
      </c>
      <c r="EI32" s="26">
        <v>9.0246899849858203E-2</v>
      </c>
      <c r="EJ32" s="26">
        <v>6.0575097529258777E-2</v>
      </c>
      <c r="EK32" s="26">
        <v>0.33169691880369484</v>
      </c>
      <c r="EL32" s="26" t="s">
        <v>363</v>
      </c>
      <c r="EM32" s="26" t="s">
        <v>363</v>
      </c>
      <c r="EN32" s="26" t="s">
        <v>363</v>
      </c>
      <c r="EO32" s="26" t="s">
        <v>363</v>
      </c>
      <c r="EP32" s="26" t="s">
        <v>363</v>
      </c>
      <c r="EQ32" s="26" t="s">
        <v>363</v>
      </c>
      <c r="ER32" s="26" t="s">
        <v>363</v>
      </c>
      <c r="ES32" s="26" t="s">
        <v>363</v>
      </c>
      <c r="ET32" s="26" t="s">
        <v>363</v>
      </c>
      <c r="EU32" s="26" t="s">
        <v>363</v>
      </c>
      <c r="EV32" s="26" t="s">
        <v>363</v>
      </c>
      <c r="EW32" s="26" t="s">
        <v>363</v>
      </c>
      <c r="EX32" s="26" t="s">
        <v>363</v>
      </c>
      <c r="EY32" s="26" t="s">
        <v>363</v>
      </c>
      <c r="EZ32" s="26" t="s">
        <v>363</v>
      </c>
      <c r="FA32" s="26" t="s">
        <v>363</v>
      </c>
      <c r="FB32" s="26" t="s">
        <v>363</v>
      </c>
      <c r="FC32" s="26" t="s">
        <v>363</v>
      </c>
      <c r="FD32" s="26" t="s">
        <v>363</v>
      </c>
      <c r="FE32" s="26" t="s">
        <v>363</v>
      </c>
      <c r="FF32" s="26" t="s">
        <v>363</v>
      </c>
      <c r="FG32" s="26" t="s">
        <v>363</v>
      </c>
      <c r="FH32" s="26" t="s">
        <v>363</v>
      </c>
      <c r="FI32" s="26" t="s">
        <v>363</v>
      </c>
      <c r="FJ32" s="26" t="s">
        <v>363</v>
      </c>
      <c r="FK32" s="26" t="s">
        <v>363</v>
      </c>
      <c r="FL32" s="26" t="s">
        <v>363</v>
      </c>
      <c r="FM32" s="26" t="s">
        <v>363</v>
      </c>
      <c r="FN32" s="26" t="s">
        <v>363</v>
      </c>
      <c r="FO32" s="26" t="s">
        <v>363</v>
      </c>
      <c r="FP32" s="26" t="s">
        <v>363</v>
      </c>
      <c r="FQ32" s="26" t="s">
        <v>363</v>
      </c>
      <c r="FR32" s="26" t="s">
        <v>363</v>
      </c>
      <c r="FS32" s="26"/>
      <c r="FT32" s="26"/>
      <c r="FU32" s="26"/>
      <c r="FV32" s="26"/>
      <c r="FW32" s="26"/>
      <c r="FX32" s="26"/>
      <c r="FY32" s="26"/>
      <c r="FZ32" s="26"/>
      <c r="GA32" s="26"/>
      <c r="GB32" s="26"/>
      <c r="GC32" s="26"/>
      <c r="GD32" s="26"/>
      <c r="GE32" s="26"/>
      <c r="GF32" s="26"/>
      <c r="GG32" s="26"/>
      <c r="GH32" s="26"/>
      <c r="GI32" s="26"/>
      <c r="GJ32" s="26"/>
      <c r="GK32" s="26"/>
      <c r="GL32" s="26"/>
      <c r="GM32" s="26"/>
      <c r="GN32" s="26"/>
      <c r="GO32" s="26"/>
      <c r="GP32" s="26"/>
      <c r="GQ32" s="26"/>
      <c r="GR32" s="26"/>
      <c r="GS32" s="26"/>
      <c r="GT32" s="26"/>
      <c r="GU32" s="26"/>
      <c r="GV32" s="26"/>
      <c r="GW32" s="26"/>
      <c r="GX32" s="26"/>
      <c r="GY32" s="26"/>
      <c r="GZ32" s="26"/>
      <c r="HA32" s="26"/>
      <c r="HB32" s="26"/>
      <c r="HC32" s="26"/>
      <c r="HD32" s="26"/>
      <c r="HE32" s="26"/>
      <c r="HF32" s="26"/>
    </row>
    <row r="33" spans="1:214" x14ac:dyDescent="0.2">
      <c r="A33" s="25" t="s">
        <v>382</v>
      </c>
      <c r="C33" s="26" t="s">
        <v>363</v>
      </c>
      <c r="D33" s="26" t="s">
        <v>363</v>
      </c>
      <c r="E33" s="26" t="s">
        <v>363</v>
      </c>
      <c r="F33" s="26" t="s">
        <v>363</v>
      </c>
      <c r="G33" s="26" t="s">
        <v>363</v>
      </c>
      <c r="H33" s="26" t="s">
        <v>363</v>
      </c>
      <c r="I33" s="26" t="s">
        <v>363</v>
      </c>
      <c r="J33" s="26" t="s">
        <v>363</v>
      </c>
      <c r="K33" s="26" t="s">
        <v>363</v>
      </c>
      <c r="L33" s="26" t="s">
        <v>363</v>
      </c>
      <c r="M33" s="26" t="s">
        <v>363</v>
      </c>
      <c r="N33" s="26" t="s">
        <v>363</v>
      </c>
      <c r="O33" s="26" t="s">
        <v>363</v>
      </c>
      <c r="P33" s="26" t="s">
        <v>363</v>
      </c>
      <c r="Q33" s="26" t="s">
        <v>363</v>
      </c>
      <c r="R33" s="26" t="s">
        <v>363</v>
      </c>
      <c r="S33" s="26" t="s">
        <v>363</v>
      </c>
      <c r="T33" s="26" t="s">
        <v>363</v>
      </c>
      <c r="U33" s="26" t="s">
        <v>363</v>
      </c>
      <c r="V33" s="26" t="s">
        <v>363</v>
      </c>
      <c r="W33" s="26" t="s">
        <v>363</v>
      </c>
      <c r="X33" s="26" t="s">
        <v>363</v>
      </c>
      <c r="Y33" s="26" t="s">
        <v>363</v>
      </c>
      <c r="Z33" s="26" t="s">
        <v>363</v>
      </c>
      <c r="AA33" s="26" t="s">
        <v>363</v>
      </c>
      <c r="AB33" s="26" t="s">
        <v>363</v>
      </c>
      <c r="AC33" s="26" t="s">
        <v>363</v>
      </c>
      <c r="AD33" s="26" t="s">
        <v>363</v>
      </c>
      <c r="AE33" s="26" t="s">
        <v>363</v>
      </c>
      <c r="AF33" s="26" t="s">
        <v>363</v>
      </c>
      <c r="AG33" s="26" t="s">
        <v>363</v>
      </c>
      <c r="AH33" s="26" t="s">
        <v>363</v>
      </c>
      <c r="AI33" s="26" t="s">
        <v>363</v>
      </c>
      <c r="AJ33" s="26" t="s">
        <v>363</v>
      </c>
      <c r="AK33" s="26" t="s">
        <v>363</v>
      </c>
      <c r="AL33" s="26" t="s">
        <v>363</v>
      </c>
      <c r="AM33" s="26" t="s">
        <v>363</v>
      </c>
      <c r="AN33" s="26" t="s">
        <v>363</v>
      </c>
      <c r="AO33" s="26" t="s">
        <v>363</v>
      </c>
      <c r="AP33" s="26" t="s">
        <v>363</v>
      </c>
      <c r="AQ33" s="26" t="s">
        <v>363</v>
      </c>
      <c r="AR33" s="26" t="s">
        <v>363</v>
      </c>
      <c r="AS33" s="26" t="s">
        <v>363</v>
      </c>
      <c r="AT33" s="26" t="s">
        <v>363</v>
      </c>
      <c r="AU33" s="26" t="s">
        <v>363</v>
      </c>
      <c r="AV33" s="26" t="s">
        <v>363</v>
      </c>
      <c r="AW33" s="26" t="s">
        <v>363</v>
      </c>
      <c r="AX33" s="26" t="s">
        <v>363</v>
      </c>
      <c r="AY33" s="26" t="s">
        <v>363</v>
      </c>
      <c r="AZ33" s="26" t="s">
        <v>363</v>
      </c>
      <c r="BA33" s="26" t="s">
        <v>363</v>
      </c>
      <c r="BB33" s="26" t="s">
        <v>363</v>
      </c>
      <c r="BC33" s="26" t="s">
        <v>363</v>
      </c>
      <c r="BD33" s="26" t="s">
        <v>363</v>
      </c>
      <c r="BE33" s="26" t="s">
        <v>363</v>
      </c>
      <c r="BF33" s="26" t="s">
        <v>363</v>
      </c>
      <c r="BG33" s="26" t="s">
        <v>363</v>
      </c>
      <c r="BH33" s="26" t="s">
        <v>363</v>
      </c>
      <c r="BI33" s="26" t="s">
        <v>363</v>
      </c>
      <c r="BJ33" s="26" t="s">
        <v>363</v>
      </c>
      <c r="BK33" s="26" t="s">
        <v>363</v>
      </c>
      <c r="BL33" s="26" t="s">
        <v>363</v>
      </c>
      <c r="BM33" s="26" t="s">
        <v>363</v>
      </c>
      <c r="BN33" s="26" t="s">
        <v>363</v>
      </c>
      <c r="BO33" s="26" t="s">
        <v>363</v>
      </c>
      <c r="BP33" s="26" t="s">
        <v>363</v>
      </c>
      <c r="BQ33" s="26" t="s">
        <v>363</v>
      </c>
      <c r="BR33" s="26" t="s">
        <v>363</v>
      </c>
      <c r="BS33" s="26" t="s">
        <v>363</v>
      </c>
      <c r="BT33" s="26" t="s">
        <v>363</v>
      </c>
      <c r="BU33" s="26" t="s">
        <v>363</v>
      </c>
      <c r="BV33" s="26" t="s">
        <v>363</v>
      </c>
      <c r="BW33" s="26" t="s">
        <v>363</v>
      </c>
      <c r="BX33" s="26" t="s">
        <v>363</v>
      </c>
      <c r="BY33" s="26" t="s">
        <v>363</v>
      </c>
      <c r="BZ33" s="26" t="s">
        <v>363</v>
      </c>
      <c r="CA33" s="26" t="s">
        <v>363</v>
      </c>
      <c r="CB33" s="26" t="s">
        <v>363</v>
      </c>
      <c r="CC33" s="26" t="s">
        <v>363</v>
      </c>
      <c r="CD33" s="26" t="s">
        <v>363</v>
      </c>
      <c r="CE33" s="26" t="s">
        <v>363</v>
      </c>
      <c r="CF33" s="26" t="s">
        <v>363</v>
      </c>
      <c r="CG33" s="26" t="s">
        <v>363</v>
      </c>
      <c r="CH33" s="26" t="s">
        <v>363</v>
      </c>
      <c r="CI33" s="26" t="s">
        <v>363</v>
      </c>
      <c r="CJ33" s="26" t="s">
        <v>363</v>
      </c>
      <c r="CK33" s="26" t="s">
        <v>363</v>
      </c>
      <c r="CL33" s="26" t="s">
        <v>363</v>
      </c>
      <c r="CM33" s="26" t="s">
        <v>363</v>
      </c>
      <c r="CN33" s="26" t="s">
        <v>363</v>
      </c>
      <c r="CO33" s="26" t="s">
        <v>363</v>
      </c>
      <c r="CP33" s="26" t="s">
        <v>363</v>
      </c>
      <c r="CQ33" s="26" t="s">
        <v>363</v>
      </c>
      <c r="CR33" s="26" t="s">
        <v>363</v>
      </c>
      <c r="CS33" s="26" t="s">
        <v>363</v>
      </c>
      <c r="CT33" s="26" t="s">
        <v>363</v>
      </c>
      <c r="CU33" s="26" t="s">
        <v>363</v>
      </c>
      <c r="CV33" s="26" t="s">
        <v>363</v>
      </c>
      <c r="CW33" s="26"/>
      <c r="CX33" s="26" t="s">
        <v>363</v>
      </c>
      <c r="CY33" s="26" t="s">
        <v>363</v>
      </c>
      <c r="CZ33" s="26" t="s">
        <v>363</v>
      </c>
      <c r="DA33" s="26" t="s">
        <v>363</v>
      </c>
      <c r="DB33" s="26" t="s">
        <v>363</v>
      </c>
      <c r="DC33" s="26" t="s">
        <v>363</v>
      </c>
      <c r="DD33" s="26" t="s">
        <v>363</v>
      </c>
      <c r="DE33" s="26" t="s">
        <v>363</v>
      </c>
      <c r="DF33" s="26" t="s">
        <v>363</v>
      </c>
      <c r="DG33" s="26" t="s">
        <v>363</v>
      </c>
      <c r="DH33" s="26" t="s">
        <v>363</v>
      </c>
      <c r="DI33" s="26" t="s">
        <v>363</v>
      </c>
      <c r="DJ33" s="26" t="s">
        <v>363</v>
      </c>
      <c r="DK33" s="26" t="s">
        <v>363</v>
      </c>
      <c r="DL33" s="26" t="s">
        <v>363</v>
      </c>
      <c r="DM33" s="26" t="s">
        <v>363</v>
      </c>
      <c r="DN33" s="26" t="s">
        <v>363</v>
      </c>
      <c r="DO33" s="26" t="s">
        <v>363</v>
      </c>
      <c r="DP33" s="26" t="s">
        <v>363</v>
      </c>
      <c r="DQ33" s="26" t="s">
        <v>363</v>
      </c>
      <c r="DR33" s="26" t="s">
        <v>363</v>
      </c>
      <c r="DS33" s="26">
        <v>0.79021941543194885</v>
      </c>
      <c r="DT33" s="26">
        <v>0.51675130145955095</v>
      </c>
      <c r="DU33" s="26">
        <v>0.73919089328925391</v>
      </c>
      <c r="DV33" s="26">
        <v>78.07616279069768</v>
      </c>
      <c r="DW33" s="26" t="s">
        <v>363</v>
      </c>
      <c r="DX33" s="26" t="s">
        <v>363</v>
      </c>
      <c r="DY33" s="26" t="s">
        <v>363</v>
      </c>
      <c r="DZ33" s="26">
        <v>4.118829644091497E-2</v>
      </c>
      <c r="EA33" s="26">
        <v>5.1150982760513893E-2</v>
      </c>
      <c r="EB33" s="26" t="s">
        <v>363</v>
      </c>
      <c r="EC33" s="26">
        <v>7.0747592488231781E-3</v>
      </c>
      <c r="ED33" s="26">
        <v>1.0209750890344239E-2</v>
      </c>
      <c r="EE33" s="26">
        <v>1.1513348910253955E-2</v>
      </c>
      <c r="EF33" s="26" t="s">
        <v>363</v>
      </c>
      <c r="EG33" s="26" t="s">
        <v>363</v>
      </c>
      <c r="EH33" s="26">
        <v>1.4269662921348314E-2</v>
      </c>
      <c r="EI33" s="26">
        <v>8.6112016358350113E-2</v>
      </c>
      <c r="EJ33" s="26">
        <v>6.5405108092596129E-2</v>
      </c>
      <c r="EK33" s="26">
        <v>0.28467673662166376</v>
      </c>
      <c r="EL33" s="26" t="s">
        <v>363</v>
      </c>
      <c r="EM33" s="26" t="s">
        <v>363</v>
      </c>
      <c r="EN33" s="26" t="s">
        <v>363</v>
      </c>
      <c r="EO33" s="26" t="s">
        <v>363</v>
      </c>
      <c r="EP33" s="26" t="s">
        <v>363</v>
      </c>
      <c r="EQ33" s="26" t="s">
        <v>363</v>
      </c>
      <c r="ER33" s="26" t="s">
        <v>363</v>
      </c>
      <c r="ES33" s="26" t="s">
        <v>363</v>
      </c>
      <c r="ET33" s="26" t="s">
        <v>363</v>
      </c>
      <c r="EU33" s="26" t="s">
        <v>363</v>
      </c>
      <c r="EV33" s="26" t="s">
        <v>363</v>
      </c>
      <c r="EW33" s="26" t="s">
        <v>363</v>
      </c>
      <c r="EX33" s="26" t="s">
        <v>363</v>
      </c>
      <c r="EY33" s="26" t="s">
        <v>363</v>
      </c>
      <c r="EZ33" s="26" t="s">
        <v>363</v>
      </c>
      <c r="FA33" s="26" t="s">
        <v>363</v>
      </c>
      <c r="FB33" s="26" t="s">
        <v>363</v>
      </c>
      <c r="FC33" s="26" t="s">
        <v>363</v>
      </c>
      <c r="FD33" s="26" t="s">
        <v>363</v>
      </c>
      <c r="FE33" s="26" t="s">
        <v>363</v>
      </c>
      <c r="FF33" s="26" t="s">
        <v>363</v>
      </c>
      <c r="FG33" s="26" t="s">
        <v>363</v>
      </c>
      <c r="FH33" s="26" t="s">
        <v>363</v>
      </c>
      <c r="FI33" s="26" t="s">
        <v>363</v>
      </c>
      <c r="FJ33" s="26" t="s">
        <v>363</v>
      </c>
      <c r="FK33" s="26" t="s">
        <v>363</v>
      </c>
      <c r="FL33" s="26" t="s">
        <v>363</v>
      </c>
      <c r="FM33" s="26" t="s">
        <v>363</v>
      </c>
      <c r="FN33" s="26" t="s">
        <v>363</v>
      </c>
      <c r="FO33" s="26" t="s">
        <v>363</v>
      </c>
      <c r="FP33" s="26" t="s">
        <v>363</v>
      </c>
      <c r="FQ33" s="26" t="s">
        <v>363</v>
      </c>
      <c r="FR33" s="26" t="s">
        <v>363</v>
      </c>
      <c r="FS33" s="26"/>
      <c r="FT33" s="26"/>
      <c r="FU33" s="26"/>
      <c r="FV33" s="26"/>
      <c r="FW33" s="26"/>
      <c r="FX33" s="26"/>
      <c r="FY33" s="26"/>
      <c r="FZ33" s="26"/>
      <c r="GA33" s="26"/>
      <c r="GB33" s="26"/>
      <c r="GC33" s="26"/>
      <c r="GD33" s="26"/>
      <c r="GE33" s="26"/>
      <c r="GF33" s="26"/>
      <c r="GG33" s="26"/>
      <c r="GH33" s="26"/>
      <c r="GI33" s="26"/>
      <c r="GJ33" s="26"/>
      <c r="GK33" s="26"/>
      <c r="GL33" s="26"/>
      <c r="GM33" s="26"/>
      <c r="GN33" s="26"/>
      <c r="GO33" s="26"/>
      <c r="GP33" s="26"/>
      <c r="GQ33" s="26"/>
      <c r="GR33" s="26"/>
      <c r="GS33" s="26"/>
      <c r="GT33" s="26"/>
      <c r="GU33" s="26"/>
      <c r="GV33" s="26"/>
      <c r="GW33" s="26"/>
      <c r="GX33" s="26"/>
      <c r="GY33" s="26"/>
      <c r="GZ33" s="26"/>
      <c r="HA33" s="26"/>
      <c r="HB33" s="26"/>
      <c r="HC33" s="26"/>
      <c r="HD33" s="26"/>
      <c r="HE33" s="26"/>
      <c r="HF33" s="26"/>
    </row>
    <row r="34" spans="1:214" x14ac:dyDescent="0.2">
      <c r="A34" s="25" t="s">
        <v>383</v>
      </c>
      <c r="C34" s="26" t="s">
        <v>363</v>
      </c>
      <c r="D34" s="26" t="s">
        <v>363</v>
      </c>
      <c r="E34" s="26" t="s">
        <v>363</v>
      </c>
      <c r="F34" s="26" t="s">
        <v>363</v>
      </c>
      <c r="G34" s="26" t="s">
        <v>363</v>
      </c>
      <c r="H34" s="26" t="s">
        <v>363</v>
      </c>
      <c r="I34" s="26" t="s">
        <v>363</v>
      </c>
      <c r="J34" s="26" t="s">
        <v>363</v>
      </c>
      <c r="K34" s="26" t="s">
        <v>363</v>
      </c>
      <c r="L34" s="26" t="s">
        <v>363</v>
      </c>
      <c r="M34" s="26" t="s">
        <v>363</v>
      </c>
      <c r="N34" s="26" t="s">
        <v>363</v>
      </c>
      <c r="O34" s="26" t="s">
        <v>363</v>
      </c>
      <c r="P34" s="26" t="s">
        <v>363</v>
      </c>
      <c r="Q34" s="26" t="s">
        <v>363</v>
      </c>
      <c r="R34" s="26" t="s">
        <v>363</v>
      </c>
      <c r="S34" s="26" t="s">
        <v>363</v>
      </c>
      <c r="T34" s="26" t="s">
        <v>363</v>
      </c>
      <c r="U34" s="26" t="s">
        <v>363</v>
      </c>
      <c r="V34" s="26" t="s">
        <v>363</v>
      </c>
      <c r="W34" s="26" t="s">
        <v>363</v>
      </c>
      <c r="X34" s="26" t="s">
        <v>363</v>
      </c>
      <c r="Y34" s="26" t="s">
        <v>363</v>
      </c>
      <c r="Z34" s="26" t="s">
        <v>363</v>
      </c>
      <c r="AA34" s="26" t="s">
        <v>363</v>
      </c>
      <c r="AB34" s="26" t="s">
        <v>363</v>
      </c>
      <c r="AC34" s="26" t="s">
        <v>363</v>
      </c>
      <c r="AD34" s="26" t="s">
        <v>363</v>
      </c>
      <c r="AE34" s="26" t="s">
        <v>363</v>
      </c>
      <c r="AF34" s="26" t="s">
        <v>363</v>
      </c>
      <c r="AG34" s="26" t="s">
        <v>363</v>
      </c>
      <c r="AH34" s="26" t="s">
        <v>363</v>
      </c>
      <c r="AI34" s="26" t="s">
        <v>363</v>
      </c>
      <c r="AJ34" s="26" t="s">
        <v>363</v>
      </c>
      <c r="AK34" s="26" t="s">
        <v>363</v>
      </c>
      <c r="AL34" s="26" t="s">
        <v>363</v>
      </c>
      <c r="AM34" s="26" t="s">
        <v>363</v>
      </c>
      <c r="AN34" s="26" t="s">
        <v>363</v>
      </c>
      <c r="AO34" s="26" t="s">
        <v>363</v>
      </c>
      <c r="AP34" s="26" t="s">
        <v>363</v>
      </c>
      <c r="AQ34" s="26" t="s">
        <v>363</v>
      </c>
      <c r="AR34" s="26" t="s">
        <v>363</v>
      </c>
      <c r="AS34" s="26" t="s">
        <v>363</v>
      </c>
      <c r="AT34" s="26" t="s">
        <v>363</v>
      </c>
      <c r="AU34" s="26" t="s">
        <v>363</v>
      </c>
      <c r="AV34" s="26" t="s">
        <v>363</v>
      </c>
      <c r="AW34" s="26" t="s">
        <v>363</v>
      </c>
      <c r="AX34" s="26" t="s">
        <v>363</v>
      </c>
      <c r="AY34" s="26" t="s">
        <v>363</v>
      </c>
      <c r="AZ34" s="26" t="s">
        <v>363</v>
      </c>
      <c r="BA34" s="26" t="s">
        <v>363</v>
      </c>
      <c r="BB34" s="26" t="s">
        <v>363</v>
      </c>
      <c r="BC34" s="26" t="s">
        <v>363</v>
      </c>
      <c r="BD34" s="26" t="s">
        <v>363</v>
      </c>
      <c r="BE34" s="26" t="s">
        <v>363</v>
      </c>
      <c r="BF34" s="26" t="s">
        <v>363</v>
      </c>
      <c r="BG34" s="26" t="s">
        <v>363</v>
      </c>
      <c r="BH34" s="26" t="s">
        <v>363</v>
      </c>
      <c r="BI34" s="26" t="s">
        <v>363</v>
      </c>
      <c r="BJ34" s="26" t="s">
        <v>363</v>
      </c>
      <c r="BK34" s="26" t="s">
        <v>363</v>
      </c>
      <c r="BL34" s="26" t="s">
        <v>363</v>
      </c>
      <c r="BM34" s="26" t="s">
        <v>363</v>
      </c>
      <c r="BN34" s="26" t="s">
        <v>363</v>
      </c>
      <c r="BO34" s="26" t="s">
        <v>363</v>
      </c>
      <c r="BP34" s="26" t="s">
        <v>363</v>
      </c>
      <c r="BQ34" s="26" t="s">
        <v>363</v>
      </c>
      <c r="BR34" s="26" t="s">
        <v>363</v>
      </c>
      <c r="BS34" s="26" t="s">
        <v>363</v>
      </c>
      <c r="BT34" s="26" t="s">
        <v>363</v>
      </c>
      <c r="BU34" s="26" t="s">
        <v>363</v>
      </c>
      <c r="BV34" s="26" t="s">
        <v>363</v>
      </c>
      <c r="BW34" s="26" t="s">
        <v>363</v>
      </c>
      <c r="BX34" s="26" t="s">
        <v>363</v>
      </c>
      <c r="BY34" s="26" t="s">
        <v>363</v>
      </c>
      <c r="BZ34" s="26" t="s">
        <v>363</v>
      </c>
      <c r="CA34" s="26" t="s">
        <v>363</v>
      </c>
      <c r="CB34" s="26" t="s">
        <v>363</v>
      </c>
      <c r="CC34" s="26" t="s">
        <v>363</v>
      </c>
      <c r="CD34" s="26" t="s">
        <v>363</v>
      </c>
      <c r="CE34" s="26" t="s">
        <v>363</v>
      </c>
      <c r="CF34" s="26" t="s">
        <v>363</v>
      </c>
      <c r="CG34" s="26" t="s">
        <v>363</v>
      </c>
      <c r="CH34" s="26" t="s">
        <v>363</v>
      </c>
      <c r="CI34" s="26" t="s">
        <v>363</v>
      </c>
      <c r="CJ34" s="26" t="s">
        <v>363</v>
      </c>
      <c r="CK34" s="26" t="s">
        <v>363</v>
      </c>
      <c r="CL34" s="26" t="s">
        <v>363</v>
      </c>
      <c r="CM34" s="26" t="s">
        <v>363</v>
      </c>
      <c r="CN34" s="26" t="s">
        <v>363</v>
      </c>
      <c r="CO34" s="26" t="s">
        <v>363</v>
      </c>
      <c r="CP34" s="26" t="s">
        <v>363</v>
      </c>
      <c r="CQ34" s="26" t="s">
        <v>363</v>
      </c>
      <c r="CR34" s="26" t="s">
        <v>363</v>
      </c>
      <c r="CS34" s="26" t="s">
        <v>363</v>
      </c>
      <c r="CT34" s="26" t="s">
        <v>363</v>
      </c>
      <c r="CU34" s="26" t="s">
        <v>363</v>
      </c>
      <c r="CV34" s="26" t="s">
        <v>363</v>
      </c>
      <c r="CW34" s="26"/>
      <c r="CX34" s="26" t="s">
        <v>363</v>
      </c>
      <c r="CY34" s="26" t="s">
        <v>363</v>
      </c>
      <c r="CZ34" s="26" t="s">
        <v>363</v>
      </c>
      <c r="DA34" s="26" t="s">
        <v>363</v>
      </c>
      <c r="DB34" s="26" t="s">
        <v>363</v>
      </c>
      <c r="DC34" s="26" t="s">
        <v>363</v>
      </c>
      <c r="DD34" s="26" t="s">
        <v>363</v>
      </c>
      <c r="DE34" s="26" t="s">
        <v>363</v>
      </c>
      <c r="DF34" s="26" t="s">
        <v>363</v>
      </c>
      <c r="DG34" s="26" t="s">
        <v>363</v>
      </c>
      <c r="DH34" s="26" t="s">
        <v>363</v>
      </c>
      <c r="DI34" s="26" t="s">
        <v>363</v>
      </c>
      <c r="DJ34" s="26" t="s">
        <v>363</v>
      </c>
      <c r="DK34" s="26" t="s">
        <v>363</v>
      </c>
      <c r="DL34" s="26" t="s">
        <v>363</v>
      </c>
      <c r="DM34" s="26" t="s">
        <v>363</v>
      </c>
      <c r="DN34" s="26" t="s">
        <v>363</v>
      </c>
      <c r="DO34" s="26" t="s">
        <v>363</v>
      </c>
      <c r="DP34" s="26" t="s">
        <v>363</v>
      </c>
      <c r="DQ34" s="26" t="s">
        <v>363</v>
      </c>
      <c r="DR34" s="26">
        <v>0.64908722109533468</v>
      </c>
      <c r="DS34" s="26" t="s">
        <v>363</v>
      </c>
      <c r="DT34" s="26" t="s">
        <v>363</v>
      </c>
      <c r="DU34" s="26" t="s">
        <v>363</v>
      </c>
      <c r="DV34" s="26">
        <v>77.650236326806208</v>
      </c>
      <c r="DW34" s="26" t="s">
        <v>363</v>
      </c>
      <c r="DX34" s="26" t="s">
        <v>363</v>
      </c>
      <c r="DY34" s="26" t="s">
        <v>363</v>
      </c>
      <c r="DZ34" s="26">
        <v>3.6307177833512477E-2</v>
      </c>
      <c r="EA34" s="26">
        <v>4.6679397411415233E-2</v>
      </c>
      <c r="EB34" s="26" t="s">
        <v>363</v>
      </c>
      <c r="EC34" s="26">
        <v>9.6699029126213597E-3</v>
      </c>
      <c r="ED34" s="26">
        <v>9.6481481481481488E-3</v>
      </c>
      <c r="EE34" s="26">
        <v>1.0991525423728813E-2</v>
      </c>
      <c r="EF34" s="26">
        <v>1.3116666666666667E-2</v>
      </c>
      <c r="EG34" s="26">
        <v>1.34375E-2</v>
      </c>
      <c r="EH34" s="26">
        <v>1.2857142857142857E-2</v>
      </c>
      <c r="EI34" s="26">
        <v>9.9078914612895197E-2</v>
      </c>
      <c r="EJ34" s="26">
        <v>6.6225165562913912E-2</v>
      </c>
      <c r="EK34" s="26">
        <v>0.23200000000000001</v>
      </c>
      <c r="EL34" s="26" t="s">
        <v>363</v>
      </c>
      <c r="EM34" s="26" t="s">
        <v>363</v>
      </c>
      <c r="EN34" s="26" t="s">
        <v>363</v>
      </c>
      <c r="EO34" s="26" t="s">
        <v>363</v>
      </c>
      <c r="EP34" s="26" t="s">
        <v>363</v>
      </c>
      <c r="EQ34" s="26" t="s">
        <v>363</v>
      </c>
      <c r="ER34" s="26" t="s">
        <v>363</v>
      </c>
      <c r="ES34" s="26" t="s">
        <v>363</v>
      </c>
      <c r="ET34" s="26" t="s">
        <v>363</v>
      </c>
      <c r="EU34" s="26" t="s">
        <v>363</v>
      </c>
      <c r="EV34" s="26" t="s">
        <v>363</v>
      </c>
      <c r="EW34" s="26" t="s">
        <v>363</v>
      </c>
      <c r="EX34" s="26" t="s">
        <v>363</v>
      </c>
      <c r="EY34" s="26" t="s">
        <v>363</v>
      </c>
      <c r="EZ34" s="26" t="s">
        <v>363</v>
      </c>
      <c r="FA34" s="26" t="s">
        <v>363</v>
      </c>
      <c r="FB34" s="26" t="s">
        <v>363</v>
      </c>
      <c r="FC34" s="26" t="s">
        <v>363</v>
      </c>
      <c r="FD34" s="26" t="s">
        <v>363</v>
      </c>
      <c r="FE34" s="26" t="s">
        <v>363</v>
      </c>
      <c r="FF34" s="26" t="s">
        <v>363</v>
      </c>
      <c r="FG34" s="26" t="s">
        <v>363</v>
      </c>
      <c r="FH34" s="26" t="s">
        <v>363</v>
      </c>
      <c r="FI34" s="26" t="s">
        <v>363</v>
      </c>
      <c r="FJ34" s="26" t="s">
        <v>363</v>
      </c>
      <c r="FK34" s="26" t="s">
        <v>363</v>
      </c>
      <c r="FL34" s="26" t="s">
        <v>363</v>
      </c>
      <c r="FM34" s="26" t="s">
        <v>363</v>
      </c>
      <c r="FN34" s="26" t="s">
        <v>363</v>
      </c>
      <c r="FO34" s="26" t="s">
        <v>363</v>
      </c>
      <c r="FP34" s="26" t="s">
        <v>363</v>
      </c>
      <c r="FQ34" s="26" t="s">
        <v>363</v>
      </c>
      <c r="FR34" s="26" t="s">
        <v>363</v>
      </c>
      <c r="FS34" s="26"/>
      <c r="FT34" s="26"/>
      <c r="FU34" s="26"/>
      <c r="FV34" s="26"/>
      <c r="FW34" s="26"/>
      <c r="FX34" s="26"/>
      <c r="FY34" s="26"/>
      <c r="FZ34" s="26"/>
      <c r="GA34" s="26"/>
      <c r="GB34" s="26"/>
      <c r="GC34" s="26"/>
      <c r="GD34" s="26"/>
      <c r="GE34" s="26"/>
      <c r="GF34" s="26"/>
      <c r="GG34" s="26"/>
      <c r="GH34" s="26"/>
      <c r="GI34" s="26"/>
      <c r="GJ34" s="26"/>
      <c r="GK34" s="26"/>
      <c r="GL34" s="26"/>
      <c r="GM34" s="26"/>
      <c r="GN34" s="26"/>
      <c r="GO34" s="26"/>
      <c r="GP34" s="26"/>
      <c r="GQ34" s="26"/>
      <c r="GR34" s="26"/>
      <c r="GS34" s="26"/>
      <c r="GT34" s="26"/>
      <c r="GU34" s="26"/>
      <c r="GV34" s="26"/>
      <c r="GW34" s="26"/>
      <c r="GX34" s="26"/>
      <c r="GY34" s="26"/>
      <c r="GZ34" s="26"/>
      <c r="HA34" s="26"/>
      <c r="HB34" s="26"/>
      <c r="HC34" s="26"/>
      <c r="HD34" s="26"/>
      <c r="HE34" s="26"/>
      <c r="HF34" s="26"/>
    </row>
    <row r="35" spans="1:214" x14ac:dyDescent="0.2">
      <c r="A35" s="25" t="s">
        <v>384</v>
      </c>
      <c r="C35" s="26" t="s">
        <v>363</v>
      </c>
      <c r="D35" s="26" t="s">
        <v>363</v>
      </c>
      <c r="E35" s="26" t="s">
        <v>363</v>
      </c>
      <c r="F35" s="26" t="s">
        <v>363</v>
      </c>
      <c r="G35" s="26" t="s">
        <v>363</v>
      </c>
      <c r="H35" s="26" t="s">
        <v>363</v>
      </c>
      <c r="I35" s="26" t="s">
        <v>363</v>
      </c>
      <c r="J35" s="26" t="s">
        <v>363</v>
      </c>
      <c r="K35" s="26" t="s">
        <v>363</v>
      </c>
      <c r="L35" s="26" t="s">
        <v>363</v>
      </c>
      <c r="M35" s="26" t="s">
        <v>363</v>
      </c>
      <c r="N35" s="26" t="s">
        <v>363</v>
      </c>
      <c r="O35" s="26" t="s">
        <v>363</v>
      </c>
      <c r="P35" s="26" t="s">
        <v>363</v>
      </c>
      <c r="Q35" s="26" t="s">
        <v>363</v>
      </c>
      <c r="R35" s="26" t="s">
        <v>363</v>
      </c>
      <c r="S35" s="26" t="s">
        <v>363</v>
      </c>
      <c r="T35" s="26" t="s">
        <v>363</v>
      </c>
      <c r="U35" s="26" t="s">
        <v>363</v>
      </c>
      <c r="V35" s="26" t="s">
        <v>363</v>
      </c>
      <c r="W35" s="26" t="s">
        <v>363</v>
      </c>
      <c r="X35" s="26" t="s">
        <v>363</v>
      </c>
      <c r="Y35" s="26" t="s">
        <v>363</v>
      </c>
      <c r="Z35" s="26" t="s">
        <v>363</v>
      </c>
      <c r="AA35" s="26" t="s">
        <v>363</v>
      </c>
      <c r="AB35" s="26" t="s">
        <v>363</v>
      </c>
      <c r="AC35" s="26" t="s">
        <v>363</v>
      </c>
      <c r="AD35" s="26" t="s">
        <v>363</v>
      </c>
      <c r="AE35" s="26" t="s">
        <v>363</v>
      </c>
      <c r="AF35" s="26" t="s">
        <v>363</v>
      </c>
      <c r="AG35" s="26" t="s">
        <v>363</v>
      </c>
      <c r="AH35" s="26" t="s">
        <v>363</v>
      </c>
      <c r="AI35" s="26" t="s">
        <v>363</v>
      </c>
      <c r="AJ35" s="26" t="s">
        <v>363</v>
      </c>
      <c r="AK35" s="26" t="s">
        <v>363</v>
      </c>
      <c r="AL35" s="26" t="s">
        <v>363</v>
      </c>
      <c r="AM35" s="26" t="s">
        <v>363</v>
      </c>
      <c r="AN35" s="26" t="s">
        <v>363</v>
      </c>
      <c r="AO35" s="26" t="s">
        <v>363</v>
      </c>
      <c r="AP35" s="26" t="s">
        <v>363</v>
      </c>
      <c r="AQ35" s="26" t="s">
        <v>363</v>
      </c>
      <c r="AR35" s="26" t="s">
        <v>363</v>
      </c>
      <c r="AS35" s="26" t="s">
        <v>363</v>
      </c>
      <c r="AT35" s="26" t="s">
        <v>363</v>
      </c>
      <c r="AU35" s="26" t="s">
        <v>363</v>
      </c>
      <c r="AV35" s="26" t="s">
        <v>363</v>
      </c>
      <c r="AW35" s="26" t="s">
        <v>363</v>
      </c>
      <c r="AX35" s="26" t="s">
        <v>363</v>
      </c>
      <c r="AY35" s="26" t="s">
        <v>363</v>
      </c>
      <c r="AZ35" s="26" t="s">
        <v>363</v>
      </c>
      <c r="BA35" s="26" t="s">
        <v>363</v>
      </c>
      <c r="BB35" s="26" t="s">
        <v>363</v>
      </c>
      <c r="BC35" s="26" t="s">
        <v>363</v>
      </c>
      <c r="BD35" s="26" t="s">
        <v>363</v>
      </c>
      <c r="BE35" s="26" t="s">
        <v>363</v>
      </c>
      <c r="BF35" s="26" t="s">
        <v>363</v>
      </c>
      <c r="BG35" s="26" t="s">
        <v>363</v>
      </c>
      <c r="BH35" s="26" t="s">
        <v>363</v>
      </c>
      <c r="BI35" s="26" t="s">
        <v>363</v>
      </c>
      <c r="BJ35" s="26" t="s">
        <v>363</v>
      </c>
      <c r="BK35" s="26" t="s">
        <v>363</v>
      </c>
      <c r="BL35" s="26" t="s">
        <v>363</v>
      </c>
      <c r="BM35" s="26" t="s">
        <v>363</v>
      </c>
      <c r="BN35" s="26" t="s">
        <v>363</v>
      </c>
      <c r="BO35" s="26" t="s">
        <v>363</v>
      </c>
      <c r="BP35" s="26" t="s">
        <v>363</v>
      </c>
      <c r="BQ35" s="26" t="s">
        <v>363</v>
      </c>
      <c r="BR35" s="26" t="s">
        <v>363</v>
      </c>
      <c r="BS35" s="26" t="s">
        <v>363</v>
      </c>
      <c r="BT35" s="26" t="s">
        <v>363</v>
      </c>
      <c r="BU35" s="26" t="s">
        <v>363</v>
      </c>
      <c r="BV35" s="26" t="s">
        <v>363</v>
      </c>
      <c r="BW35" s="26" t="s">
        <v>363</v>
      </c>
      <c r="BX35" s="26" t="s">
        <v>363</v>
      </c>
      <c r="BY35" s="26" t="s">
        <v>363</v>
      </c>
      <c r="BZ35" s="26" t="s">
        <v>363</v>
      </c>
      <c r="CA35" s="26" t="s">
        <v>363</v>
      </c>
      <c r="CB35" s="26" t="s">
        <v>363</v>
      </c>
      <c r="CC35" s="26" t="s">
        <v>363</v>
      </c>
      <c r="CD35" s="26" t="s">
        <v>363</v>
      </c>
      <c r="CE35" s="26" t="s">
        <v>363</v>
      </c>
      <c r="CF35" s="26" t="s">
        <v>363</v>
      </c>
      <c r="CG35" s="26" t="s">
        <v>363</v>
      </c>
      <c r="CH35" s="26" t="s">
        <v>363</v>
      </c>
      <c r="CI35" s="26" t="s">
        <v>363</v>
      </c>
      <c r="CJ35" s="26" t="s">
        <v>363</v>
      </c>
      <c r="CK35" s="26" t="s">
        <v>363</v>
      </c>
      <c r="CL35" s="26" t="s">
        <v>363</v>
      </c>
      <c r="CM35" s="26" t="s">
        <v>363</v>
      </c>
      <c r="CN35" s="26" t="s">
        <v>363</v>
      </c>
      <c r="CO35" s="26" t="s">
        <v>363</v>
      </c>
      <c r="CP35" s="26" t="s">
        <v>363</v>
      </c>
      <c r="CQ35" s="26" t="s">
        <v>363</v>
      </c>
      <c r="CR35" s="26" t="s">
        <v>363</v>
      </c>
      <c r="CS35" s="26" t="s">
        <v>363</v>
      </c>
      <c r="CT35" s="26" t="s">
        <v>363</v>
      </c>
      <c r="CU35" s="26" t="s">
        <v>363</v>
      </c>
      <c r="CV35" s="26" t="s">
        <v>363</v>
      </c>
      <c r="CW35" s="26"/>
      <c r="CX35" s="26" t="s">
        <v>363</v>
      </c>
      <c r="CY35" s="26" t="s">
        <v>363</v>
      </c>
      <c r="CZ35" s="26" t="s">
        <v>363</v>
      </c>
      <c r="DA35" s="26" t="s">
        <v>363</v>
      </c>
      <c r="DB35" s="26" t="s">
        <v>363</v>
      </c>
      <c r="DC35" s="26" t="s">
        <v>363</v>
      </c>
      <c r="DD35" s="26" t="s">
        <v>363</v>
      </c>
      <c r="DE35" s="26" t="s">
        <v>363</v>
      </c>
      <c r="DF35" s="26" t="s">
        <v>363</v>
      </c>
      <c r="DG35" s="26" t="s">
        <v>363</v>
      </c>
      <c r="DH35" s="26" t="s">
        <v>363</v>
      </c>
      <c r="DI35" s="26" t="s">
        <v>363</v>
      </c>
      <c r="DJ35" s="26" t="s">
        <v>363</v>
      </c>
      <c r="DK35" s="26" t="s">
        <v>363</v>
      </c>
      <c r="DL35" s="26" t="s">
        <v>363</v>
      </c>
      <c r="DM35" s="26" t="s">
        <v>363</v>
      </c>
      <c r="DN35" s="26" t="s">
        <v>363</v>
      </c>
      <c r="DO35" s="26" t="s">
        <v>363</v>
      </c>
      <c r="DP35" s="26" t="s">
        <v>363</v>
      </c>
      <c r="DQ35" s="26" t="s">
        <v>363</v>
      </c>
      <c r="DR35" s="26">
        <v>0.68559837728194728</v>
      </c>
      <c r="DS35" s="26" t="s">
        <v>363</v>
      </c>
      <c r="DT35" s="26" t="s">
        <v>363</v>
      </c>
      <c r="DU35" s="26" t="s">
        <v>363</v>
      </c>
      <c r="DV35" s="26">
        <v>72.496601721794292</v>
      </c>
      <c r="DW35" s="26" t="s">
        <v>363</v>
      </c>
      <c r="DX35" s="26" t="s">
        <v>363</v>
      </c>
      <c r="DY35" s="26" t="s">
        <v>363</v>
      </c>
      <c r="DZ35" s="26">
        <v>4.4508068714211348E-2</v>
      </c>
      <c r="EA35" s="26">
        <v>5.1581508515815083E-2</v>
      </c>
      <c r="EB35" s="26" t="s">
        <v>363</v>
      </c>
      <c r="EC35" s="26">
        <v>1.0471910112359551E-2</v>
      </c>
      <c r="ED35" s="26">
        <v>1.025E-2</v>
      </c>
      <c r="EE35" s="26">
        <v>1.1363636363636364E-2</v>
      </c>
      <c r="EF35" s="26">
        <v>1.4241935483870968E-2</v>
      </c>
      <c r="EG35" s="26">
        <v>1.4769230769230769E-2</v>
      </c>
      <c r="EH35" s="26">
        <v>1.3714285714285714E-2</v>
      </c>
      <c r="EI35" s="26">
        <v>0.10647482014388489</v>
      </c>
      <c r="EJ35" s="26">
        <v>7.6294298717792572E-2</v>
      </c>
      <c r="EK35" s="26">
        <v>0.25</v>
      </c>
      <c r="EL35" s="26" t="s">
        <v>363</v>
      </c>
      <c r="EM35" s="26" t="s">
        <v>363</v>
      </c>
      <c r="EN35" s="26" t="s">
        <v>363</v>
      </c>
      <c r="EO35" s="26" t="s">
        <v>363</v>
      </c>
      <c r="EP35" s="26" t="s">
        <v>363</v>
      </c>
      <c r="EQ35" s="26" t="s">
        <v>363</v>
      </c>
      <c r="ER35" s="26" t="s">
        <v>363</v>
      </c>
      <c r="ES35" s="26" t="s">
        <v>363</v>
      </c>
      <c r="ET35" s="26" t="s">
        <v>363</v>
      </c>
      <c r="EU35" s="26" t="s">
        <v>363</v>
      </c>
      <c r="EV35" s="26" t="s">
        <v>363</v>
      </c>
      <c r="EW35" s="26" t="s">
        <v>363</v>
      </c>
      <c r="EX35" s="26" t="s">
        <v>363</v>
      </c>
      <c r="EY35" s="26" t="s">
        <v>363</v>
      </c>
      <c r="EZ35" s="26" t="s">
        <v>363</v>
      </c>
      <c r="FA35" s="26" t="s">
        <v>363</v>
      </c>
      <c r="FB35" s="26" t="s">
        <v>363</v>
      </c>
      <c r="FC35" s="26" t="s">
        <v>363</v>
      </c>
      <c r="FD35" s="26" t="s">
        <v>363</v>
      </c>
      <c r="FE35" s="26" t="s">
        <v>363</v>
      </c>
      <c r="FF35" s="26" t="s">
        <v>363</v>
      </c>
      <c r="FG35" s="26" t="s">
        <v>363</v>
      </c>
      <c r="FH35" s="26" t="s">
        <v>363</v>
      </c>
      <c r="FI35" s="26" t="s">
        <v>363</v>
      </c>
      <c r="FJ35" s="26" t="s">
        <v>363</v>
      </c>
      <c r="FK35" s="26" t="s">
        <v>363</v>
      </c>
      <c r="FL35" s="26" t="s">
        <v>363</v>
      </c>
      <c r="FM35" s="26" t="s">
        <v>363</v>
      </c>
      <c r="FN35" s="26" t="s">
        <v>363</v>
      </c>
      <c r="FO35" s="26" t="s">
        <v>363</v>
      </c>
      <c r="FP35" s="26" t="s">
        <v>363</v>
      </c>
      <c r="FQ35" s="26" t="s">
        <v>363</v>
      </c>
      <c r="FR35" s="26" t="s">
        <v>363</v>
      </c>
      <c r="FS35" s="26"/>
      <c r="FT35" s="26"/>
      <c r="FU35" s="26"/>
      <c r="FV35" s="26"/>
      <c r="FW35" s="26"/>
      <c r="FX35" s="26"/>
      <c r="FY35" s="26"/>
      <c r="FZ35" s="26"/>
      <c r="GA35" s="26"/>
      <c r="GB35" s="26"/>
      <c r="GC35" s="26"/>
      <c r="GD35" s="26"/>
      <c r="GE35" s="26"/>
      <c r="GF35" s="26"/>
      <c r="GG35" s="26"/>
      <c r="GH35" s="26"/>
      <c r="GI35" s="26"/>
      <c r="GJ35" s="26"/>
      <c r="GK35" s="26"/>
      <c r="GL35" s="26"/>
      <c r="GM35" s="26"/>
      <c r="GN35" s="26"/>
      <c r="GO35" s="26"/>
      <c r="GP35" s="26"/>
      <c r="GQ35" s="26"/>
      <c r="GR35" s="26"/>
      <c r="GS35" s="26"/>
      <c r="GT35" s="26"/>
      <c r="GU35" s="26"/>
      <c r="GV35" s="26"/>
      <c r="GW35" s="26"/>
      <c r="GX35" s="26"/>
      <c r="GY35" s="26"/>
      <c r="GZ35" s="26"/>
      <c r="HA35" s="26"/>
      <c r="HB35" s="26"/>
      <c r="HC35" s="26"/>
      <c r="HD35" s="26"/>
      <c r="HE35" s="26"/>
      <c r="HF35" s="26"/>
    </row>
    <row r="36" spans="1:214" x14ac:dyDescent="0.2">
      <c r="A36" s="25" t="s">
        <v>385</v>
      </c>
      <c r="C36" s="26">
        <v>47.940074906367045</v>
      </c>
      <c r="D36" s="26">
        <v>25.046963055729492</v>
      </c>
      <c r="E36" s="26" t="s">
        <v>363</v>
      </c>
      <c r="F36" s="26">
        <v>7.3824452702090317</v>
      </c>
      <c r="G36" s="26">
        <v>10.015331440338924</v>
      </c>
      <c r="H36" s="26">
        <v>10.154905335628227</v>
      </c>
      <c r="I36" s="26">
        <v>9.5971948865916339</v>
      </c>
      <c r="J36" s="26">
        <v>45.454545454545453</v>
      </c>
      <c r="K36" s="26">
        <v>49.734338317064129</v>
      </c>
      <c r="L36" s="26">
        <v>71.540880503144649</v>
      </c>
      <c r="M36" s="26" t="s">
        <v>363</v>
      </c>
      <c r="N36" s="26" t="s">
        <v>363</v>
      </c>
      <c r="O36" s="26">
        <v>35.393818544366901</v>
      </c>
      <c r="P36" s="26">
        <v>16.08709218874597</v>
      </c>
      <c r="Q36" s="26">
        <v>43.689320388349515</v>
      </c>
      <c r="R36" s="26">
        <v>35.789878776217051</v>
      </c>
      <c r="S36" s="26">
        <v>36.474164133738604</v>
      </c>
      <c r="T36" s="26">
        <v>28.254972875226041</v>
      </c>
      <c r="U36" s="26" t="s">
        <v>363</v>
      </c>
      <c r="V36" s="26">
        <v>1.1186198307078441</v>
      </c>
      <c r="W36" s="26" t="s">
        <v>363</v>
      </c>
      <c r="X36" s="26">
        <v>7.7660110943015637</v>
      </c>
      <c r="Y36" s="26">
        <v>13.555144793592113</v>
      </c>
      <c r="Z36" s="26" t="s">
        <v>363</v>
      </c>
      <c r="AA36" s="26" t="s">
        <v>363</v>
      </c>
      <c r="AB36" s="26" t="s">
        <v>363</v>
      </c>
      <c r="AC36" s="26" t="s">
        <v>363</v>
      </c>
      <c r="AD36" s="26" t="s">
        <v>363</v>
      </c>
      <c r="AE36" s="26">
        <v>149.06832298136646</v>
      </c>
      <c r="AF36" s="26">
        <v>31.292517006802722</v>
      </c>
      <c r="AG36" s="26">
        <v>14.616321559074299</v>
      </c>
      <c r="AH36" s="26" t="s">
        <v>363</v>
      </c>
      <c r="AI36" s="26" t="s">
        <v>363</v>
      </c>
      <c r="AJ36" s="26">
        <v>2.0935466424745721</v>
      </c>
      <c r="AK36" s="26" t="s">
        <v>363</v>
      </c>
      <c r="AL36" s="26" t="s">
        <v>363</v>
      </c>
      <c r="AM36" s="26">
        <v>7.5855416959571027</v>
      </c>
      <c r="AN36" s="26">
        <v>6.5219715599272963</v>
      </c>
      <c r="AO36" s="26">
        <v>36.418816388467377</v>
      </c>
      <c r="AP36" s="26">
        <v>23.872679045092838</v>
      </c>
      <c r="AQ36" s="26" t="s">
        <v>363</v>
      </c>
      <c r="AR36" s="26" t="s">
        <v>363</v>
      </c>
      <c r="AS36" s="26" t="s">
        <v>363</v>
      </c>
      <c r="AT36" s="26">
        <v>39.862971037060106</v>
      </c>
      <c r="AU36" s="26">
        <v>18.776303010683069</v>
      </c>
      <c r="AV36" s="26" t="s">
        <v>363</v>
      </c>
      <c r="AW36" s="26">
        <v>9.9448437238843397</v>
      </c>
      <c r="AX36" s="26">
        <v>12.504597278411181</v>
      </c>
      <c r="AY36" s="26">
        <v>33.405172413793103</v>
      </c>
      <c r="AZ36" s="26">
        <v>14.718250630782171</v>
      </c>
      <c r="BA36" s="26">
        <v>57.560137457044675</v>
      </c>
      <c r="BB36" s="26">
        <v>14.507370054305664</v>
      </c>
      <c r="BC36" s="26">
        <v>74.597343882452677</v>
      </c>
      <c r="BD36" s="26">
        <v>152.49306930693069</v>
      </c>
      <c r="BE36" s="26" t="s">
        <v>363</v>
      </c>
      <c r="BF36" s="26">
        <v>6.4532141970712331</v>
      </c>
      <c r="BG36" s="26" t="s">
        <v>363</v>
      </c>
      <c r="BH36" s="26">
        <v>59.141564603332228</v>
      </c>
      <c r="BI36" s="26">
        <v>110.65461517392495</v>
      </c>
      <c r="BJ36" s="26">
        <v>345.19956850053939</v>
      </c>
      <c r="BK36" s="26">
        <v>375.66787003610108</v>
      </c>
      <c r="BL36" s="26">
        <v>227.64227642276424</v>
      </c>
      <c r="BM36" s="26" t="s">
        <v>363</v>
      </c>
      <c r="BN36" s="26" t="s">
        <v>363</v>
      </c>
      <c r="BO36" s="26" t="s">
        <v>363</v>
      </c>
      <c r="BP36" s="26" t="s">
        <v>363</v>
      </c>
      <c r="BQ36" s="26">
        <v>90.676644839413783</v>
      </c>
      <c r="BR36" s="26" t="s">
        <v>363</v>
      </c>
      <c r="BS36" s="26">
        <v>91.557744522321144</v>
      </c>
      <c r="BT36" s="26">
        <v>121.55677981162253</v>
      </c>
      <c r="BU36" s="26">
        <v>172.08848405985685</v>
      </c>
      <c r="BV36" s="26">
        <v>143.99125116448621</v>
      </c>
      <c r="BW36" s="26">
        <v>302.22222222222223</v>
      </c>
      <c r="BX36" s="26">
        <v>195.90643274853801</v>
      </c>
      <c r="BY36" s="26">
        <v>167.5977653631285</v>
      </c>
      <c r="BZ36" s="26">
        <v>117.83439490445861</v>
      </c>
      <c r="CA36" s="26">
        <v>120.48192771084338</v>
      </c>
      <c r="CB36" s="26">
        <v>63.649222065063647</v>
      </c>
      <c r="CC36" s="26">
        <v>25.286519919956341</v>
      </c>
      <c r="CD36" s="26">
        <v>112.56544502617801</v>
      </c>
      <c r="CE36" s="26" t="s">
        <v>363</v>
      </c>
      <c r="CF36" s="26">
        <v>176.66666666666666</v>
      </c>
      <c r="CG36" s="26" t="s">
        <v>363</v>
      </c>
      <c r="CH36" s="26">
        <v>44.582043343653254</v>
      </c>
      <c r="CI36" s="26">
        <v>193.38842975206612</v>
      </c>
      <c r="CJ36" s="26">
        <v>206.15310077519379</v>
      </c>
      <c r="CK36" s="26">
        <v>324.99176819229501</v>
      </c>
      <c r="CL36" s="26">
        <v>390.82278481012656</v>
      </c>
      <c r="CM36" s="26">
        <v>373.91304347826087</v>
      </c>
      <c r="CN36" s="26">
        <v>230.70674248578391</v>
      </c>
      <c r="CO36" s="26">
        <v>970.58823529411768</v>
      </c>
      <c r="CP36" s="26">
        <v>1241.3793103448277</v>
      </c>
      <c r="CQ36" s="26">
        <v>758.72093023255809</v>
      </c>
      <c r="CR36" s="26" t="s">
        <v>363</v>
      </c>
      <c r="CS36" s="26">
        <v>232.96244784422808</v>
      </c>
      <c r="CT36" s="26">
        <v>540.54054054054052</v>
      </c>
      <c r="CU36" s="26">
        <v>230.69767441860466</v>
      </c>
      <c r="CV36" s="26" t="s">
        <v>363</v>
      </c>
      <c r="CW36" s="26">
        <v>54.567749846719806</v>
      </c>
      <c r="CY36" s="26" t="s">
        <v>363</v>
      </c>
      <c r="CZ36" s="26" t="s">
        <v>363</v>
      </c>
      <c r="DA36" s="26">
        <v>344.26229508196724</v>
      </c>
      <c r="DB36" s="26" t="s">
        <v>363</v>
      </c>
      <c r="DC36" s="26">
        <v>42.745879369679407</v>
      </c>
      <c r="DD36" s="26">
        <v>40.181691125087355</v>
      </c>
      <c r="DE36" s="26" t="s">
        <v>363</v>
      </c>
      <c r="DF36" s="26" t="s">
        <v>363</v>
      </c>
      <c r="DG36" s="26">
        <v>84.984025559105433</v>
      </c>
      <c r="DH36" s="26">
        <v>72.327044025157235</v>
      </c>
      <c r="DI36" s="26" t="s">
        <v>363</v>
      </c>
      <c r="DJ36" s="26" t="s">
        <v>363</v>
      </c>
      <c r="DK36" s="26">
        <v>5357.1428571428569</v>
      </c>
      <c r="DL36" s="26">
        <v>167.17791411042944</v>
      </c>
      <c r="DM36" s="26">
        <v>170.63870352716873</v>
      </c>
      <c r="DN36" s="26" t="s">
        <v>363</v>
      </c>
      <c r="DO36" s="26" t="s">
        <v>363</v>
      </c>
      <c r="DP36" s="26" t="s">
        <v>363</v>
      </c>
      <c r="DQ36" s="26" t="s">
        <v>363</v>
      </c>
      <c r="DR36" s="26">
        <v>0.64471057884231542</v>
      </c>
      <c r="DS36" s="26" t="s">
        <v>363</v>
      </c>
      <c r="DT36" s="26" t="s">
        <v>363</v>
      </c>
      <c r="DU36" s="26" t="s">
        <v>363</v>
      </c>
      <c r="DV36" s="26">
        <v>72.588832487309645</v>
      </c>
      <c r="DW36" s="26" t="s">
        <v>363</v>
      </c>
      <c r="DX36" s="26">
        <v>185.48387096774192</v>
      </c>
      <c r="DY36" s="26" t="s">
        <v>363</v>
      </c>
      <c r="DZ36" s="26">
        <v>4.3742868010650436E-2</v>
      </c>
      <c r="EA36" s="26">
        <v>5.3415511042629683E-2</v>
      </c>
      <c r="EB36" s="26" t="s">
        <v>363</v>
      </c>
      <c r="EC36" s="26">
        <v>1.0749999999999999E-2</v>
      </c>
      <c r="ED36" s="26">
        <v>1.0862903225806452E-2</v>
      </c>
      <c r="EE36" s="26">
        <v>1.1134228187919462E-2</v>
      </c>
      <c r="EF36" s="26">
        <v>1.4073170731707317E-2</v>
      </c>
      <c r="EG36" s="26">
        <v>1.5083333333333334E-2</v>
      </c>
      <c r="EH36" s="26">
        <v>1.2800000000000001E-2</v>
      </c>
      <c r="EI36" s="26">
        <v>0.1018450184501845</v>
      </c>
      <c r="EJ36" s="26">
        <v>5.4406696208764156E-2</v>
      </c>
      <c r="EK36" s="26">
        <v>0.27722772277227725</v>
      </c>
      <c r="EL36" s="26" t="s">
        <v>363</v>
      </c>
      <c r="EM36" s="26" t="s">
        <v>363</v>
      </c>
      <c r="EN36" s="26" t="s">
        <v>363</v>
      </c>
      <c r="EO36" s="26" t="s">
        <v>363</v>
      </c>
      <c r="EP36" s="26" t="s">
        <v>363</v>
      </c>
      <c r="EQ36" s="26" t="s">
        <v>363</v>
      </c>
      <c r="ER36" s="26">
        <v>47.727088566566728</v>
      </c>
      <c r="ES36" s="26">
        <v>8.5226537691311233</v>
      </c>
      <c r="ET36" s="26">
        <v>8.3550234252993238</v>
      </c>
      <c r="EU36" s="26">
        <v>7.3529411764705879</v>
      </c>
      <c r="EV36" s="26">
        <v>51.090009362043602</v>
      </c>
      <c r="EW36" s="26">
        <v>16.279674700983062</v>
      </c>
      <c r="EX36" s="26">
        <v>18.115304794400085</v>
      </c>
      <c r="EY36" s="26">
        <v>8.2123209595083519</v>
      </c>
      <c r="EZ36" s="26">
        <v>1.3192071646878558</v>
      </c>
      <c r="FA36" s="26">
        <v>19.355262725510169</v>
      </c>
      <c r="FB36" s="26">
        <v>57.638888888888886</v>
      </c>
      <c r="FC36" s="26">
        <v>21.739130434782609</v>
      </c>
      <c r="FD36" s="26">
        <v>51.789794364051787</v>
      </c>
      <c r="FE36" s="26">
        <v>4.3927266583599076</v>
      </c>
      <c r="FF36" s="26">
        <v>14.000225810093712</v>
      </c>
      <c r="FG36" s="26">
        <v>3.8661446928980605</v>
      </c>
      <c r="FH36" s="26" t="s">
        <v>363</v>
      </c>
      <c r="FI36" s="26">
        <v>19.998752027954573</v>
      </c>
      <c r="FJ36" s="26">
        <v>98.639688290382111</v>
      </c>
      <c r="FK36" s="26">
        <v>128.39884601514606</v>
      </c>
      <c r="FL36" s="26">
        <v>103.60635696821515</v>
      </c>
      <c r="FM36" s="26">
        <v>41.060619748848133</v>
      </c>
      <c r="FN36" s="26">
        <v>298.24561403508773</v>
      </c>
      <c r="FO36" s="26">
        <v>353.40314136125653</v>
      </c>
      <c r="FP36" s="26">
        <v>103.9510818438382</v>
      </c>
      <c r="FQ36" s="26">
        <v>255.07998270644185</v>
      </c>
      <c r="FR36" s="26" t="s">
        <v>363</v>
      </c>
      <c r="FS36" s="26"/>
      <c r="FT36" s="26"/>
      <c r="FU36" s="26"/>
      <c r="FV36" s="26"/>
      <c r="FW36" s="26"/>
      <c r="FX36" s="26"/>
      <c r="FY36" s="26"/>
      <c r="FZ36" s="26"/>
      <c r="GA36" s="26"/>
      <c r="GB36" s="26"/>
      <c r="GC36" s="26"/>
      <c r="GD36" s="26"/>
      <c r="GE36" s="26"/>
      <c r="GF36" s="26"/>
      <c r="GG36" s="26"/>
      <c r="GH36" s="26"/>
      <c r="GI36" s="26"/>
      <c r="GJ36" s="26"/>
      <c r="GK36" s="26"/>
      <c r="GL36" s="26"/>
      <c r="GM36" s="26"/>
      <c r="GN36" s="26"/>
      <c r="GO36" s="26"/>
      <c r="GP36" s="26"/>
      <c r="GQ36" s="26"/>
      <c r="GR36" s="26"/>
      <c r="GS36" s="26"/>
      <c r="GT36" s="26"/>
      <c r="GU36" s="26"/>
      <c r="GV36" s="26"/>
      <c r="GW36" s="26"/>
      <c r="GX36" s="26"/>
      <c r="GY36" s="26"/>
      <c r="GZ36" s="26"/>
      <c r="HA36" s="26"/>
      <c r="HB36" s="26"/>
      <c r="HC36" s="26"/>
      <c r="HD36" s="26"/>
      <c r="HE36" s="26"/>
      <c r="HF36" s="26"/>
    </row>
    <row r="37" spans="1:214" x14ac:dyDescent="0.2">
      <c r="A37" s="25" t="s">
        <v>386</v>
      </c>
      <c r="C37" s="26">
        <v>46.321120047661601</v>
      </c>
      <c r="D37" s="26">
        <v>31.565656565656564</v>
      </c>
      <c r="E37" s="26">
        <v>47.61904761904762</v>
      </c>
      <c r="F37" s="26">
        <v>6.9985908877407237</v>
      </c>
      <c r="G37" s="26">
        <v>10.585101642720639</v>
      </c>
      <c r="H37" s="26">
        <v>10.964912280701755</v>
      </c>
      <c r="I37" s="26">
        <v>9.6973443931145429</v>
      </c>
      <c r="J37" s="26">
        <v>52.921719955898567</v>
      </c>
      <c r="K37" s="26">
        <v>68.285912560721727</v>
      </c>
      <c r="L37" s="26">
        <v>80.840743734842363</v>
      </c>
      <c r="M37" s="26">
        <v>104.6875</v>
      </c>
      <c r="N37" s="26">
        <v>39.298990971853428</v>
      </c>
      <c r="O37" s="26" t="s">
        <v>363</v>
      </c>
      <c r="P37" s="26">
        <v>16.571092897703434</v>
      </c>
      <c r="Q37" s="26">
        <v>40.675844806007511</v>
      </c>
      <c r="R37" s="26">
        <v>35.672377376202768</v>
      </c>
      <c r="S37" s="26">
        <v>44.88330341113106</v>
      </c>
      <c r="T37" s="26">
        <v>28.641370869033047</v>
      </c>
      <c r="U37" s="26">
        <v>3.9665050683120318</v>
      </c>
      <c r="V37" s="26">
        <v>1.2162767705362287</v>
      </c>
      <c r="W37" s="26">
        <v>1.3816698467004409</v>
      </c>
      <c r="X37" s="26">
        <v>7.6641500800732096</v>
      </c>
      <c r="Y37" s="26">
        <v>11.038961038961039</v>
      </c>
      <c r="Z37" s="26" t="s">
        <v>363</v>
      </c>
      <c r="AA37" s="26" t="s">
        <v>363</v>
      </c>
      <c r="AB37" s="26" t="s">
        <v>363</v>
      </c>
      <c r="AC37" s="26" t="s">
        <v>363</v>
      </c>
      <c r="AD37" s="26" t="s">
        <v>363</v>
      </c>
      <c r="AE37" s="26">
        <v>154.51388888888889</v>
      </c>
      <c r="AF37" s="26">
        <v>35.087719298245617</v>
      </c>
      <c r="AG37" s="26">
        <v>12.830188679245284</v>
      </c>
      <c r="AH37" s="26">
        <v>179.6875</v>
      </c>
      <c r="AI37" s="26">
        <v>202.98507462686567</v>
      </c>
      <c r="AJ37" s="26">
        <v>2.0787859889824341</v>
      </c>
      <c r="AK37" s="26" t="s">
        <v>363</v>
      </c>
      <c r="AL37" s="26" t="s">
        <v>363</v>
      </c>
      <c r="AM37" s="26">
        <v>7.3276391790586208</v>
      </c>
      <c r="AN37" s="26" t="s">
        <v>363</v>
      </c>
      <c r="AO37" s="26">
        <v>39.416058394160586</v>
      </c>
      <c r="AP37" s="26">
        <v>27.004909983633389</v>
      </c>
      <c r="AQ37" s="26" t="s">
        <v>363</v>
      </c>
      <c r="AR37" s="26" t="s">
        <v>363</v>
      </c>
      <c r="AS37" s="26" t="s">
        <v>363</v>
      </c>
      <c r="AT37" s="26">
        <v>36.593947923997185</v>
      </c>
      <c r="AU37" s="26" t="s">
        <v>363</v>
      </c>
      <c r="AV37" s="26" t="s">
        <v>363</v>
      </c>
      <c r="AW37" s="26">
        <v>11.066027296200664</v>
      </c>
      <c r="AX37" s="26">
        <v>12.009290205630771</v>
      </c>
      <c r="AY37" s="26">
        <v>46.737766624843161</v>
      </c>
      <c r="AZ37" s="26">
        <v>16.944365998305564</v>
      </c>
      <c r="BA37" s="26">
        <v>64.397424103035874</v>
      </c>
      <c r="BB37" s="26">
        <v>21.654012461271321</v>
      </c>
      <c r="BC37" s="26">
        <v>71.905907511360596</v>
      </c>
      <c r="BD37" s="26">
        <v>201.16054158607349</v>
      </c>
      <c r="BE37" s="26">
        <v>2.9633989149400897</v>
      </c>
      <c r="BF37" s="26">
        <v>7.2202166064981945</v>
      </c>
      <c r="BG37" s="26" t="s">
        <v>363</v>
      </c>
      <c r="BH37" s="26">
        <v>61.119921922654626</v>
      </c>
      <c r="BI37" s="26">
        <v>106.76075574778056</v>
      </c>
      <c r="BJ37" s="26">
        <v>379.55182072829132</v>
      </c>
      <c r="BK37" s="26">
        <v>333.33333333333331</v>
      </c>
      <c r="BL37" s="26">
        <v>345.79439252336448</v>
      </c>
      <c r="BM37" s="26" t="s">
        <v>363</v>
      </c>
      <c r="BN37" s="26" t="s">
        <v>363</v>
      </c>
      <c r="BO37" s="26" t="s">
        <v>363</v>
      </c>
      <c r="BP37" s="26" t="s">
        <v>363</v>
      </c>
      <c r="BQ37" s="26">
        <v>97.425350396099944</v>
      </c>
      <c r="BR37" s="26" t="s">
        <v>363</v>
      </c>
      <c r="BS37" s="26">
        <v>89.088589338214902</v>
      </c>
      <c r="BT37" s="26">
        <v>125.39030402629416</v>
      </c>
      <c r="BU37" s="26">
        <v>188.75638841567292</v>
      </c>
      <c r="BV37" s="26">
        <v>154.20307787487434</v>
      </c>
      <c r="BW37" s="26">
        <v>382.83828382838283</v>
      </c>
      <c r="BX37" s="26">
        <v>216.91678035470667</v>
      </c>
      <c r="BY37" s="26">
        <v>153.50877192982455</v>
      </c>
      <c r="BZ37" s="26">
        <v>181.81818181818181</v>
      </c>
      <c r="CA37" s="26">
        <v>107.63209393346379</v>
      </c>
      <c r="CB37" s="26">
        <v>70.217917675544797</v>
      </c>
      <c r="CC37" s="26">
        <v>25.991024682124159</v>
      </c>
      <c r="CD37" s="26">
        <v>111.39240506329114</v>
      </c>
      <c r="CE37" s="26" t="s">
        <v>363</v>
      </c>
      <c r="CF37" s="26">
        <v>152.7377521613833</v>
      </c>
      <c r="CG37" s="26">
        <v>167.02819956616051</v>
      </c>
      <c r="CH37" s="26">
        <v>41.511594617807042</v>
      </c>
      <c r="CI37" s="26">
        <v>199.73544973544975</v>
      </c>
      <c r="CJ37" s="26">
        <v>194.58987783595114</v>
      </c>
      <c r="CK37" s="26">
        <v>392.70283245319251</v>
      </c>
      <c r="CL37" s="26">
        <v>440.43887147335425</v>
      </c>
      <c r="CM37" s="26">
        <v>329.63988919667588</v>
      </c>
      <c r="CN37" s="26">
        <v>230.76923076923077</v>
      </c>
      <c r="CO37" s="26">
        <v>671.42857142857144</v>
      </c>
      <c r="CP37" s="26">
        <v>1675.2136752136753</v>
      </c>
      <c r="CQ37" s="26">
        <v>856.30498533724335</v>
      </c>
      <c r="CR37" s="26">
        <v>292.27323628219483</v>
      </c>
      <c r="CS37" s="26">
        <v>281.52718858465096</v>
      </c>
      <c r="CT37" s="26">
        <v>750</v>
      </c>
      <c r="CU37" s="26">
        <v>266.21160409556313</v>
      </c>
      <c r="CV37" s="26" t="s">
        <v>363</v>
      </c>
      <c r="CW37" s="26">
        <v>56.96689761354888</v>
      </c>
      <c r="CY37" s="26" t="s">
        <v>363</v>
      </c>
      <c r="CZ37" s="26">
        <v>193.41563786008231</v>
      </c>
      <c r="DA37" s="26">
        <v>400</v>
      </c>
      <c r="DB37" s="26">
        <v>63.818280151433207</v>
      </c>
      <c r="DC37" s="26">
        <v>46.266233766233768</v>
      </c>
      <c r="DD37" s="26">
        <v>36.935076852489104</v>
      </c>
      <c r="DE37" s="26">
        <v>57.142857142857146</v>
      </c>
      <c r="DF37" s="26" t="s">
        <v>363</v>
      </c>
      <c r="DG37" s="26">
        <v>105.4083885209713</v>
      </c>
      <c r="DH37" s="26">
        <v>74.889867841409696</v>
      </c>
      <c r="DI37" s="26">
        <v>195.65217391304347</v>
      </c>
      <c r="DJ37" s="26">
        <v>87.227414330218068</v>
      </c>
      <c r="DK37" s="26" t="s">
        <v>363</v>
      </c>
      <c r="DL37" s="26" t="s">
        <v>363</v>
      </c>
      <c r="DM37" s="26" t="s">
        <v>363</v>
      </c>
      <c r="DN37" s="26">
        <v>116.3895486935867</v>
      </c>
      <c r="DO37" s="26" t="s">
        <v>363</v>
      </c>
      <c r="DP37" s="26" t="s">
        <v>363</v>
      </c>
      <c r="DQ37" s="26" t="s">
        <v>363</v>
      </c>
      <c r="DR37" s="26">
        <v>0.7183908045977011</v>
      </c>
      <c r="DS37" s="26" t="s">
        <v>363</v>
      </c>
      <c r="DT37" s="26" t="s">
        <v>363</v>
      </c>
      <c r="DU37" s="26" t="s">
        <v>363</v>
      </c>
      <c r="DV37" s="26">
        <v>78.397212543554005</v>
      </c>
      <c r="DW37" s="26" t="s">
        <v>363</v>
      </c>
      <c r="DX37" s="26">
        <v>206.06060606060606</v>
      </c>
      <c r="DY37" s="26" t="s">
        <v>363</v>
      </c>
      <c r="DZ37" s="26">
        <v>3.9737310774710599E-2</v>
      </c>
      <c r="EA37" s="26">
        <v>4.9422336328626443E-2</v>
      </c>
      <c r="EB37" s="26" t="s">
        <v>363</v>
      </c>
      <c r="EC37" s="26">
        <v>1.0797752808988764E-2</v>
      </c>
      <c r="ED37" s="26">
        <v>1.0825688073394495E-2</v>
      </c>
      <c r="EE37" s="26">
        <v>1.1151785714285715E-2</v>
      </c>
      <c r="EF37" s="26">
        <v>1.3770270270270271E-2</v>
      </c>
      <c r="EG37" s="26">
        <v>1.4E-2</v>
      </c>
      <c r="EH37" s="26" t="s">
        <v>363</v>
      </c>
      <c r="EI37" s="26">
        <v>0.10527960012496095</v>
      </c>
      <c r="EJ37" s="26">
        <v>5.6724937566892612E-2</v>
      </c>
      <c r="EK37" s="26">
        <v>0.28455284552845528</v>
      </c>
      <c r="EL37" s="26" t="s">
        <v>363</v>
      </c>
      <c r="EM37" s="26" t="s">
        <v>363</v>
      </c>
      <c r="EN37" s="26" t="s">
        <v>363</v>
      </c>
      <c r="EO37" s="26" t="s">
        <v>363</v>
      </c>
      <c r="EP37" s="26" t="s">
        <v>363</v>
      </c>
      <c r="EQ37" s="26" t="s">
        <v>363</v>
      </c>
      <c r="ER37" s="26" t="s">
        <v>363</v>
      </c>
      <c r="ES37" s="26" t="s">
        <v>363</v>
      </c>
      <c r="ET37" s="26" t="s">
        <v>363</v>
      </c>
      <c r="EU37" s="26" t="s">
        <v>363</v>
      </c>
      <c r="EV37" s="26" t="s">
        <v>363</v>
      </c>
      <c r="EW37" s="26" t="s">
        <v>363</v>
      </c>
      <c r="EX37" s="26" t="s">
        <v>363</v>
      </c>
      <c r="EY37" s="26" t="s">
        <v>363</v>
      </c>
      <c r="EZ37" s="26" t="s">
        <v>363</v>
      </c>
      <c r="FA37" s="26" t="s">
        <v>363</v>
      </c>
      <c r="FB37" s="26" t="s">
        <v>363</v>
      </c>
      <c r="FC37" s="26" t="s">
        <v>363</v>
      </c>
      <c r="FD37" s="26" t="s">
        <v>363</v>
      </c>
      <c r="FE37" s="26" t="s">
        <v>363</v>
      </c>
      <c r="FF37" s="26" t="s">
        <v>363</v>
      </c>
      <c r="FG37" s="26" t="s">
        <v>363</v>
      </c>
      <c r="FH37" s="26" t="s">
        <v>363</v>
      </c>
      <c r="FI37" s="26" t="s">
        <v>363</v>
      </c>
      <c r="FJ37" s="26" t="s">
        <v>363</v>
      </c>
      <c r="FK37" s="26" t="s">
        <v>363</v>
      </c>
      <c r="FL37" s="26" t="s">
        <v>363</v>
      </c>
      <c r="FM37" s="26" t="s">
        <v>363</v>
      </c>
      <c r="FN37" s="26" t="s">
        <v>363</v>
      </c>
      <c r="FO37" s="26" t="s">
        <v>363</v>
      </c>
      <c r="FP37" s="26" t="s">
        <v>363</v>
      </c>
      <c r="FQ37" s="26" t="s">
        <v>363</v>
      </c>
      <c r="FR37" s="26" t="s">
        <v>363</v>
      </c>
      <c r="FS37" s="26"/>
      <c r="FT37" s="26"/>
      <c r="FU37" s="26"/>
      <c r="FV37" s="26"/>
      <c r="FW37" s="26"/>
      <c r="FX37" s="26"/>
      <c r="FY37" s="26"/>
      <c r="FZ37" s="26"/>
      <c r="GA37" s="26"/>
      <c r="GB37" s="26"/>
      <c r="GC37" s="26"/>
      <c r="GD37" s="26"/>
      <c r="GE37" s="26"/>
      <c r="GF37" s="26"/>
      <c r="GG37" s="26"/>
      <c r="GH37" s="26"/>
      <c r="GI37" s="26"/>
      <c r="GJ37" s="26"/>
      <c r="GK37" s="26"/>
      <c r="GL37" s="26"/>
      <c r="GM37" s="26"/>
      <c r="GN37" s="26"/>
      <c r="GO37" s="26"/>
      <c r="GP37" s="26"/>
      <c r="GQ37" s="26"/>
      <c r="GR37" s="26"/>
      <c r="GS37" s="26"/>
      <c r="GT37" s="26"/>
      <c r="GU37" s="26"/>
      <c r="GV37" s="26"/>
      <c r="GW37" s="26"/>
      <c r="GX37" s="26"/>
      <c r="GY37" s="26"/>
      <c r="GZ37" s="26"/>
      <c r="HA37" s="26"/>
      <c r="HB37" s="26"/>
      <c r="HC37" s="26"/>
      <c r="HD37" s="26"/>
      <c r="HE37" s="26"/>
      <c r="HF37" s="26"/>
    </row>
    <row r="38" spans="1:214" x14ac:dyDescent="0.2">
      <c r="A38" s="25" t="s">
        <v>387</v>
      </c>
      <c r="C38" s="26" t="s">
        <v>363</v>
      </c>
      <c r="D38" s="26" t="s">
        <v>363</v>
      </c>
      <c r="E38" s="26" t="s">
        <v>363</v>
      </c>
      <c r="F38" s="26" t="s">
        <v>363</v>
      </c>
      <c r="G38" s="26" t="s">
        <v>363</v>
      </c>
      <c r="H38" s="26" t="s">
        <v>363</v>
      </c>
      <c r="I38" s="26" t="s">
        <v>363</v>
      </c>
      <c r="J38" s="26" t="s">
        <v>363</v>
      </c>
      <c r="K38" s="26" t="s">
        <v>363</v>
      </c>
      <c r="L38" s="26" t="s">
        <v>363</v>
      </c>
      <c r="M38" s="26" t="s">
        <v>363</v>
      </c>
      <c r="N38" s="26" t="s">
        <v>363</v>
      </c>
      <c r="O38" s="26" t="s">
        <v>363</v>
      </c>
      <c r="P38" s="26" t="s">
        <v>363</v>
      </c>
      <c r="Q38" s="26" t="s">
        <v>363</v>
      </c>
      <c r="R38" s="26" t="s">
        <v>363</v>
      </c>
      <c r="S38" s="26" t="s">
        <v>363</v>
      </c>
      <c r="T38" s="26" t="s">
        <v>363</v>
      </c>
      <c r="U38" s="26" t="s">
        <v>363</v>
      </c>
      <c r="V38" s="26" t="s">
        <v>363</v>
      </c>
      <c r="W38" s="26" t="s">
        <v>363</v>
      </c>
      <c r="X38" s="26" t="s">
        <v>363</v>
      </c>
      <c r="Y38" s="26" t="s">
        <v>363</v>
      </c>
      <c r="Z38" s="26" t="s">
        <v>363</v>
      </c>
      <c r="AA38" s="26" t="s">
        <v>363</v>
      </c>
      <c r="AB38" s="26" t="s">
        <v>363</v>
      </c>
      <c r="AC38" s="26" t="s">
        <v>363</v>
      </c>
      <c r="AD38" s="26" t="s">
        <v>363</v>
      </c>
      <c r="AE38" s="26" t="s">
        <v>363</v>
      </c>
      <c r="AF38" s="26" t="s">
        <v>363</v>
      </c>
      <c r="AG38" s="26" t="s">
        <v>363</v>
      </c>
      <c r="AH38" s="26" t="s">
        <v>363</v>
      </c>
      <c r="AI38" s="26" t="s">
        <v>363</v>
      </c>
      <c r="AJ38" s="26" t="s">
        <v>363</v>
      </c>
      <c r="AK38" s="26" t="s">
        <v>363</v>
      </c>
      <c r="AL38" s="26" t="s">
        <v>363</v>
      </c>
      <c r="AM38" s="26" t="s">
        <v>363</v>
      </c>
      <c r="AN38" s="26" t="s">
        <v>363</v>
      </c>
      <c r="AO38" s="26" t="s">
        <v>363</v>
      </c>
      <c r="AP38" s="26" t="s">
        <v>363</v>
      </c>
      <c r="AQ38" s="26" t="s">
        <v>363</v>
      </c>
      <c r="AR38" s="26" t="s">
        <v>363</v>
      </c>
      <c r="AS38" s="26" t="s">
        <v>363</v>
      </c>
      <c r="AT38" s="26" t="s">
        <v>363</v>
      </c>
      <c r="AU38" s="26" t="s">
        <v>363</v>
      </c>
      <c r="AV38" s="26" t="s">
        <v>363</v>
      </c>
      <c r="AW38" s="26" t="s">
        <v>363</v>
      </c>
      <c r="AX38" s="26" t="s">
        <v>363</v>
      </c>
      <c r="AY38" s="26" t="s">
        <v>363</v>
      </c>
      <c r="AZ38" s="26" t="s">
        <v>363</v>
      </c>
      <c r="BA38" s="26" t="s">
        <v>363</v>
      </c>
      <c r="BB38" s="26" t="s">
        <v>363</v>
      </c>
      <c r="BC38" s="26" t="s">
        <v>363</v>
      </c>
      <c r="BD38" s="26" t="s">
        <v>363</v>
      </c>
      <c r="BE38" s="26" t="s">
        <v>363</v>
      </c>
      <c r="BF38" s="26" t="s">
        <v>363</v>
      </c>
      <c r="BG38" s="26" t="s">
        <v>363</v>
      </c>
      <c r="BH38" s="26" t="s">
        <v>363</v>
      </c>
      <c r="BI38" s="26" t="s">
        <v>363</v>
      </c>
      <c r="BJ38" s="26" t="s">
        <v>363</v>
      </c>
      <c r="BK38" s="26" t="s">
        <v>363</v>
      </c>
      <c r="BL38" s="26" t="s">
        <v>363</v>
      </c>
      <c r="BM38" s="26" t="s">
        <v>363</v>
      </c>
      <c r="BN38" s="26" t="s">
        <v>363</v>
      </c>
      <c r="BO38" s="26" t="s">
        <v>363</v>
      </c>
      <c r="BP38" s="26" t="s">
        <v>363</v>
      </c>
      <c r="BQ38" s="26" t="s">
        <v>363</v>
      </c>
      <c r="BR38" s="26" t="s">
        <v>363</v>
      </c>
      <c r="BS38" s="26" t="s">
        <v>363</v>
      </c>
      <c r="BT38" s="26" t="s">
        <v>363</v>
      </c>
      <c r="BU38" s="26" t="s">
        <v>363</v>
      </c>
      <c r="BV38" s="26" t="s">
        <v>363</v>
      </c>
      <c r="BW38" s="26" t="s">
        <v>363</v>
      </c>
      <c r="BX38" s="26" t="s">
        <v>363</v>
      </c>
      <c r="BY38" s="26" t="s">
        <v>363</v>
      </c>
      <c r="BZ38" s="26" t="s">
        <v>363</v>
      </c>
      <c r="CA38" s="26" t="s">
        <v>363</v>
      </c>
      <c r="CB38" s="26" t="s">
        <v>363</v>
      </c>
      <c r="CC38" s="26" t="s">
        <v>363</v>
      </c>
      <c r="CD38" s="26" t="s">
        <v>363</v>
      </c>
      <c r="CE38" s="26" t="s">
        <v>363</v>
      </c>
      <c r="CF38" s="26" t="s">
        <v>363</v>
      </c>
      <c r="CG38" s="26" t="s">
        <v>363</v>
      </c>
      <c r="CH38" s="26" t="s">
        <v>363</v>
      </c>
      <c r="CI38" s="26" t="s">
        <v>363</v>
      </c>
      <c r="CJ38" s="26" t="s">
        <v>363</v>
      </c>
      <c r="CK38" s="26" t="s">
        <v>363</v>
      </c>
      <c r="CL38" s="26" t="s">
        <v>363</v>
      </c>
      <c r="CM38" s="26" t="s">
        <v>363</v>
      </c>
      <c r="CN38" s="26" t="s">
        <v>363</v>
      </c>
      <c r="CO38" s="26" t="s">
        <v>363</v>
      </c>
      <c r="CP38" s="26" t="s">
        <v>363</v>
      </c>
      <c r="CQ38" s="26" t="s">
        <v>363</v>
      </c>
      <c r="CR38" s="26" t="s">
        <v>363</v>
      </c>
      <c r="CS38" s="26" t="s">
        <v>363</v>
      </c>
      <c r="CT38" s="26" t="s">
        <v>363</v>
      </c>
      <c r="CU38" s="26" t="s">
        <v>363</v>
      </c>
      <c r="CV38" s="26" t="s">
        <v>363</v>
      </c>
      <c r="CW38" s="26"/>
      <c r="CX38" s="26" t="s">
        <v>363</v>
      </c>
      <c r="CY38" s="26" t="s">
        <v>363</v>
      </c>
      <c r="CZ38" s="26" t="s">
        <v>363</v>
      </c>
      <c r="DA38" s="26" t="s">
        <v>363</v>
      </c>
      <c r="DB38" s="26" t="s">
        <v>363</v>
      </c>
      <c r="DC38" s="26" t="s">
        <v>363</v>
      </c>
      <c r="DD38" s="26" t="s">
        <v>363</v>
      </c>
      <c r="DE38" s="26" t="s">
        <v>363</v>
      </c>
      <c r="DF38" s="26" t="s">
        <v>363</v>
      </c>
      <c r="DG38" s="26" t="s">
        <v>363</v>
      </c>
      <c r="DH38" s="26" t="s">
        <v>363</v>
      </c>
      <c r="DI38" s="26" t="s">
        <v>363</v>
      </c>
      <c r="DJ38" s="26" t="s">
        <v>363</v>
      </c>
      <c r="DK38" s="26" t="s">
        <v>363</v>
      </c>
      <c r="DL38" s="26" t="s">
        <v>363</v>
      </c>
      <c r="DM38" s="26" t="s">
        <v>363</v>
      </c>
      <c r="DN38" s="26" t="s">
        <v>363</v>
      </c>
      <c r="DO38" s="26" t="s">
        <v>363</v>
      </c>
      <c r="DP38" s="26" t="s">
        <v>363</v>
      </c>
      <c r="DQ38" s="26" t="s">
        <v>363</v>
      </c>
      <c r="DR38" s="26">
        <v>0.80270270270270272</v>
      </c>
      <c r="DS38" s="26" t="s">
        <v>363</v>
      </c>
      <c r="DT38" s="26" t="s">
        <v>363</v>
      </c>
      <c r="DU38" s="26" t="s">
        <v>363</v>
      </c>
      <c r="DV38" s="26">
        <v>86.206896551724142</v>
      </c>
      <c r="DW38" s="26" t="s">
        <v>363</v>
      </c>
      <c r="DX38" s="26">
        <v>205.32319391634982</v>
      </c>
      <c r="DY38" s="26" t="s">
        <v>363</v>
      </c>
      <c r="DZ38" s="26">
        <v>4.1687849517031014E-2</v>
      </c>
      <c r="EA38" s="26">
        <v>5.0389610389610387E-2</v>
      </c>
      <c r="EB38" s="26" t="s">
        <v>363</v>
      </c>
      <c r="EC38" s="26">
        <v>1.0737500000000001E-2</v>
      </c>
      <c r="ED38" s="26">
        <v>1.0887931034482759E-2</v>
      </c>
      <c r="EE38" s="26">
        <v>1.1434343434343434E-2</v>
      </c>
      <c r="EF38" s="26">
        <v>1.4310344827586207E-2</v>
      </c>
      <c r="EG38" s="26">
        <v>1.4666666666666666E-2</v>
      </c>
      <c r="EH38" s="26">
        <v>1.3811624784193363E-2</v>
      </c>
      <c r="EI38" s="26">
        <v>0.11388888888888889</v>
      </c>
      <c r="EJ38" s="26">
        <v>7.8999341672152737E-2</v>
      </c>
      <c r="EK38" s="26">
        <v>0.36363636363636365</v>
      </c>
      <c r="EL38" s="26" t="s">
        <v>363</v>
      </c>
      <c r="EM38" s="26" t="s">
        <v>363</v>
      </c>
      <c r="EN38" s="26" t="s">
        <v>363</v>
      </c>
      <c r="EO38" s="26" t="s">
        <v>363</v>
      </c>
      <c r="EP38" s="26" t="s">
        <v>363</v>
      </c>
      <c r="EQ38" s="26" t="s">
        <v>363</v>
      </c>
      <c r="ER38" s="26" t="s">
        <v>363</v>
      </c>
      <c r="ES38" s="26" t="s">
        <v>363</v>
      </c>
      <c r="ET38" s="26" t="s">
        <v>363</v>
      </c>
      <c r="EU38" s="26" t="s">
        <v>363</v>
      </c>
      <c r="EV38" s="26" t="s">
        <v>363</v>
      </c>
      <c r="EW38" s="26" t="s">
        <v>363</v>
      </c>
      <c r="EX38" s="26" t="s">
        <v>363</v>
      </c>
      <c r="EY38" s="26" t="s">
        <v>363</v>
      </c>
      <c r="EZ38" s="26" t="s">
        <v>363</v>
      </c>
      <c r="FA38" s="26" t="s">
        <v>363</v>
      </c>
      <c r="FB38" s="26" t="s">
        <v>363</v>
      </c>
      <c r="FC38" s="26" t="s">
        <v>363</v>
      </c>
      <c r="FD38" s="26" t="s">
        <v>363</v>
      </c>
      <c r="FE38" s="26" t="s">
        <v>363</v>
      </c>
      <c r="FF38" s="26" t="s">
        <v>363</v>
      </c>
      <c r="FG38" s="26" t="s">
        <v>363</v>
      </c>
      <c r="FH38" s="26" t="s">
        <v>363</v>
      </c>
      <c r="FI38" s="26" t="s">
        <v>363</v>
      </c>
      <c r="FJ38" s="26" t="s">
        <v>363</v>
      </c>
      <c r="FK38" s="26" t="s">
        <v>363</v>
      </c>
      <c r="FL38" s="26" t="s">
        <v>363</v>
      </c>
      <c r="FM38" s="26" t="s">
        <v>363</v>
      </c>
      <c r="FN38" s="26" t="s">
        <v>363</v>
      </c>
      <c r="FO38" s="26" t="s">
        <v>363</v>
      </c>
      <c r="FP38" s="26" t="s">
        <v>363</v>
      </c>
      <c r="FQ38" s="26" t="s">
        <v>363</v>
      </c>
      <c r="FR38" s="26" t="s">
        <v>363</v>
      </c>
      <c r="FS38" s="26"/>
      <c r="FT38" s="26"/>
      <c r="FU38" s="26"/>
      <c r="FV38" s="26"/>
      <c r="FW38" s="26"/>
      <c r="FX38" s="26"/>
      <c r="FY38" s="26"/>
      <c r="FZ38" s="26"/>
      <c r="GA38" s="26"/>
      <c r="GB38" s="26"/>
      <c r="GC38" s="26"/>
      <c r="GD38" s="26"/>
      <c r="GE38" s="26"/>
      <c r="GF38" s="26"/>
      <c r="GG38" s="26"/>
      <c r="GH38" s="26"/>
      <c r="GI38" s="26"/>
      <c r="GJ38" s="26"/>
      <c r="GK38" s="26"/>
      <c r="GL38" s="26"/>
      <c r="GM38" s="26"/>
      <c r="GN38" s="26"/>
      <c r="GO38" s="26"/>
      <c r="GP38" s="26"/>
      <c r="GQ38" s="26"/>
      <c r="GR38" s="26"/>
      <c r="GS38" s="26"/>
      <c r="GT38" s="26"/>
      <c r="GU38" s="26"/>
      <c r="GV38" s="26"/>
      <c r="GW38" s="26"/>
      <c r="GX38" s="26"/>
      <c r="GY38" s="26"/>
      <c r="GZ38" s="26"/>
      <c r="HA38" s="26"/>
      <c r="HB38" s="26"/>
      <c r="HC38" s="26"/>
      <c r="HD38" s="26"/>
      <c r="HE38" s="26"/>
      <c r="HF38" s="26"/>
    </row>
  </sheetData>
  <pageMargins left="0.75" right="0.75" top="1" bottom="1" header="0.5" footer="0.5"/>
  <pageSetup paperSize="9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Z62"/>
  <sheetViews>
    <sheetView zoomScale="80" zoomScaleNormal="80" zoomScaleSheetLayoutView="110" workbookViewId="0">
      <pane xSplit="2" ySplit="8" topLeftCell="C9" activePane="bottomRight" state="frozenSplit"/>
      <selection activeCell="C34" sqref="C34"/>
      <selection pane="topRight" activeCell="C34" sqref="C34"/>
      <selection pane="bottomLeft" activeCell="C34" sqref="C34"/>
      <selection pane="bottomRight" activeCell="F18" sqref="F18"/>
    </sheetView>
  </sheetViews>
  <sheetFormatPr defaultColWidth="9.6640625" defaultRowHeight="12" x14ac:dyDescent="0.2"/>
  <cols>
    <col min="1" max="1" width="6.44140625" style="11" customWidth="1"/>
    <col min="2" max="2" width="13.88671875" style="10" customWidth="1"/>
    <col min="3" max="83" width="18.21875" style="10" customWidth="1"/>
    <col min="84" max="210" width="9.6640625" style="10"/>
    <col min="211" max="211" width="6.44140625" style="10" customWidth="1"/>
    <col min="212" max="212" width="13.88671875" style="10" customWidth="1"/>
    <col min="213" max="213" width="11.88671875" style="10" customWidth="1"/>
    <col min="214" max="216" width="9.6640625" style="10"/>
    <col min="217" max="217" width="15.44140625" style="10" customWidth="1"/>
    <col min="218" max="218" width="16.21875" style="10" customWidth="1"/>
    <col min="219" max="230" width="9.6640625" style="10"/>
    <col min="231" max="231" width="12" style="10" customWidth="1"/>
    <col min="232" max="232" width="12.77734375" style="10" customWidth="1"/>
    <col min="233" max="233" width="11.109375" style="10" customWidth="1"/>
    <col min="234" max="234" width="12" style="10" customWidth="1"/>
    <col min="235" max="235" width="9.6640625" style="10"/>
    <col min="236" max="236" width="15.33203125" style="10" customWidth="1"/>
    <col min="237" max="237" width="15.21875" style="10" customWidth="1"/>
    <col min="238" max="238" width="21.44140625" style="10" customWidth="1"/>
    <col min="239" max="254" width="9.6640625" style="10"/>
    <col min="255" max="256" width="13.44140625" style="10" customWidth="1"/>
    <col min="257" max="257" width="9.6640625" style="10"/>
    <col min="258" max="258" width="13.88671875" style="10" customWidth="1"/>
    <col min="259" max="259" width="10.6640625" style="10" customWidth="1"/>
    <col min="260" max="260" width="17.33203125" style="10" customWidth="1"/>
    <col min="261" max="262" width="12.6640625" style="10" customWidth="1"/>
    <col min="263" max="263" width="11.21875" style="10" customWidth="1"/>
    <col min="264" max="264" width="18.33203125" style="10" customWidth="1"/>
    <col min="265" max="265" width="12.88671875" style="10" customWidth="1"/>
    <col min="266" max="267" width="13.21875" style="10" customWidth="1"/>
    <col min="268" max="268" width="10.88671875" style="10" customWidth="1"/>
    <col min="269" max="269" width="11.109375" style="10" customWidth="1"/>
    <col min="270" max="270" width="15.21875" style="10" customWidth="1"/>
    <col min="271" max="271" width="9.6640625" style="10"/>
    <col min="272" max="272" width="11" style="10" customWidth="1"/>
    <col min="273" max="273" width="10.77734375" style="10" customWidth="1"/>
    <col min="274" max="274" width="11.44140625" style="10" customWidth="1"/>
    <col min="275" max="275" width="4" style="10" customWidth="1"/>
    <col min="276" max="466" width="9.6640625" style="10"/>
    <col min="467" max="467" width="6.44140625" style="10" customWidth="1"/>
    <col min="468" max="468" width="13.88671875" style="10" customWidth="1"/>
    <col min="469" max="469" width="11.88671875" style="10" customWidth="1"/>
    <col min="470" max="472" width="9.6640625" style="10"/>
    <col min="473" max="473" width="15.44140625" style="10" customWidth="1"/>
    <col min="474" max="474" width="16.21875" style="10" customWidth="1"/>
    <col min="475" max="486" width="9.6640625" style="10"/>
    <col min="487" max="487" width="12" style="10" customWidth="1"/>
    <col min="488" max="488" width="12.77734375" style="10" customWidth="1"/>
    <col min="489" max="489" width="11.109375" style="10" customWidth="1"/>
    <col min="490" max="490" width="12" style="10" customWidth="1"/>
    <col min="491" max="491" width="9.6640625" style="10"/>
    <col min="492" max="492" width="15.33203125" style="10" customWidth="1"/>
    <col min="493" max="493" width="15.21875" style="10" customWidth="1"/>
    <col min="494" max="494" width="21.44140625" style="10" customWidth="1"/>
    <col min="495" max="510" width="9.6640625" style="10"/>
    <col min="511" max="512" width="13.44140625" style="10" customWidth="1"/>
    <col min="513" max="513" width="9.6640625" style="10"/>
    <col min="514" max="514" width="13.88671875" style="10" customWidth="1"/>
    <col min="515" max="515" width="10.6640625" style="10" customWidth="1"/>
    <col min="516" max="516" width="17.33203125" style="10" customWidth="1"/>
    <col min="517" max="518" width="12.6640625" style="10" customWidth="1"/>
    <col min="519" max="519" width="11.21875" style="10" customWidth="1"/>
    <col min="520" max="520" width="18.33203125" style="10" customWidth="1"/>
    <col min="521" max="521" width="12.88671875" style="10" customWidth="1"/>
    <col min="522" max="523" width="13.21875" style="10" customWidth="1"/>
    <col min="524" max="524" width="10.88671875" style="10" customWidth="1"/>
    <col min="525" max="525" width="11.109375" style="10" customWidth="1"/>
    <col min="526" max="526" width="15.21875" style="10" customWidth="1"/>
    <col min="527" max="527" width="9.6640625" style="10"/>
    <col min="528" max="528" width="11" style="10" customWidth="1"/>
    <col min="529" max="529" width="10.77734375" style="10" customWidth="1"/>
    <col min="530" max="530" width="11.44140625" style="10" customWidth="1"/>
    <col min="531" max="531" width="4" style="10" customWidth="1"/>
    <col min="532" max="722" width="9.6640625" style="10"/>
    <col min="723" max="723" width="6.44140625" style="10" customWidth="1"/>
    <col min="724" max="724" width="13.88671875" style="10" customWidth="1"/>
    <col min="725" max="725" width="11.88671875" style="10" customWidth="1"/>
    <col min="726" max="728" width="9.6640625" style="10"/>
    <col min="729" max="729" width="15.44140625" style="10" customWidth="1"/>
    <col min="730" max="730" width="16.21875" style="10" customWidth="1"/>
    <col min="731" max="742" width="9.6640625" style="10"/>
    <col min="743" max="743" width="12" style="10" customWidth="1"/>
    <col min="744" max="744" width="12.77734375" style="10" customWidth="1"/>
    <col min="745" max="745" width="11.109375" style="10" customWidth="1"/>
    <col min="746" max="746" width="12" style="10" customWidth="1"/>
    <col min="747" max="747" width="9.6640625" style="10"/>
    <col min="748" max="748" width="15.33203125" style="10" customWidth="1"/>
    <col min="749" max="749" width="15.21875" style="10" customWidth="1"/>
    <col min="750" max="750" width="21.44140625" style="10" customWidth="1"/>
    <col min="751" max="766" width="9.6640625" style="10"/>
    <col min="767" max="768" width="13.44140625" style="10" customWidth="1"/>
    <col min="769" max="769" width="9.6640625" style="10"/>
    <col min="770" max="770" width="13.88671875" style="10" customWidth="1"/>
    <col min="771" max="771" width="10.6640625" style="10" customWidth="1"/>
    <col min="772" max="772" width="17.33203125" style="10" customWidth="1"/>
    <col min="773" max="774" width="12.6640625" style="10" customWidth="1"/>
    <col min="775" max="775" width="11.21875" style="10" customWidth="1"/>
    <col min="776" max="776" width="18.33203125" style="10" customWidth="1"/>
    <col min="777" max="777" width="12.88671875" style="10" customWidth="1"/>
    <col min="778" max="779" width="13.21875" style="10" customWidth="1"/>
    <col min="780" max="780" width="10.88671875" style="10" customWidth="1"/>
    <col min="781" max="781" width="11.109375" style="10" customWidth="1"/>
    <col min="782" max="782" width="15.21875" style="10" customWidth="1"/>
    <col min="783" max="783" width="9.6640625" style="10"/>
    <col min="784" max="784" width="11" style="10" customWidth="1"/>
    <col min="785" max="785" width="10.77734375" style="10" customWidth="1"/>
    <col min="786" max="786" width="11.44140625" style="10" customWidth="1"/>
    <col min="787" max="787" width="4" style="10" customWidth="1"/>
    <col min="788" max="978" width="9.6640625" style="10"/>
    <col min="979" max="979" width="6.44140625" style="10" customWidth="1"/>
    <col min="980" max="980" width="13.88671875" style="10" customWidth="1"/>
    <col min="981" max="981" width="11.88671875" style="10" customWidth="1"/>
    <col min="982" max="984" width="9.6640625" style="10"/>
    <col min="985" max="985" width="15.44140625" style="10" customWidth="1"/>
    <col min="986" max="986" width="16.21875" style="10" customWidth="1"/>
    <col min="987" max="998" width="9.6640625" style="10"/>
    <col min="999" max="999" width="12" style="10" customWidth="1"/>
    <col min="1000" max="1000" width="12.77734375" style="10" customWidth="1"/>
    <col min="1001" max="1001" width="11.109375" style="10" customWidth="1"/>
    <col min="1002" max="1002" width="12" style="10" customWidth="1"/>
    <col min="1003" max="1003" width="9.6640625" style="10"/>
    <col min="1004" max="1004" width="15.33203125" style="10" customWidth="1"/>
    <col min="1005" max="1005" width="15.21875" style="10" customWidth="1"/>
    <col min="1006" max="1006" width="21.44140625" style="10" customWidth="1"/>
    <col min="1007" max="1022" width="9.6640625" style="10"/>
    <col min="1023" max="1024" width="13.44140625" style="10" customWidth="1"/>
    <col min="1025" max="1025" width="9.6640625" style="10"/>
    <col min="1026" max="1026" width="13.88671875" style="10" customWidth="1"/>
    <col min="1027" max="1027" width="10.6640625" style="10" customWidth="1"/>
    <col min="1028" max="1028" width="17.33203125" style="10" customWidth="1"/>
    <col min="1029" max="1030" width="12.6640625" style="10" customWidth="1"/>
    <col min="1031" max="1031" width="11.21875" style="10" customWidth="1"/>
    <col min="1032" max="1032" width="18.33203125" style="10" customWidth="1"/>
    <col min="1033" max="1033" width="12.88671875" style="10" customWidth="1"/>
    <col min="1034" max="1035" width="13.21875" style="10" customWidth="1"/>
    <col min="1036" max="1036" width="10.88671875" style="10" customWidth="1"/>
    <col min="1037" max="1037" width="11.109375" style="10" customWidth="1"/>
    <col min="1038" max="1038" width="15.21875" style="10" customWidth="1"/>
    <col min="1039" max="1039" width="9.6640625" style="10"/>
    <col min="1040" max="1040" width="11" style="10" customWidth="1"/>
    <col min="1041" max="1041" width="10.77734375" style="10" customWidth="1"/>
    <col min="1042" max="1042" width="11.44140625" style="10" customWidth="1"/>
    <col min="1043" max="1043" width="4" style="10" customWidth="1"/>
    <col min="1044" max="1234" width="9.6640625" style="10"/>
    <col min="1235" max="1235" width="6.44140625" style="10" customWidth="1"/>
    <col min="1236" max="1236" width="13.88671875" style="10" customWidth="1"/>
    <col min="1237" max="1237" width="11.88671875" style="10" customWidth="1"/>
    <col min="1238" max="1240" width="9.6640625" style="10"/>
    <col min="1241" max="1241" width="15.44140625" style="10" customWidth="1"/>
    <col min="1242" max="1242" width="16.21875" style="10" customWidth="1"/>
    <col min="1243" max="1254" width="9.6640625" style="10"/>
    <col min="1255" max="1255" width="12" style="10" customWidth="1"/>
    <col min="1256" max="1256" width="12.77734375" style="10" customWidth="1"/>
    <col min="1257" max="1257" width="11.109375" style="10" customWidth="1"/>
    <col min="1258" max="1258" width="12" style="10" customWidth="1"/>
    <col min="1259" max="1259" width="9.6640625" style="10"/>
    <col min="1260" max="1260" width="15.33203125" style="10" customWidth="1"/>
    <col min="1261" max="1261" width="15.21875" style="10" customWidth="1"/>
    <col min="1262" max="1262" width="21.44140625" style="10" customWidth="1"/>
    <col min="1263" max="1278" width="9.6640625" style="10"/>
    <col min="1279" max="1280" width="13.44140625" style="10" customWidth="1"/>
    <col min="1281" max="1281" width="9.6640625" style="10"/>
    <col min="1282" max="1282" width="13.88671875" style="10" customWidth="1"/>
    <col min="1283" max="1283" width="10.6640625" style="10" customWidth="1"/>
    <col min="1284" max="1284" width="17.33203125" style="10" customWidth="1"/>
    <col min="1285" max="1286" width="12.6640625" style="10" customWidth="1"/>
    <col min="1287" max="1287" width="11.21875" style="10" customWidth="1"/>
    <col min="1288" max="1288" width="18.33203125" style="10" customWidth="1"/>
    <col min="1289" max="1289" width="12.88671875" style="10" customWidth="1"/>
    <col min="1290" max="1291" width="13.21875" style="10" customWidth="1"/>
    <col min="1292" max="1292" width="10.88671875" style="10" customWidth="1"/>
    <col min="1293" max="1293" width="11.109375" style="10" customWidth="1"/>
    <col min="1294" max="1294" width="15.21875" style="10" customWidth="1"/>
    <col min="1295" max="1295" width="9.6640625" style="10"/>
    <col min="1296" max="1296" width="11" style="10" customWidth="1"/>
    <col min="1297" max="1297" width="10.77734375" style="10" customWidth="1"/>
    <col min="1298" max="1298" width="11.44140625" style="10" customWidth="1"/>
    <col min="1299" max="1299" width="4" style="10" customWidth="1"/>
    <col min="1300" max="1490" width="9.6640625" style="10"/>
    <col min="1491" max="1491" width="6.44140625" style="10" customWidth="1"/>
    <col min="1492" max="1492" width="13.88671875" style="10" customWidth="1"/>
    <col min="1493" max="1493" width="11.88671875" style="10" customWidth="1"/>
    <col min="1494" max="1496" width="9.6640625" style="10"/>
    <col min="1497" max="1497" width="15.44140625" style="10" customWidth="1"/>
    <col min="1498" max="1498" width="16.21875" style="10" customWidth="1"/>
    <col min="1499" max="1510" width="9.6640625" style="10"/>
    <col min="1511" max="1511" width="12" style="10" customWidth="1"/>
    <col min="1512" max="1512" width="12.77734375" style="10" customWidth="1"/>
    <col min="1513" max="1513" width="11.109375" style="10" customWidth="1"/>
    <col min="1514" max="1514" width="12" style="10" customWidth="1"/>
    <col min="1515" max="1515" width="9.6640625" style="10"/>
    <col min="1516" max="1516" width="15.33203125" style="10" customWidth="1"/>
    <col min="1517" max="1517" width="15.21875" style="10" customWidth="1"/>
    <col min="1518" max="1518" width="21.44140625" style="10" customWidth="1"/>
    <col min="1519" max="1534" width="9.6640625" style="10"/>
    <col min="1535" max="1536" width="13.44140625" style="10" customWidth="1"/>
    <col min="1537" max="1537" width="9.6640625" style="10"/>
    <col min="1538" max="1538" width="13.88671875" style="10" customWidth="1"/>
    <col min="1539" max="1539" width="10.6640625" style="10" customWidth="1"/>
    <col min="1540" max="1540" width="17.33203125" style="10" customWidth="1"/>
    <col min="1541" max="1542" width="12.6640625" style="10" customWidth="1"/>
    <col min="1543" max="1543" width="11.21875" style="10" customWidth="1"/>
    <col min="1544" max="1544" width="18.33203125" style="10" customWidth="1"/>
    <col min="1545" max="1545" width="12.88671875" style="10" customWidth="1"/>
    <col min="1546" max="1547" width="13.21875" style="10" customWidth="1"/>
    <col min="1548" max="1548" width="10.88671875" style="10" customWidth="1"/>
    <col min="1549" max="1549" width="11.109375" style="10" customWidth="1"/>
    <col min="1550" max="1550" width="15.21875" style="10" customWidth="1"/>
    <col min="1551" max="1551" width="9.6640625" style="10"/>
    <col min="1552" max="1552" width="11" style="10" customWidth="1"/>
    <col min="1553" max="1553" width="10.77734375" style="10" customWidth="1"/>
    <col min="1554" max="1554" width="11.44140625" style="10" customWidth="1"/>
    <col min="1555" max="1555" width="4" style="10" customWidth="1"/>
    <col min="1556" max="1746" width="9.6640625" style="10"/>
    <col min="1747" max="1747" width="6.44140625" style="10" customWidth="1"/>
    <col min="1748" max="1748" width="13.88671875" style="10" customWidth="1"/>
    <col min="1749" max="1749" width="11.88671875" style="10" customWidth="1"/>
    <col min="1750" max="1752" width="9.6640625" style="10"/>
    <col min="1753" max="1753" width="15.44140625" style="10" customWidth="1"/>
    <col min="1754" max="1754" width="16.21875" style="10" customWidth="1"/>
    <col min="1755" max="1766" width="9.6640625" style="10"/>
    <col min="1767" max="1767" width="12" style="10" customWidth="1"/>
    <col min="1768" max="1768" width="12.77734375" style="10" customWidth="1"/>
    <col min="1769" max="1769" width="11.109375" style="10" customWidth="1"/>
    <col min="1770" max="1770" width="12" style="10" customWidth="1"/>
    <col min="1771" max="1771" width="9.6640625" style="10"/>
    <col min="1772" max="1772" width="15.33203125" style="10" customWidth="1"/>
    <col min="1773" max="1773" width="15.21875" style="10" customWidth="1"/>
    <col min="1774" max="1774" width="21.44140625" style="10" customWidth="1"/>
    <col min="1775" max="1790" width="9.6640625" style="10"/>
    <col min="1791" max="1792" width="13.44140625" style="10" customWidth="1"/>
    <col min="1793" max="1793" width="9.6640625" style="10"/>
    <col min="1794" max="1794" width="13.88671875" style="10" customWidth="1"/>
    <col min="1795" max="1795" width="10.6640625" style="10" customWidth="1"/>
    <col min="1796" max="1796" width="17.33203125" style="10" customWidth="1"/>
    <col min="1797" max="1798" width="12.6640625" style="10" customWidth="1"/>
    <col min="1799" max="1799" width="11.21875" style="10" customWidth="1"/>
    <col min="1800" max="1800" width="18.33203125" style="10" customWidth="1"/>
    <col min="1801" max="1801" width="12.88671875" style="10" customWidth="1"/>
    <col min="1802" max="1803" width="13.21875" style="10" customWidth="1"/>
    <col min="1804" max="1804" width="10.88671875" style="10" customWidth="1"/>
    <col min="1805" max="1805" width="11.109375" style="10" customWidth="1"/>
    <col min="1806" max="1806" width="15.21875" style="10" customWidth="1"/>
    <col min="1807" max="1807" width="9.6640625" style="10"/>
    <col min="1808" max="1808" width="11" style="10" customWidth="1"/>
    <col min="1809" max="1809" width="10.77734375" style="10" customWidth="1"/>
    <col min="1810" max="1810" width="11.44140625" style="10" customWidth="1"/>
    <col min="1811" max="1811" width="4" style="10" customWidth="1"/>
    <col min="1812" max="2002" width="9.6640625" style="10"/>
    <col min="2003" max="2003" width="6.44140625" style="10" customWidth="1"/>
    <col min="2004" max="2004" width="13.88671875" style="10" customWidth="1"/>
    <col min="2005" max="2005" width="11.88671875" style="10" customWidth="1"/>
    <col min="2006" max="2008" width="9.6640625" style="10"/>
    <col min="2009" max="2009" width="15.44140625" style="10" customWidth="1"/>
    <col min="2010" max="2010" width="16.21875" style="10" customWidth="1"/>
    <col min="2011" max="2022" width="9.6640625" style="10"/>
    <col min="2023" max="2023" width="12" style="10" customWidth="1"/>
    <col min="2024" max="2024" width="12.77734375" style="10" customWidth="1"/>
    <col min="2025" max="2025" width="11.109375" style="10" customWidth="1"/>
    <col min="2026" max="2026" width="12" style="10" customWidth="1"/>
    <col min="2027" max="2027" width="9.6640625" style="10"/>
    <col min="2028" max="2028" width="15.33203125" style="10" customWidth="1"/>
    <col min="2029" max="2029" width="15.21875" style="10" customWidth="1"/>
    <col min="2030" max="2030" width="21.44140625" style="10" customWidth="1"/>
    <col min="2031" max="2046" width="9.6640625" style="10"/>
    <col min="2047" max="2048" width="13.44140625" style="10" customWidth="1"/>
    <col min="2049" max="2049" width="9.6640625" style="10"/>
    <col min="2050" max="2050" width="13.88671875" style="10" customWidth="1"/>
    <col min="2051" max="2051" width="10.6640625" style="10" customWidth="1"/>
    <col min="2052" max="2052" width="17.33203125" style="10" customWidth="1"/>
    <col min="2053" max="2054" width="12.6640625" style="10" customWidth="1"/>
    <col min="2055" max="2055" width="11.21875" style="10" customWidth="1"/>
    <col min="2056" max="2056" width="18.33203125" style="10" customWidth="1"/>
    <col min="2057" max="2057" width="12.88671875" style="10" customWidth="1"/>
    <col min="2058" max="2059" width="13.21875" style="10" customWidth="1"/>
    <col min="2060" max="2060" width="10.88671875" style="10" customWidth="1"/>
    <col min="2061" max="2061" width="11.109375" style="10" customWidth="1"/>
    <col min="2062" max="2062" width="15.21875" style="10" customWidth="1"/>
    <col min="2063" max="2063" width="9.6640625" style="10"/>
    <col min="2064" max="2064" width="11" style="10" customWidth="1"/>
    <col min="2065" max="2065" width="10.77734375" style="10" customWidth="1"/>
    <col min="2066" max="2066" width="11.44140625" style="10" customWidth="1"/>
    <col min="2067" max="2067" width="4" style="10" customWidth="1"/>
    <col min="2068" max="2258" width="9.6640625" style="10"/>
    <col min="2259" max="2259" width="6.44140625" style="10" customWidth="1"/>
    <col min="2260" max="2260" width="13.88671875" style="10" customWidth="1"/>
    <col min="2261" max="2261" width="11.88671875" style="10" customWidth="1"/>
    <col min="2262" max="2264" width="9.6640625" style="10"/>
    <col min="2265" max="2265" width="15.44140625" style="10" customWidth="1"/>
    <col min="2266" max="2266" width="16.21875" style="10" customWidth="1"/>
    <col min="2267" max="2278" width="9.6640625" style="10"/>
    <col min="2279" max="2279" width="12" style="10" customWidth="1"/>
    <col min="2280" max="2280" width="12.77734375" style="10" customWidth="1"/>
    <col min="2281" max="2281" width="11.109375" style="10" customWidth="1"/>
    <col min="2282" max="2282" width="12" style="10" customWidth="1"/>
    <col min="2283" max="2283" width="9.6640625" style="10"/>
    <col min="2284" max="2284" width="15.33203125" style="10" customWidth="1"/>
    <col min="2285" max="2285" width="15.21875" style="10" customWidth="1"/>
    <col min="2286" max="2286" width="21.44140625" style="10" customWidth="1"/>
    <col min="2287" max="2302" width="9.6640625" style="10"/>
    <col min="2303" max="2304" width="13.44140625" style="10" customWidth="1"/>
    <col min="2305" max="2305" width="9.6640625" style="10"/>
    <col min="2306" max="2306" width="13.88671875" style="10" customWidth="1"/>
    <col min="2307" max="2307" width="10.6640625" style="10" customWidth="1"/>
    <col min="2308" max="2308" width="17.33203125" style="10" customWidth="1"/>
    <col min="2309" max="2310" width="12.6640625" style="10" customWidth="1"/>
    <col min="2311" max="2311" width="11.21875" style="10" customWidth="1"/>
    <col min="2312" max="2312" width="18.33203125" style="10" customWidth="1"/>
    <col min="2313" max="2313" width="12.88671875" style="10" customWidth="1"/>
    <col min="2314" max="2315" width="13.21875" style="10" customWidth="1"/>
    <col min="2316" max="2316" width="10.88671875" style="10" customWidth="1"/>
    <col min="2317" max="2317" width="11.109375" style="10" customWidth="1"/>
    <col min="2318" max="2318" width="15.21875" style="10" customWidth="1"/>
    <col min="2319" max="2319" width="9.6640625" style="10"/>
    <col min="2320" max="2320" width="11" style="10" customWidth="1"/>
    <col min="2321" max="2321" width="10.77734375" style="10" customWidth="1"/>
    <col min="2322" max="2322" width="11.44140625" style="10" customWidth="1"/>
    <col min="2323" max="2323" width="4" style="10" customWidth="1"/>
    <col min="2324" max="2514" width="9.6640625" style="10"/>
    <col min="2515" max="2515" width="6.44140625" style="10" customWidth="1"/>
    <col min="2516" max="2516" width="13.88671875" style="10" customWidth="1"/>
    <col min="2517" max="2517" width="11.88671875" style="10" customWidth="1"/>
    <col min="2518" max="2520" width="9.6640625" style="10"/>
    <col min="2521" max="2521" width="15.44140625" style="10" customWidth="1"/>
    <col min="2522" max="2522" width="16.21875" style="10" customWidth="1"/>
    <col min="2523" max="2534" width="9.6640625" style="10"/>
    <col min="2535" max="2535" width="12" style="10" customWidth="1"/>
    <col min="2536" max="2536" width="12.77734375" style="10" customWidth="1"/>
    <col min="2537" max="2537" width="11.109375" style="10" customWidth="1"/>
    <col min="2538" max="2538" width="12" style="10" customWidth="1"/>
    <col min="2539" max="2539" width="9.6640625" style="10"/>
    <col min="2540" max="2540" width="15.33203125" style="10" customWidth="1"/>
    <col min="2541" max="2541" width="15.21875" style="10" customWidth="1"/>
    <col min="2542" max="2542" width="21.44140625" style="10" customWidth="1"/>
    <col min="2543" max="2558" width="9.6640625" style="10"/>
    <col min="2559" max="2560" width="13.44140625" style="10" customWidth="1"/>
    <col min="2561" max="2561" width="9.6640625" style="10"/>
    <col min="2562" max="2562" width="13.88671875" style="10" customWidth="1"/>
    <col min="2563" max="2563" width="10.6640625" style="10" customWidth="1"/>
    <col min="2564" max="2564" width="17.33203125" style="10" customWidth="1"/>
    <col min="2565" max="2566" width="12.6640625" style="10" customWidth="1"/>
    <col min="2567" max="2567" width="11.21875" style="10" customWidth="1"/>
    <col min="2568" max="2568" width="18.33203125" style="10" customWidth="1"/>
    <col min="2569" max="2569" width="12.88671875" style="10" customWidth="1"/>
    <col min="2570" max="2571" width="13.21875" style="10" customWidth="1"/>
    <col min="2572" max="2572" width="10.88671875" style="10" customWidth="1"/>
    <col min="2573" max="2573" width="11.109375" style="10" customWidth="1"/>
    <col min="2574" max="2574" width="15.21875" style="10" customWidth="1"/>
    <col min="2575" max="2575" width="9.6640625" style="10"/>
    <col min="2576" max="2576" width="11" style="10" customWidth="1"/>
    <col min="2577" max="2577" width="10.77734375" style="10" customWidth="1"/>
    <col min="2578" max="2578" width="11.44140625" style="10" customWidth="1"/>
    <col min="2579" max="2579" width="4" style="10" customWidth="1"/>
    <col min="2580" max="2770" width="9.6640625" style="10"/>
    <col min="2771" max="2771" width="6.44140625" style="10" customWidth="1"/>
    <col min="2772" max="2772" width="13.88671875" style="10" customWidth="1"/>
    <col min="2773" max="2773" width="11.88671875" style="10" customWidth="1"/>
    <col min="2774" max="2776" width="9.6640625" style="10"/>
    <col min="2777" max="2777" width="15.44140625" style="10" customWidth="1"/>
    <col min="2778" max="2778" width="16.21875" style="10" customWidth="1"/>
    <col min="2779" max="2790" width="9.6640625" style="10"/>
    <col min="2791" max="2791" width="12" style="10" customWidth="1"/>
    <col min="2792" max="2792" width="12.77734375" style="10" customWidth="1"/>
    <col min="2793" max="2793" width="11.109375" style="10" customWidth="1"/>
    <col min="2794" max="2794" width="12" style="10" customWidth="1"/>
    <col min="2795" max="2795" width="9.6640625" style="10"/>
    <col min="2796" max="2796" width="15.33203125" style="10" customWidth="1"/>
    <col min="2797" max="2797" width="15.21875" style="10" customWidth="1"/>
    <col min="2798" max="2798" width="21.44140625" style="10" customWidth="1"/>
    <col min="2799" max="2814" width="9.6640625" style="10"/>
    <col min="2815" max="2816" width="13.44140625" style="10" customWidth="1"/>
    <col min="2817" max="2817" width="9.6640625" style="10"/>
    <col min="2818" max="2818" width="13.88671875" style="10" customWidth="1"/>
    <col min="2819" max="2819" width="10.6640625" style="10" customWidth="1"/>
    <col min="2820" max="2820" width="17.33203125" style="10" customWidth="1"/>
    <col min="2821" max="2822" width="12.6640625" style="10" customWidth="1"/>
    <col min="2823" max="2823" width="11.21875" style="10" customWidth="1"/>
    <col min="2824" max="2824" width="18.33203125" style="10" customWidth="1"/>
    <col min="2825" max="2825" width="12.88671875" style="10" customWidth="1"/>
    <col min="2826" max="2827" width="13.21875" style="10" customWidth="1"/>
    <col min="2828" max="2828" width="10.88671875" style="10" customWidth="1"/>
    <col min="2829" max="2829" width="11.109375" style="10" customWidth="1"/>
    <col min="2830" max="2830" width="15.21875" style="10" customWidth="1"/>
    <col min="2831" max="2831" width="9.6640625" style="10"/>
    <col min="2832" max="2832" width="11" style="10" customWidth="1"/>
    <col min="2833" max="2833" width="10.77734375" style="10" customWidth="1"/>
    <col min="2834" max="2834" width="11.44140625" style="10" customWidth="1"/>
    <col min="2835" max="2835" width="4" style="10" customWidth="1"/>
    <col min="2836" max="3026" width="9.6640625" style="10"/>
    <col min="3027" max="3027" width="6.44140625" style="10" customWidth="1"/>
    <col min="3028" max="3028" width="13.88671875" style="10" customWidth="1"/>
    <col min="3029" max="3029" width="11.88671875" style="10" customWidth="1"/>
    <col min="3030" max="3032" width="9.6640625" style="10"/>
    <col min="3033" max="3033" width="15.44140625" style="10" customWidth="1"/>
    <col min="3034" max="3034" width="16.21875" style="10" customWidth="1"/>
    <col min="3035" max="3046" width="9.6640625" style="10"/>
    <col min="3047" max="3047" width="12" style="10" customWidth="1"/>
    <col min="3048" max="3048" width="12.77734375" style="10" customWidth="1"/>
    <col min="3049" max="3049" width="11.109375" style="10" customWidth="1"/>
    <col min="3050" max="3050" width="12" style="10" customWidth="1"/>
    <col min="3051" max="3051" width="9.6640625" style="10"/>
    <col min="3052" max="3052" width="15.33203125" style="10" customWidth="1"/>
    <col min="3053" max="3053" width="15.21875" style="10" customWidth="1"/>
    <col min="3054" max="3054" width="21.44140625" style="10" customWidth="1"/>
    <col min="3055" max="3070" width="9.6640625" style="10"/>
    <col min="3071" max="3072" width="13.44140625" style="10" customWidth="1"/>
    <col min="3073" max="3073" width="9.6640625" style="10"/>
    <col min="3074" max="3074" width="13.88671875" style="10" customWidth="1"/>
    <col min="3075" max="3075" width="10.6640625" style="10" customWidth="1"/>
    <col min="3076" max="3076" width="17.33203125" style="10" customWidth="1"/>
    <col min="3077" max="3078" width="12.6640625" style="10" customWidth="1"/>
    <col min="3079" max="3079" width="11.21875" style="10" customWidth="1"/>
    <col min="3080" max="3080" width="18.33203125" style="10" customWidth="1"/>
    <col min="3081" max="3081" width="12.88671875" style="10" customWidth="1"/>
    <col min="3082" max="3083" width="13.21875" style="10" customWidth="1"/>
    <col min="3084" max="3084" width="10.88671875" style="10" customWidth="1"/>
    <col min="3085" max="3085" width="11.109375" style="10" customWidth="1"/>
    <col min="3086" max="3086" width="15.21875" style="10" customWidth="1"/>
    <col min="3087" max="3087" width="9.6640625" style="10"/>
    <col min="3088" max="3088" width="11" style="10" customWidth="1"/>
    <col min="3089" max="3089" width="10.77734375" style="10" customWidth="1"/>
    <col min="3090" max="3090" width="11.44140625" style="10" customWidth="1"/>
    <col min="3091" max="3091" width="4" style="10" customWidth="1"/>
    <col min="3092" max="3282" width="9.6640625" style="10"/>
    <col min="3283" max="3283" width="6.44140625" style="10" customWidth="1"/>
    <col min="3284" max="3284" width="13.88671875" style="10" customWidth="1"/>
    <col min="3285" max="3285" width="11.88671875" style="10" customWidth="1"/>
    <col min="3286" max="3288" width="9.6640625" style="10"/>
    <col min="3289" max="3289" width="15.44140625" style="10" customWidth="1"/>
    <col min="3290" max="3290" width="16.21875" style="10" customWidth="1"/>
    <col min="3291" max="3302" width="9.6640625" style="10"/>
    <col min="3303" max="3303" width="12" style="10" customWidth="1"/>
    <col min="3304" max="3304" width="12.77734375" style="10" customWidth="1"/>
    <col min="3305" max="3305" width="11.109375" style="10" customWidth="1"/>
    <col min="3306" max="3306" width="12" style="10" customWidth="1"/>
    <col min="3307" max="3307" width="9.6640625" style="10"/>
    <col min="3308" max="3308" width="15.33203125" style="10" customWidth="1"/>
    <col min="3309" max="3309" width="15.21875" style="10" customWidth="1"/>
    <col min="3310" max="3310" width="21.44140625" style="10" customWidth="1"/>
    <col min="3311" max="3326" width="9.6640625" style="10"/>
    <col min="3327" max="3328" width="13.44140625" style="10" customWidth="1"/>
    <col min="3329" max="3329" width="9.6640625" style="10"/>
    <col min="3330" max="3330" width="13.88671875" style="10" customWidth="1"/>
    <col min="3331" max="3331" width="10.6640625" style="10" customWidth="1"/>
    <col min="3332" max="3332" width="17.33203125" style="10" customWidth="1"/>
    <col min="3333" max="3334" width="12.6640625" style="10" customWidth="1"/>
    <col min="3335" max="3335" width="11.21875" style="10" customWidth="1"/>
    <col min="3336" max="3336" width="18.33203125" style="10" customWidth="1"/>
    <col min="3337" max="3337" width="12.88671875" style="10" customWidth="1"/>
    <col min="3338" max="3339" width="13.21875" style="10" customWidth="1"/>
    <col min="3340" max="3340" width="10.88671875" style="10" customWidth="1"/>
    <col min="3341" max="3341" width="11.109375" style="10" customWidth="1"/>
    <col min="3342" max="3342" width="15.21875" style="10" customWidth="1"/>
    <col min="3343" max="3343" width="9.6640625" style="10"/>
    <col min="3344" max="3344" width="11" style="10" customWidth="1"/>
    <col min="3345" max="3345" width="10.77734375" style="10" customWidth="1"/>
    <col min="3346" max="3346" width="11.44140625" style="10" customWidth="1"/>
    <col min="3347" max="3347" width="4" style="10" customWidth="1"/>
    <col min="3348" max="3538" width="9.6640625" style="10"/>
    <col min="3539" max="3539" width="6.44140625" style="10" customWidth="1"/>
    <col min="3540" max="3540" width="13.88671875" style="10" customWidth="1"/>
    <col min="3541" max="3541" width="11.88671875" style="10" customWidth="1"/>
    <col min="3542" max="3544" width="9.6640625" style="10"/>
    <col min="3545" max="3545" width="15.44140625" style="10" customWidth="1"/>
    <col min="3546" max="3546" width="16.21875" style="10" customWidth="1"/>
    <col min="3547" max="3558" width="9.6640625" style="10"/>
    <col min="3559" max="3559" width="12" style="10" customWidth="1"/>
    <col min="3560" max="3560" width="12.77734375" style="10" customWidth="1"/>
    <col min="3561" max="3561" width="11.109375" style="10" customWidth="1"/>
    <col min="3562" max="3562" width="12" style="10" customWidth="1"/>
    <col min="3563" max="3563" width="9.6640625" style="10"/>
    <col min="3564" max="3564" width="15.33203125" style="10" customWidth="1"/>
    <col min="3565" max="3565" width="15.21875" style="10" customWidth="1"/>
    <col min="3566" max="3566" width="21.44140625" style="10" customWidth="1"/>
    <col min="3567" max="3582" width="9.6640625" style="10"/>
    <col min="3583" max="3584" width="13.44140625" style="10" customWidth="1"/>
    <col min="3585" max="3585" width="9.6640625" style="10"/>
    <col min="3586" max="3586" width="13.88671875" style="10" customWidth="1"/>
    <col min="3587" max="3587" width="10.6640625" style="10" customWidth="1"/>
    <col min="3588" max="3588" width="17.33203125" style="10" customWidth="1"/>
    <col min="3589" max="3590" width="12.6640625" style="10" customWidth="1"/>
    <col min="3591" max="3591" width="11.21875" style="10" customWidth="1"/>
    <col min="3592" max="3592" width="18.33203125" style="10" customWidth="1"/>
    <col min="3593" max="3593" width="12.88671875" style="10" customWidth="1"/>
    <col min="3594" max="3595" width="13.21875" style="10" customWidth="1"/>
    <col min="3596" max="3596" width="10.88671875" style="10" customWidth="1"/>
    <col min="3597" max="3597" width="11.109375" style="10" customWidth="1"/>
    <col min="3598" max="3598" width="15.21875" style="10" customWidth="1"/>
    <col min="3599" max="3599" width="9.6640625" style="10"/>
    <col min="3600" max="3600" width="11" style="10" customWidth="1"/>
    <col min="3601" max="3601" width="10.77734375" style="10" customWidth="1"/>
    <col min="3602" max="3602" width="11.44140625" style="10" customWidth="1"/>
    <col min="3603" max="3603" width="4" style="10" customWidth="1"/>
    <col min="3604" max="3794" width="9.6640625" style="10"/>
    <col min="3795" max="3795" width="6.44140625" style="10" customWidth="1"/>
    <col min="3796" max="3796" width="13.88671875" style="10" customWidth="1"/>
    <col min="3797" max="3797" width="11.88671875" style="10" customWidth="1"/>
    <col min="3798" max="3800" width="9.6640625" style="10"/>
    <col min="3801" max="3801" width="15.44140625" style="10" customWidth="1"/>
    <col min="3802" max="3802" width="16.21875" style="10" customWidth="1"/>
    <col min="3803" max="3814" width="9.6640625" style="10"/>
    <col min="3815" max="3815" width="12" style="10" customWidth="1"/>
    <col min="3816" max="3816" width="12.77734375" style="10" customWidth="1"/>
    <col min="3817" max="3817" width="11.109375" style="10" customWidth="1"/>
    <col min="3818" max="3818" width="12" style="10" customWidth="1"/>
    <col min="3819" max="3819" width="9.6640625" style="10"/>
    <col min="3820" max="3820" width="15.33203125" style="10" customWidth="1"/>
    <col min="3821" max="3821" width="15.21875" style="10" customWidth="1"/>
    <col min="3822" max="3822" width="21.44140625" style="10" customWidth="1"/>
    <col min="3823" max="3838" width="9.6640625" style="10"/>
    <col min="3839" max="3840" width="13.44140625" style="10" customWidth="1"/>
    <col min="3841" max="3841" width="9.6640625" style="10"/>
    <col min="3842" max="3842" width="13.88671875" style="10" customWidth="1"/>
    <col min="3843" max="3843" width="10.6640625" style="10" customWidth="1"/>
    <col min="3844" max="3844" width="17.33203125" style="10" customWidth="1"/>
    <col min="3845" max="3846" width="12.6640625" style="10" customWidth="1"/>
    <col min="3847" max="3847" width="11.21875" style="10" customWidth="1"/>
    <col min="3848" max="3848" width="18.33203125" style="10" customWidth="1"/>
    <col min="3849" max="3849" width="12.88671875" style="10" customWidth="1"/>
    <col min="3850" max="3851" width="13.21875" style="10" customWidth="1"/>
    <col min="3852" max="3852" width="10.88671875" style="10" customWidth="1"/>
    <col min="3853" max="3853" width="11.109375" style="10" customWidth="1"/>
    <col min="3854" max="3854" width="15.21875" style="10" customWidth="1"/>
    <col min="3855" max="3855" width="9.6640625" style="10"/>
    <col min="3856" max="3856" width="11" style="10" customWidth="1"/>
    <col min="3857" max="3857" width="10.77734375" style="10" customWidth="1"/>
    <col min="3858" max="3858" width="11.44140625" style="10" customWidth="1"/>
    <col min="3859" max="3859" width="4" style="10" customWidth="1"/>
    <col min="3860" max="4050" width="9.6640625" style="10"/>
    <col min="4051" max="4051" width="6.44140625" style="10" customWidth="1"/>
    <col min="4052" max="4052" width="13.88671875" style="10" customWidth="1"/>
    <col min="4053" max="4053" width="11.88671875" style="10" customWidth="1"/>
    <col min="4054" max="4056" width="9.6640625" style="10"/>
    <col min="4057" max="4057" width="15.44140625" style="10" customWidth="1"/>
    <col min="4058" max="4058" width="16.21875" style="10" customWidth="1"/>
    <col min="4059" max="4070" width="9.6640625" style="10"/>
    <col min="4071" max="4071" width="12" style="10" customWidth="1"/>
    <col min="4072" max="4072" width="12.77734375" style="10" customWidth="1"/>
    <col min="4073" max="4073" width="11.109375" style="10" customWidth="1"/>
    <col min="4074" max="4074" width="12" style="10" customWidth="1"/>
    <col min="4075" max="4075" width="9.6640625" style="10"/>
    <col min="4076" max="4076" width="15.33203125" style="10" customWidth="1"/>
    <col min="4077" max="4077" width="15.21875" style="10" customWidth="1"/>
    <col min="4078" max="4078" width="21.44140625" style="10" customWidth="1"/>
    <col min="4079" max="4094" width="9.6640625" style="10"/>
    <col min="4095" max="4096" width="13.44140625" style="10" customWidth="1"/>
    <col min="4097" max="4097" width="9.6640625" style="10"/>
    <col min="4098" max="4098" width="13.88671875" style="10" customWidth="1"/>
    <col min="4099" max="4099" width="10.6640625" style="10" customWidth="1"/>
    <col min="4100" max="4100" width="17.33203125" style="10" customWidth="1"/>
    <col min="4101" max="4102" width="12.6640625" style="10" customWidth="1"/>
    <col min="4103" max="4103" width="11.21875" style="10" customWidth="1"/>
    <col min="4104" max="4104" width="18.33203125" style="10" customWidth="1"/>
    <col min="4105" max="4105" width="12.88671875" style="10" customWidth="1"/>
    <col min="4106" max="4107" width="13.21875" style="10" customWidth="1"/>
    <col min="4108" max="4108" width="10.88671875" style="10" customWidth="1"/>
    <col min="4109" max="4109" width="11.109375" style="10" customWidth="1"/>
    <col min="4110" max="4110" width="15.21875" style="10" customWidth="1"/>
    <col min="4111" max="4111" width="9.6640625" style="10"/>
    <col min="4112" max="4112" width="11" style="10" customWidth="1"/>
    <col min="4113" max="4113" width="10.77734375" style="10" customWidth="1"/>
    <col min="4114" max="4114" width="11.44140625" style="10" customWidth="1"/>
    <col min="4115" max="4115" width="4" style="10" customWidth="1"/>
    <col min="4116" max="4306" width="9.6640625" style="10"/>
    <col min="4307" max="4307" width="6.44140625" style="10" customWidth="1"/>
    <col min="4308" max="4308" width="13.88671875" style="10" customWidth="1"/>
    <col min="4309" max="4309" width="11.88671875" style="10" customWidth="1"/>
    <col min="4310" max="4312" width="9.6640625" style="10"/>
    <col min="4313" max="4313" width="15.44140625" style="10" customWidth="1"/>
    <col min="4314" max="4314" width="16.21875" style="10" customWidth="1"/>
    <col min="4315" max="4326" width="9.6640625" style="10"/>
    <col min="4327" max="4327" width="12" style="10" customWidth="1"/>
    <col min="4328" max="4328" width="12.77734375" style="10" customWidth="1"/>
    <col min="4329" max="4329" width="11.109375" style="10" customWidth="1"/>
    <col min="4330" max="4330" width="12" style="10" customWidth="1"/>
    <col min="4331" max="4331" width="9.6640625" style="10"/>
    <col min="4332" max="4332" width="15.33203125" style="10" customWidth="1"/>
    <col min="4333" max="4333" width="15.21875" style="10" customWidth="1"/>
    <col min="4334" max="4334" width="21.44140625" style="10" customWidth="1"/>
    <col min="4335" max="4350" width="9.6640625" style="10"/>
    <col min="4351" max="4352" width="13.44140625" style="10" customWidth="1"/>
    <col min="4353" max="4353" width="9.6640625" style="10"/>
    <col min="4354" max="4354" width="13.88671875" style="10" customWidth="1"/>
    <col min="4355" max="4355" width="10.6640625" style="10" customWidth="1"/>
    <col min="4356" max="4356" width="17.33203125" style="10" customWidth="1"/>
    <col min="4357" max="4358" width="12.6640625" style="10" customWidth="1"/>
    <col min="4359" max="4359" width="11.21875" style="10" customWidth="1"/>
    <col min="4360" max="4360" width="18.33203125" style="10" customWidth="1"/>
    <col min="4361" max="4361" width="12.88671875" style="10" customWidth="1"/>
    <col min="4362" max="4363" width="13.21875" style="10" customWidth="1"/>
    <col min="4364" max="4364" width="10.88671875" style="10" customWidth="1"/>
    <col min="4365" max="4365" width="11.109375" style="10" customWidth="1"/>
    <col min="4366" max="4366" width="15.21875" style="10" customWidth="1"/>
    <col min="4367" max="4367" width="9.6640625" style="10"/>
    <col min="4368" max="4368" width="11" style="10" customWidth="1"/>
    <col min="4369" max="4369" width="10.77734375" style="10" customWidth="1"/>
    <col min="4370" max="4370" width="11.44140625" style="10" customWidth="1"/>
    <col min="4371" max="4371" width="4" style="10" customWidth="1"/>
    <col min="4372" max="4562" width="9.6640625" style="10"/>
    <col min="4563" max="4563" width="6.44140625" style="10" customWidth="1"/>
    <col min="4564" max="4564" width="13.88671875" style="10" customWidth="1"/>
    <col min="4565" max="4565" width="11.88671875" style="10" customWidth="1"/>
    <col min="4566" max="4568" width="9.6640625" style="10"/>
    <col min="4569" max="4569" width="15.44140625" style="10" customWidth="1"/>
    <col min="4570" max="4570" width="16.21875" style="10" customWidth="1"/>
    <col min="4571" max="4582" width="9.6640625" style="10"/>
    <col min="4583" max="4583" width="12" style="10" customWidth="1"/>
    <col min="4584" max="4584" width="12.77734375" style="10" customWidth="1"/>
    <col min="4585" max="4585" width="11.109375" style="10" customWidth="1"/>
    <col min="4586" max="4586" width="12" style="10" customWidth="1"/>
    <col min="4587" max="4587" width="9.6640625" style="10"/>
    <col min="4588" max="4588" width="15.33203125" style="10" customWidth="1"/>
    <col min="4589" max="4589" width="15.21875" style="10" customWidth="1"/>
    <col min="4590" max="4590" width="21.44140625" style="10" customWidth="1"/>
    <col min="4591" max="4606" width="9.6640625" style="10"/>
    <col min="4607" max="4608" width="13.44140625" style="10" customWidth="1"/>
    <col min="4609" max="4609" width="9.6640625" style="10"/>
    <col min="4610" max="4610" width="13.88671875" style="10" customWidth="1"/>
    <col min="4611" max="4611" width="10.6640625" style="10" customWidth="1"/>
    <col min="4612" max="4612" width="17.33203125" style="10" customWidth="1"/>
    <col min="4613" max="4614" width="12.6640625" style="10" customWidth="1"/>
    <col min="4615" max="4615" width="11.21875" style="10" customWidth="1"/>
    <col min="4616" max="4616" width="18.33203125" style="10" customWidth="1"/>
    <col min="4617" max="4617" width="12.88671875" style="10" customWidth="1"/>
    <col min="4618" max="4619" width="13.21875" style="10" customWidth="1"/>
    <col min="4620" max="4620" width="10.88671875" style="10" customWidth="1"/>
    <col min="4621" max="4621" width="11.109375" style="10" customWidth="1"/>
    <col min="4622" max="4622" width="15.21875" style="10" customWidth="1"/>
    <col min="4623" max="4623" width="9.6640625" style="10"/>
    <col min="4624" max="4624" width="11" style="10" customWidth="1"/>
    <col min="4625" max="4625" width="10.77734375" style="10" customWidth="1"/>
    <col min="4626" max="4626" width="11.44140625" style="10" customWidth="1"/>
    <col min="4627" max="4627" width="4" style="10" customWidth="1"/>
    <col min="4628" max="4818" width="9.6640625" style="10"/>
    <col min="4819" max="4819" width="6.44140625" style="10" customWidth="1"/>
    <col min="4820" max="4820" width="13.88671875" style="10" customWidth="1"/>
    <col min="4821" max="4821" width="11.88671875" style="10" customWidth="1"/>
    <col min="4822" max="4824" width="9.6640625" style="10"/>
    <col min="4825" max="4825" width="15.44140625" style="10" customWidth="1"/>
    <col min="4826" max="4826" width="16.21875" style="10" customWidth="1"/>
    <col min="4827" max="4838" width="9.6640625" style="10"/>
    <col min="4839" max="4839" width="12" style="10" customWidth="1"/>
    <col min="4840" max="4840" width="12.77734375" style="10" customWidth="1"/>
    <col min="4841" max="4841" width="11.109375" style="10" customWidth="1"/>
    <col min="4842" max="4842" width="12" style="10" customWidth="1"/>
    <col min="4843" max="4843" width="9.6640625" style="10"/>
    <col min="4844" max="4844" width="15.33203125" style="10" customWidth="1"/>
    <col min="4845" max="4845" width="15.21875" style="10" customWidth="1"/>
    <col min="4846" max="4846" width="21.44140625" style="10" customWidth="1"/>
    <col min="4847" max="4862" width="9.6640625" style="10"/>
    <col min="4863" max="4864" width="13.44140625" style="10" customWidth="1"/>
    <col min="4865" max="4865" width="9.6640625" style="10"/>
    <col min="4866" max="4866" width="13.88671875" style="10" customWidth="1"/>
    <col min="4867" max="4867" width="10.6640625" style="10" customWidth="1"/>
    <col min="4868" max="4868" width="17.33203125" style="10" customWidth="1"/>
    <col min="4869" max="4870" width="12.6640625" style="10" customWidth="1"/>
    <col min="4871" max="4871" width="11.21875" style="10" customWidth="1"/>
    <col min="4872" max="4872" width="18.33203125" style="10" customWidth="1"/>
    <col min="4873" max="4873" width="12.88671875" style="10" customWidth="1"/>
    <col min="4874" max="4875" width="13.21875" style="10" customWidth="1"/>
    <col min="4876" max="4876" width="10.88671875" style="10" customWidth="1"/>
    <col min="4877" max="4877" width="11.109375" style="10" customWidth="1"/>
    <col min="4878" max="4878" width="15.21875" style="10" customWidth="1"/>
    <col min="4879" max="4879" width="9.6640625" style="10"/>
    <col min="4880" max="4880" width="11" style="10" customWidth="1"/>
    <col min="4881" max="4881" width="10.77734375" style="10" customWidth="1"/>
    <col min="4882" max="4882" width="11.44140625" style="10" customWidth="1"/>
    <col min="4883" max="4883" width="4" style="10" customWidth="1"/>
    <col min="4884" max="5074" width="9.6640625" style="10"/>
    <col min="5075" max="5075" width="6.44140625" style="10" customWidth="1"/>
    <col min="5076" max="5076" width="13.88671875" style="10" customWidth="1"/>
    <col min="5077" max="5077" width="11.88671875" style="10" customWidth="1"/>
    <col min="5078" max="5080" width="9.6640625" style="10"/>
    <col min="5081" max="5081" width="15.44140625" style="10" customWidth="1"/>
    <col min="5082" max="5082" width="16.21875" style="10" customWidth="1"/>
    <col min="5083" max="5094" width="9.6640625" style="10"/>
    <col min="5095" max="5095" width="12" style="10" customWidth="1"/>
    <col min="5096" max="5096" width="12.77734375" style="10" customWidth="1"/>
    <col min="5097" max="5097" width="11.109375" style="10" customWidth="1"/>
    <col min="5098" max="5098" width="12" style="10" customWidth="1"/>
    <col min="5099" max="5099" width="9.6640625" style="10"/>
    <col min="5100" max="5100" width="15.33203125" style="10" customWidth="1"/>
    <col min="5101" max="5101" width="15.21875" style="10" customWidth="1"/>
    <col min="5102" max="5102" width="21.44140625" style="10" customWidth="1"/>
    <col min="5103" max="5118" width="9.6640625" style="10"/>
    <col min="5119" max="5120" width="13.44140625" style="10" customWidth="1"/>
    <col min="5121" max="5121" width="9.6640625" style="10"/>
    <col min="5122" max="5122" width="13.88671875" style="10" customWidth="1"/>
    <col min="5123" max="5123" width="10.6640625" style="10" customWidth="1"/>
    <col min="5124" max="5124" width="17.33203125" style="10" customWidth="1"/>
    <col min="5125" max="5126" width="12.6640625" style="10" customWidth="1"/>
    <col min="5127" max="5127" width="11.21875" style="10" customWidth="1"/>
    <col min="5128" max="5128" width="18.33203125" style="10" customWidth="1"/>
    <col min="5129" max="5129" width="12.88671875" style="10" customWidth="1"/>
    <col min="5130" max="5131" width="13.21875" style="10" customWidth="1"/>
    <col min="5132" max="5132" width="10.88671875" style="10" customWidth="1"/>
    <col min="5133" max="5133" width="11.109375" style="10" customWidth="1"/>
    <col min="5134" max="5134" width="15.21875" style="10" customWidth="1"/>
    <col min="5135" max="5135" width="9.6640625" style="10"/>
    <col min="5136" max="5136" width="11" style="10" customWidth="1"/>
    <col min="5137" max="5137" width="10.77734375" style="10" customWidth="1"/>
    <col min="5138" max="5138" width="11.44140625" style="10" customWidth="1"/>
    <col min="5139" max="5139" width="4" style="10" customWidth="1"/>
    <col min="5140" max="5330" width="9.6640625" style="10"/>
    <col min="5331" max="5331" width="6.44140625" style="10" customWidth="1"/>
    <col min="5332" max="5332" width="13.88671875" style="10" customWidth="1"/>
    <col min="5333" max="5333" width="11.88671875" style="10" customWidth="1"/>
    <col min="5334" max="5336" width="9.6640625" style="10"/>
    <col min="5337" max="5337" width="15.44140625" style="10" customWidth="1"/>
    <col min="5338" max="5338" width="16.21875" style="10" customWidth="1"/>
    <col min="5339" max="5350" width="9.6640625" style="10"/>
    <col min="5351" max="5351" width="12" style="10" customWidth="1"/>
    <col min="5352" max="5352" width="12.77734375" style="10" customWidth="1"/>
    <col min="5353" max="5353" width="11.109375" style="10" customWidth="1"/>
    <col min="5354" max="5354" width="12" style="10" customWidth="1"/>
    <col min="5355" max="5355" width="9.6640625" style="10"/>
    <col min="5356" max="5356" width="15.33203125" style="10" customWidth="1"/>
    <col min="5357" max="5357" width="15.21875" style="10" customWidth="1"/>
    <col min="5358" max="5358" width="21.44140625" style="10" customWidth="1"/>
    <col min="5359" max="5374" width="9.6640625" style="10"/>
    <col min="5375" max="5376" width="13.44140625" style="10" customWidth="1"/>
    <col min="5377" max="5377" width="9.6640625" style="10"/>
    <col min="5378" max="5378" width="13.88671875" style="10" customWidth="1"/>
    <col min="5379" max="5379" width="10.6640625" style="10" customWidth="1"/>
    <col min="5380" max="5380" width="17.33203125" style="10" customWidth="1"/>
    <col min="5381" max="5382" width="12.6640625" style="10" customWidth="1"/>
    <col min="5383" max="5383" width="11.21875" style="10" customWidth="1"/>
    <col min="5384" max="5384" width="18.33203125" style="10" customWidth="1"/>
    <col min="5385" max="5385" width="12.88671875" style="10" customWidth="1"/>
    <col min="5386" max="5387" width="13.21875" style="10" customWidth="1"/>
    <col min="5388" max="5388" width="10.88671875" style="10" customWidth="1"/>
    <col min="5389" max="5389" width="11.109375" style="10" customWidth="1"/>
    <col min="5390" max="5390" width="15.21875" style="10" customWidth="1"/>
    <col min="5391" max="5391" width="9.6640625" style="10"/>
    <col min="5392" max="5392" width="11" style="10" customWidth="1"/>
    <col min="5393" max="5393" width="10.77734375" style="10" customWidth="1"/>
    <col min="5394" max="5394" width="11.44140625" style="10" customWidth="1"/>
    <col min="5395" max="5395" width="4" style="10" customWidth="1"/>
    <col min="5396" max="5586" width="9.6640625" style="10"/>
    <col min="5587" max="5587" width="6.44140625" style="10" customWidth="1"/>
    <col min="5588" max="5588" width="13.88671875" style="10" customWidth="1"/>
    <col min="5589" max="5589" width="11.88671875" style="10" customWidth="1"/>
    <col min="5590" max="5592" width="9.6640625" style="10"/>
    <col min="5593" max="5593" width="15.44140625" style="10" customWidth="1"/>
    <col min="5594" max="5594" width="16.21875" style="10" customWidth="1"/>
    <col min="5595" max="5606" width="9.6640625" style="10"/>
    <col min="5607" max="5607" width="12" style="10" customWidth="1"/>
    <col min="5608" max="5608" width="12.77734375" style="10" customWidth="1"/>
    <col min="5609" max="5609" width="11.109375" style="10" customWidth="1"/>
    <col min="5610" max="5610" width="12" style="10" customWidth="1"/>
    <col min="5611" max="5611" width="9.6640625" style="10"/>
    <col min="5612" max="5612" width="15.33203125" style="10" customWidth="1"/>
    <col min="5613" max="5613" width="15.21875" style="10" customWidth="1"/>
    <col min="5614" max="5614" width="21.44140625" style="10" customWidth="1"/>
    <col min="5615" max="5630" width="9.6640625" style="10"/>
    <col min="5631" max="5632" width="13.44140625" style="10" customWidth="1"/>
    <col min="5633" max="5633" width="9.6640625" style="10"/>
    <col min="5634" max="5634" width="13.88671875" style="10" customWidth="1"/>
    <col min="5635" max="5635" width="10.6640625" style="10" customWidth="1"/>
    <col min="5636" max="5636" width="17.33203125" style="10" customWidth="1"/>
    <col min="5637" max="5638" width="12.6640625" style="10" customWidth="1"/>
    <col min="5639" max="5639" width="11.21875" style="10" customWidth="1"/>
    <col min="5640" max="5640" width="18.33203125" style="10" customWidth="1"/>
    <col min="5641" max="5641" width="12.88671875" style="10" customWidth="1"/>
    <col min="5642" max="5643" width="13.21875" style="10" customWidth="1"/>
    <col min="5644" max="5644" width="10.88671875" style="10" customWidth="1"/>
    <col min="5645" max="5645" width="11.109375" style="10" customWidth="1"/>
    <col min="5646" max="5646" width="15.21875" style="10" customWidth="1"/>
    <col min="5647" max="5647" width="9.6640625" style="10"/>
    <col min="5648" max="5648" width="11" style="10" customWidth="1"/>
    <col min="5649" max="5649" width="10.77734375" style="10" customWidth="1"/>
    <col min="5650" max="5650" width="11.44140625" style="10" customWidth="1"/>
    <col min="5651" max="5651" width="4" style="10" customWidth="1"/>
    <col min="5652" max="5842" width="9.6640625" style="10"/>
    <col min="5843" max="5843" width="6.44140625" style="10" customWidth="1"/>
    <col min="5844" max="5844" width="13.88671875" style="10" customWidth="1"/>
    <col min="5845" max="5845" width="11.88671875" style="10" customWidth="1"/>
    <col min="5846" max="5848" width="9.6640625" style="10"/>
    <col min="5849" max="5849" width="15.44140625" style="10" customWidth="1"/>
    <col min="5850" max="5850" width="16.21875" style="10" customWidth="1"/>
    <col min="5851" max="5862" width="9.6640625" style="10"/>
    <col min="5863" max="5863" width="12" style="10" customWidth="1"/>
    <col min="5864" max="5864" width="12.77734375" style="10" customWidth="1"/>
    <col min="5865" max="5865" width="11.109375" style="10" customWidth="1"/>
    <col min="5866" max="5866" width="12" style="10" customWidth="1"/>
    <col min="5867" max="5867" width="9.6640625" style="10"/>
    <col min="5868" max="5868" width="15.33203125" style="10" customWidth="1"/>
    <col min="5869" max="5869" width="15.21875" style="10" customWidth="1"/>
    <col min="5870" max="5870" width="21.44140625" style="10" customWidth="1"/>
    <col min="5871" max="5886" width="9.6640625" style="10"/>
    <col min="5887" max="5888" width="13.44140625" style="10" customWidth="1"/>
    <col min="5889" max="5889" width="9.6640625" style="10"/>
    <col min="5890" max="5890" width="13.88671875" style="10" customWidth="1"/>
    <col min="5891" max="5891" width="10.6640625" style="10" customWidth="1"/>
    <col min="5892" max="5892" width="17.33203125" style="10" customWidth="1"/>
    <col min="5893" max="5894" width="12.6640625" style="10" customWidth="1"/>
    <col min="5895" max="5895" width="11.21875" style="10" customWidth="1"/>
    <col min="5896" max="5896" width="18.33203125" style="10" customWidth="1"/>
    <col min="5897" max="5897" width="12.88671875" style="10" customWidth="1"/>
    <col min="5898" max="5899" width="13.21875" style="10" customWidth="1"/>
    <col min="5900" max="5900" width="10.88671875" style="10" customWidth="1"/>
    <col min="5901" max="5901" width="11.109375" style="10" customWidth="1"/>
    <col min="5902" max="5902" width="15.21875" style="10" customWidth="1"/>
    <col min="5903" max="5903" width="9.6640625" style="10"/>
    <col min="5904" max="5904" width="11" style="10" customWidth="1"/>
    <col min="5905" max="5905" width="10.77734375" style="10" customWidth="1"/>
    <col min="5906" max="5906" width="11.44140625" style="10" customWidth="1"/>
    <col min="5907" max="5907" width="4" style="10" customWidth="1"/>
    <col min="5908" max="6098" width="9.6640625" style="10"/>
    <col min="6099" max="6099" width="6.44140625" style="10" customWidth="1"/>
    <col min="6100" max="6100" width="13.88671875" style="10" customWidth="1"/>
    <col min="6101" max="6101" width="11.88671875" style="10" customWidth="1"/>
    <col min="6102" max="6104" width="9.6640625" style="10"/>
    <col min="6105" max="6105" width="15.44140625" style="10" customWidth="1"/>
    <col min="6106" max="6106" width="16.21875" style="10" customWidth="1"/>
    <col min="6107" max="6118" width="9.6640625" style="10"/>
    <col min="6119" max="6119" width="12" style="10" customWidth="1"/>
    <col min="6120" max="6120" width="12.77734375" style="10" customWidth="1"/>
    <col min="6121" max="6121" width="11.109375" style="10" customWidth="1"/>
    <col min="6122" max="6122" width="12" style="10" customWidth="1"/>
    <col min="6123" max="6123" width="9.6640625" style="10"/>
    <col min="6124" max="6124" width="15.33203125" style="10" customWidth="1"/>
    <col min="6125" max="6125" width="15.21875" style="10" customWidth="1"/>
    <col min="6126" max="6126" width="21.44140625" style="10" customWidth="1"/>
    <col min="6127" max="6142" width="9.6640625" style="10"/>
    <col min="6143" max="6144" width="13.44140625" style="10" customWidth="1"/>
    <col min="6145" max="6145" width="9.6640625" style="10"/>
    <col min="6146" max="6146" width="13.88671875" style="10" customWidth="1"/>
    <col min="6147" max="6147" width="10.6640625" style="10" customWidth="1"/>
    <col min="6148" max="6148" width="17.33203125" style="10" customWidth="1"/>
    <col min="6149" max="6150" width="12.6640625" style="10" customWidth="1"/>
    <col min="6151" max="6151" width="11.21875" style="10" customWidth="1"/>
    <col min="6152" max="6152" width="18.33203125" style="10" customWidth="1"/>
    <col min="6153" max="6153" width="12.88671875" style="10" customWidth="1"/>
    <col min="6154" max="6155" width="13.21875" style="10" customWidth="1"/>
    <col min="6156" max="6156" width="10.88671875" style="10" customWidth="1"/>
    <col min="6157" max="6157" width="11.109375" style="10" customWidth="1"/>
    <col min="6158" max="6158" width="15.21875" style="10" customWidth="1"/>
    <col min="6159" max="6159" width="9.6640625" style="10"/>
    <col min="6160" max="6160" width="11" style="10" customWidth="1"/>
    <col min="6161" max="6161" width="10.77734375" style="10" customWidth="1"/>
    <col min="6162" max="6162" width="11.44140625" style="10" customWidth="1"/>
    <col min="6163" max="6163" width="4" style="10" customWidth="1"/>
    <col min="6164" max="6354" width="9.6640625" style="10"/>
    <col min="6355" max="6355" width="6.44140625" style="10" customWidth="1"/>
    <col min="6356" max="6356" width="13.88671875" style="10" customWidth="1"/>
    <col min="6357" max="6357" width="11.88671875" style="10" customWidth="1"/>
    <col min="6358" max="6360" width="9.6640625" style="10"/>
    <col min="6361" max="6361" width="15.44140625" style="10" customWidth="1"/>
    <col min="6362" max="6362" width="16.21875" style="10" customWidth="1"/>
    <col min="6363" max="6374" width="9.6640625" style="10"/>
    <col min="6375" max="6375" width="12" style="10" customWidth="1"/>
    <col min="6376" max="6376" width="12.77734375" style="10" customWidth="1"/>
    <col min="6377" max="6377" width="11.109375" style="10" customWidth="1"/>
    <col min="6378" max="6378" width="12" style="10" customWidth="1"/>
    <col min="6379" max="6379" width="9.6640625" style="10"/>
    <col min="6380" max="6380" width="15.33203125" style="10" customWidth="1"/>
    <col min="6381" max="6381" width="15.21875" style="10" customWidth="1"/>
    <col min="6382" max="6382" width="21.44140625" style="10" customWidth="1"/>
    <col min="6383" max="6398" width="9.6640625" style="10"/>
    <col min="6399" max="6400" width="13.44140625" style="10" customWidth="1"/>
    <col min="6401" max="6401" width="9.6640625" style="10"/>
    <col min="6402" max="6402" width="13.88671875" style="10" customWidth="1"/>
    <col min="6403" max="6403" width="10.6640625" style="10" customWidth="1"/>
    <col min="6404" max="6404" width="17.33203125" style="10" customWidth="1"/>
    <col min="6405" max="6406" width="12.6640625" style="10" customWidth="1"/>
    <col min="6407" max="6407" width="11.21875" style="10" customWidth="1"/>
    <col min="6408" max="6408" width="18.33203125" style="10" customWidth="1"/>
    <col min="6409" max="6409" width="12.88671875" style="10" customWidth="1"/>
    <col min="6410" max="6411" width="13.21875" style="10" customWidth="1"/>
    <col min="6412" max="6412" width="10.88671875" style="10" customWidth="1"/>
    <col min="6413" max="6413" width="11.109375" style="10" customWidth="1"/>
    <col min="6414" max="6414" width="15.21875" style="10" customWidth="1"/>
    <col min="6415" max="6415" width="9.6640625" style="10"/>
    <col min="6416" max="6416" width="11" style="10" customWidth="1"/>
    <col min="6417" max="6417" width="10.77734375" style="10" customWidth="1"/>
    <col min="6418" max="6418" width="11.44140625" style="10" customWidth="1"/>
    <col min="6419" max="6419" width="4" style="10" customWidth="1"/>
    <col min="6420" max="6610" width="9.6640625" style="10"/>
    <col min="6611" max="6611" width="6.44140625" style="10" customWidth="1"/>
    <col min="6612" max="6612" width="13.88671875" style="10" customWidth="1"/>
    <col min="6613" max="6613" width="11.88671875" style="10" customWidth="1"/>
    <col min="6614" max="6616" width="9.6640625" style="10"/>
    <col min="6617" max="6617" width="15.44140625" style="10" customWidth="1"/>
    <col min="6618" max="6618" width="16.21875" style="10" customWidth="1"/>
    <col min="6619" max="6630" width="9.6640625" style="10"/>
    <col min="6631" max="6631" width="12" style="10" customWidth="1"/>
    <col min="6632" max="6632" width="12.77734375" style="10" customWidth="1"/>
    <col min="6633" max="6633" width="11.109375" style="10" customWidth="1"/>
    <col min="6634" max="6634" width="12" style="10" customWidth="1"/>
    <col min="6635" max="6635" width="9.6640625" style="10"/>
    <col min="6636" max="6636" width="15.33203125" style="10" customWidth="1"/>
    <col min="6637" max="6637" width="15.21875" style="10" customWidth="1"/>
    <col min="6638" max="6638" width="21.44140625" style="10" customWidth="1"/>
    <col min="6639" max="6654" width="9.6640625" style="10"/>
    <col min="6655" max="6656" width="13.44140625" style="10" customWidth="1"/>
    <col min="6657" max="6657" width="9.6640625" style="10"/>
    <col min="6658" max="6658" width="13.88671875" style="10" customWidth="1"/>
    <col min="6659" max="6659" width="10.6640625" style="10" customWidth="1"/>
    <col min="6660" max="6660" width="17.33203125" style="10" customWidth="1"/>
    <col min="6661" max="6662" width="12.6640625" style="10" customWidth="1"/>
    <col min="6663" max="6663" width="11.21875" style="10" customWidth="1"/>
    <col min="6664" max="6664" width="18.33203125" style="10" customWidth="1"/>
    <col min="6665" max="6665" width="12.88671875" style="10" customWidth="1"/>
    <col min="6666" max="6667" width="13.21875" style="10" customWidth="1"/>
    <col min="6668" max="6668" width="10.88671875" style="10" customWidth="1"/>
    <col min="6669" max="6669" width="11.109375" style="10" customWidth="1"/>
    <col min="6670" max="6670" width="15.21875" style="10" customWidth="1"/>
    <col min="6671" max="6671" width="9.6640625" style="10"/>
    <col min="6672" max="6672" width="11" style="10" customWidth="1"/>
    <col min="6673" max="6673" width="10.77734375" style="10" customWidth="1"/>
    <col min="6674" max="6674" width="11.44140625" style="10" customWidth="1"/>
    <col min="6675" max="6675" width="4" style="10" customWidth="1"/>
    <col min="6676" max="6866" width="9.6640625" style="10"/>
    <col min="6867" max="6867" width="6.44140625" style="10" customWidth="1"/>
    <col min="6868" max="6868" width="13.88671875" style="10" customWidth="1"/>
    <col min="6869" max="6869" width="11.88671875" style="10" customWidth="1"/>
    <col min="6870" max="6872" width="9.6640625" style="10"/>
    <col min="6873" max="6873" width="15.44140625" style="10" customWidth="1"/>
    <col min="6874" max="6874" width="16.21875" style="10" customWidth="1"/>
    <col min="6875" max="6886" width="9.6640625" style="10"/>
    <col min="6887" max="6887" width="12" style="10" customWidth="1"/>
    <col min="6888" max="6888" width="12.77734375" style="10" customWidth="1"/>
    <col min="6889" max="6889" width="11.109375" style="10" customWidth="1"/>
    <col min="6890" max="6890" width="12" style="10" customWidth="1"/>
    <col min="6891" max="6891" width="9.6640625" style="10"/>
    <col min="6892" max="6892" width="15.33203125" style="10" customWidth="1"/>
    <col min="6893" max="6893" width="15.21875" style="10" customWidth="1"/>
    <col min="6894" max="6894" width="21.44140625" style="10" customWidth="1"/>
    <col min="6895" max="6910" width="9.6640625" style="10"/>
    <col min="6911" max="6912" width="13.44140625" style="10" customWidth="1"/>
    <col min="6913" max="6913" width="9.6640625" style="10"/>
    <col min="6914" max="6914" width="13.88671875" style="10" customWidth="1"/>
    <col min="6915" max="6915" width="10.6640625" style="10" customWidth="1"/>
    <col min="6916" max="6916" width="17.33203125" style="10" customWidth="1"/>
    <col min="6917" max="6918" width="12.6640625" style="10" customWidth="1"/>
    <col min="6919" max="6919" width="11.21875" style="10" customWidth="1"/>
    <col min="6920" max="6920" width="18.33203125" style="10" customWidth="1"/>
    <col min="6921" max="6921" width="12.88671875" style="10" customWidth="1"/>
    <col min="6922" max="6923" width="13.21875" style="10" customWidth="1"/>
    <col min="6924" max="6924" width="10.88671875" style="10" customWidth="1"/>
    <col min="6925" max="6925" width="11.109375" style="10" customWidth="1"/>
    <col min="6926" max="6926" width="15.21875" style="10" customWidth="1"/>
    <col min="6927" max="6927" width="9.6640625" style="10"/>
    <col min="6928" max="6928" width="11" style="10" customWidth="1"/>
    <col min="6929" max="6929" width="10.77734375" style="10" customWidth="1"/>
    <col min="6930" max="6930" width="11.44140625" style="10" customWidth="1"/>
    <col min="6931" max="6931" width="4" style="10" customWidth="1"/>
    <col min="6932" max="7122" width="9.6640625" style="10"/>
    <col min="7123" max="7123" width="6.44140625" style="10" customWidth="1"/>
    <col min="7124" max="7124" width="13.88671875" style="10" customWidth="1"/>
    <col min="7125" max="7125" width="11.88671875" style="10" customWidth="1"/>
    <col min="7126" max="7128" width="9.6640625" style="10"/>
    <col min="7129" max="7129" width="15.44140625" style="10" customWidth="1"/>
    <col min="7130" max="7130" width="16.21875" style="10" customWidth="1"/>
    <col min="7131" max="7142" width="9.6640625" style="10"/>
    <col min="7143" max="7143" width="12" style="10" customWidth="1"/>
    <col min="7144" max="7144" width="12.77734375" style="10" customWidth="1"/>
    <col min="7145" max="7145" width="11.109375" style="10" customWidth="1"/>
    <col min="7146" max="7146" width="12" style="10" customWidth="1"/>
    <col min="7147" max="7147" width="9.6640625" style="10"/>
    <col min="7148" max="7148" width="15.33203125" style="10" customWidth="1"/>
    <col min="7149" max="7149" width="15.21875" style="10" customWidth="1"/>
    <col min="7150" max="7150" width="21.44140625" style="10" customWidth="1"/>
    <col min="7151" max="7166" width="9.6640625" style="10"/>
    <col min="7167" max="7168" width="13.44140625" style="10" customWidth="1"/>
    <col min="7169" max="7169" width="9.6640625" style="10"/>
    <col min="7170" max="7170" width="13.88671875" style="10" customWidth="1"/>
    <col min="7171" max="7171" width="10.6640625" style="10" customWidth="1"/>
    <col min="7172" max="7172" width="17.33203125" style="10" customWidth="1"/>
    <col min="7173" max="7174" width="12.6640625" style="10" customWidth="1"/>
    <col min="7175" max="7175" width="11.21875" style="10" customWidth="1"/>
    <col min="7176" max="7176" width="18.33203125" style="10" customWidth="1"/>
    <col min="7177" max="7177" width="12.88671875" style="10" customWidth="1"/>
    <col min="7178" max="7179" width="13.21875" style="10" customWidth="1"/>
    <col min="7180" max="7180" width="10.88671875" style="10" customWidth="1"/>
    <col min="7181" max="7181" width="11.109375" style="10" customWidth="1"/>
    <col min="7182" max="7182" width="15.21875" style="10" customWidth="1"/>
    <col min="7183" max="7183" width="9.6640625" style="10"/>
    <col min="7184" max="7184" width="11" style="10" customWidth="1"/>
    <col min="7185" max="7185" width="10.77734375" style="10" customWidth="1"/>
    <col min="7186" max="7186" width="11.44140625" style="10" customWidth="1"/>
    <col min="7187" max="7187" width="4" style="10" customWidth="1"/>
    <col min="7188" max="7378" width="9.6640625" style="10"/>
    <col min="7379" max="7379" width="6.44140625" style="10" customWidth="1"/>
    <col min="7380" max="7380" width="13.88671875" style="10" customWidth="1"/>
    <col min="7381" max="7381" width="11.88671875" style="10" customWidth="1"/>
    <col min="7382" max="7384" width="9.6640625" style="10"/>
    <col min="7385" max="7385" width="15.44140625" style="10" customWidth="1"/>
    <col min="7386" max="7386" width="16.21875" style="10" customWidth="1"/>
    <col min="7387" max="7398" width="9.6640625" style="10"/>
    <col min="7399" max="7399" width="12" style="10" customWidth="1"/>
    <col min="7400" max="7400" width="12.77734375" style="10" customWidth="1"/>
    <col min="7401" max="7401" width="11.109375" style="10" customWidth="1"/>
    <col min="7402" max="7402" width="12" style="10" customWidth="1"/>
    <col min="7403" max="7403" width="9.6640625" style="10"/>
    <col min="7404" max="7404" width="15.33203125" style="10" customWidth="1"/>
    <col min="7405" max="7405" width="15.21875" style="10" customWidth="1"/>
    <col min="7406" max="7406" width="21.44140625" style="10" customWidth="1"/>
    <col min="7407" max="7422" width="9.6640625" style="10"/>
    <col min="7423" max="7424" width="13.44140625" style="10" customWidth="1"/>
    <col min="7425" max="7425" width="9.6640625" style="10"/>
    <col min="7426" max="7426" width="13.88671875" style="10" customWidth="1"/>
    <col min="7427" max="7427" width="10.6640625" style="10" customWidth="1"/>
    <col min="7428" max="7428" width="17.33203125" style="10" customWidth="1"/>
    <col min="7429" max="7430" width="12.6640625" style="10" customWidth="1"/>
    <col min="7431" max="7431" width="11.21875" style="10" customWidth="1"/>
    <col min="7432" max="7432" width="18.33203125" style="10" customWidth="1"/>
    <col min="7433" max="7433" width="12.88671875" style="10" customWidth="1"/>
    <col min="7434" max="7435" width="13.21875" style="10" customWidth="1"/>
    <col min="7436" max="7436" width="10.88671875" style="10" customWidth="1"/>
    <col min="7437" max="7437" width="11.109375" style="10" customWidth="1"/>
    <col min="7438" max="7438" width="15.21875" style="10" customWidth="1"/>
    <col min="7439" max="7439" width="9.6640625" style="10"/>
    <col min="7440" max="7440" width="11" style="10" customWidth="1"/>
    <col min="7441" max="7441" width="10.77734375" style="10" customWidth="1"/>
    <col min="7442" max="7442" width="11.44140625" style="10" customWidth="1"/>
    <col min="7443" max="7443" width="4" style="10" customWidth="1"/>
    <col min="7444" max="7634" width="9.6640625" style="10"/>
    <col min="7635" max="7635" width="6.44140625" style="10" customWidth="1"/>
    <col min="7636" max="7636" width="13.88671875" style="10" customWidth="1"/>
    <col min="7637" max="7637" width="11.88671875" style="10" customWidth="1"/>
    <col min="7638" max="7640" width="9.6640625" style="10"/>
    <col min="7641" max="7641" width="15.44140625" style="10" customWidth="1"/>
    <col min="7642" max="7642" width="16.21875" style="10" customWidth="1"/>
    <col min="7643" max="7654" width="9.6640625" style="10"/>
    <col min="7655" max="7655" width="12" style="10" customWidth="1"/>
    <col min="7656" max="7656" width="12.77734375" style="10" customWidth="1"/>
    <col min="7657" max="7657" width="11.109375" style="10" customWidth="1"/>
    <col min="7658" max="7658" width="12" style="10" customWidth="1"/>
    <col min="7659" max="7659" width="9.6640625" style="10"/>
    <col min="7660" max="7660" width="15.33203125" style="10" customWidth="1"/>
    <col min="7661" max="7661" width="15.21875" style="10" customWidth="1"/>
    <col min="7662" max="7662" width="21.44140625" style="10" customWidth="1"/>
    <col min="7663" max="7678" width="9.6640625" style="10"/>
    <col min="7679" max="7680" width="13.44140625" style="10" customWidth="1"/>
    <col min="7681" max="7681" width="9.6640625" style="10"/>
    <col min="7682" max="7682" width="13.88671875" style="10" customWidth="1"/>
    <col min="7683" max="7683" width="10.6640625" style="10" customWidth="1"/>
    <col min="7684" max="7684" width="17.33203125" style="10" customWidth="1"/>
    <col min="7685" max="7686" width="12.6640625" style="10" customWidth="1"/>
    <col min="7687" max="7687" width="11.21875" style="10" customWidth="1"/>
    <col min="7688" max="7688" width="18.33203125" style="10" customWidth="1"/>
    <col min="7689" max="7689" width="12.88671875" style="10" customWidth="1"/>
    <col min="7690" max="7691" width="13.21875" style="10" customWidth="1"/>
    <col min="7692" max="7692" width="10.88671875" style="10" customWidth="1"/>
    <col min="7693" max="7693" width="11.109375" style="10" customWidth="1"/>
    <col min="7694" max="7694" width="15.21875" style="10" customWidth="1"/>
    <col min="7695" max="7695" width="9.6640625" style="10"/>
    <col min="7696" max="7696" width="11" style="10" customWidth="1"/>
    <col min="7697" max="7697" width="10.77734375" style="10" customWidth="1"/>
    <col min="7698" max="7698" width="11.44140625" style="10" customWidth="1"/>
    <col min="7699" max="7699" width="4" style="10" customWidth="1"/>
    <col min="7700" max="7890" width="9.6640625" style="10"/>
    <col min="7891" max="7891" width="6.44140625" style="10" customWidth="1"/>
    <col min="7892" max="7892" width="13.88671875" style="10" customWidth="1"/>
    <col min="7893" max="7893" width="11.88671875" style="10" customWidth="1"/>
    <col min="7894" max="7896" width="9.6640625" style="10"/>
    <col min="7897" max="7897" width="15.44140625" style="10" customWidth="1"/>
    <col min="7898" max="7898" width="16.21875" style="10" customWidth="1"/>
    <col min="7899" max="7910" width="9.6640625" style="10"/>
    <col min="7911" max="7911" width="12" style="10" customWidth="1"/>
    <col min="7912" max="7912" width="12.77734375" style="10" customWidth="1"/>
    <col min="7913" max="7913" width="11.109375" style="10" customWidth="1"/>
    <col min="7914" max="7914" width="12" style="10" customWidth="1"/>
    <col min="7915" max="7915" width="9.6640625" style="10"/>
    <col min="7916" max="7916" width="15.33203125" style="10" customWidth="1"/>
    <col min="7917" max="7917" width="15.21875" style="10" customWidth="1"/>
    <col min="7918" max="7918" width="21.44140625" style="10" customWidth="1"/>
    <col min="7919" max="7934" width="9.6640625" style="10"/>
    <col min="7935" max="7936" width="13.44140625" style="10" customWidth="1"/>
    <col min="7937" max="7937" width="9.6640625" style="10"/>
    <col min="7938" max="7938" width="13.88671875" style="10" customWidth="1"/>
    <col min="7939" max="7939" width="10.6640625" style="10" customWidth="1"/>
    <col min="7940" max="7940" width="17.33203125" style="10" customWidth="1"/>
    <col min="7941" max="7942" width="12.6640625" style="10" customWidth="1"/>
    <col min="7943" max="7943" width="11.21875" style="10" customWidth="1"/>
    <col min="7944" max="7944" width="18.33203125" style="10" customWidth="1"/>
    <col min="7945" max="7945" width="12.88671875" style="10" customWidth="1"/>
    <col min="7946" max="7947" width="13.21875" style="10" customWidth="1"/>
    <col min="7948" max="7948" width="10.88671875" style="10" customWidth="1"/>
    <col min="7949" max="7949" width="11.109375" style="10" customWidth="1"/>
    <col min="7950" max="7950" width="15.21875" style="10" customWidth="1"/>
    <col min="7951" max="7951" width="9.6640625" style="10"/>
    <col min="7952" max="7952" width="11" style="10" customWidth="1"/>
    <col min="7953" max="7953" width="10.77734375" style="10" customWidth="1"/>
    <col min="7954" max="7954" width="11.44140625" style="10" customWidth="1"/>
    <col min="7955" max="7955" width="4" style="10" customWidth="1"/>
    <col min="7956" max="8146" width="9.6640625" style="10"/>
    <col min="8147" max="8147" width="6.44140625" style="10" customWidth="1"/>
    <col min="8148" max="8148" width="13.88671875" style="10" customWidth="1"/>
    <col min="8149" max="8149" width="11.88671875" style="10" customWidth="1"/>
    <col min="8150" max="8152" width="9.6640625" style="10"/>
    <col min="8153" max="8153" width="15.44140625" style="10" customWidth="1"/>
    <col min="8154" max="8154" width="16.21875" style="10" customWidth="1"/>
    <col min="8155" max="8166" width="9.6640625" style="10"/>
    <col min="8167" max="8167" width="12" style="10" customWidth="1"/>
    <col min="8168" max="8168" width="12.77734375" style="10" customWidth="1"/>
    <col min="8169" max="8169" width="11.109375" style="10" customWidth="1"/>
    <col min="8170" max="8170" width="12" style="10" customWidth="1"/>
    <col min="8171" max="8171" width="9.6640625" style="10"/>
    <col min="8172" max="8172" width="15.33203125" style="10" customWidth="1"/>
    <col min="8173" max="8173" width="15.21875" style="10" customWidth="1"/>
    <col min="8174" max="8174" width="21.44140625" style="10" customWidth="1"/>
    <col min="8175" max="8190" width="9.6640625" style="10"/>
    <col min="8191" max="8192" width="13.44140625" style="10" customWidth="1"/>
    <col min="8193" max="8193" width="9.6640625" style="10"/>
    <col min="8194" max="8194" width="13.88671875" style="10" customWidth="1"/>
    <col min="8195" max="8195" width="10.6640625" style="10" customWidth="1"/>
    <col min="8196" max="8196" width="17.33203125" style="10" customWidth="1"/>
    <col min="8197" max="8198" width="12.6640625" style="10" customWidth="1"/>
    <col min="8199" max="8199" width="11.21875" style="10" customWidth="1"/>
    <col min="8200" max="8200" width="18.33203125" style="10" customWidth="1"/>
    <col min="8201" max="8201" width="12.88671875" style="10" customWidth="1"/>
    <col min="8202" max="8203" width="13.21875" style="10" customWidth="1"/>
    <col min="8204" max="8204" width="10.88671875" style="10" customWidth="1"/>
    <col min="8205" max="8205" width="11.109375" style="10" customWidth="1"/>
    <col min="8206" max="8206" width="15.21875" style="10" customWidth="1"/>
    <col min="8207" max="8207" width="9.6640625" style="10"/>
    <col min="8208" max="8208" width="11" style="10" customWidth="1"/>
    <col min="8209" max="8209" width="10.77734375" style="10" customWidth="1"/>
    <col min="8210" max="8210" width="11.44140625" style="10" customWidth="1"/>
    <col min="8211" max="8211" width="4" style="10" customWidth="1"/>
    <col min="8212" max="8402" width="9.6640625" style="10"/>
    <col min="8403" max="8403" width="6.44140625" style="10" customWidth="1"/>
    <col min="8404" max="8404" width="13.88671875" style="10" customWidth="1"/>
    <col min="8405" max="8405" width="11.88671875" style="10" customWidth="1"/>
    <col min="8406" max="8408" width="9.6640625" style="10"/>
    <col min="8409" max="8409" width="15.44140625" style="10" customWidth="1"/>
    <col min="8410" max="8410" width="16.21875" style="10" customWidth="1"/>
    <col min="8411" max="8422" width="9.6640625" style="10"/>
    <col min="8423" max="8423" width="12" style="10" customWidth="1"/>
    <col min="8424" max="8424" width="12.77734375" style="10" customWidth="1"/>
    <col min="8425" max="8425" width="11.109375" style="10" customWidth="1"/>
    <col min="8426" max="8426" width="12" style="10" customWidth="1"/>
    <col min="8427" max="8427" width="9.6640625" style="10"/>
    <col min="8428" max="8428" width="15.33203125" style="10" customWidth="1"/>
    <col min="8429" max="8429" width="15.21875" style="10" customWidth="1"/>
    <col min="8430" max="8430" width="21.44140625" style="10" customWidth="1"/>
    <col min="8431" max="8446" width="9.6640625" style="10"/>
    <col min="8447" max="8448" width="13.44140625" style="10" customWidth="1"/>
    <col min="8449" max="8449" width="9.6640625" style="10"/>
    <col min="8450" max="8450" width="13.88671875" style="10" customWidth="1"/>
    <col min="8451" max="8451" width="10.6640625" style="10" customWidth="1"/>
    <col min="8452" max="8452" width="17.33203125" style="10" customWidth="1"/>
    <col min="8453" max="8454" width="12.6640625" style="10" customWidth="1"/>
    <col min="8455" max="8455" width="11.21875" style="10" customWidth="1"/>
    <col min="8456" max="8456" width="18.33203125" style="10" customWidth="1"/>
    <col min="8457" max="8457" width="12.88671875" style="10" customWidth="1"/>
    <col min="8458" max="8459" width="13.21875" style="10" customWidth="1"/>
    <col min="8460" max="8460" width="10.88671875" style="10" customWidth="1"/>
    <col min="8461" max="8461" width="11.109375" style="10" customWidth="1"/>
    <col min="8462" max="8462" width="15.21875" style="10" customWidth="1"/>
    <col min="8463" max="8463" width="9.6640625" style="10"/>
    <col min="8464" max="8464" width="11" style="10" customWidth="1"/>
    <col min="8465" max="8465" width="10.77734375" style="10" customWidth="1"/>
    <col min="8466" max="8466" width="11.44140625" style="10" customWidth="1"/>
    <col min="8467" max="8467" width="4" style="10" customWidth="1"/>
    <col min="8468" max="8658" width="9.6640625" style="10"/>
    <col min="8659" max="8659" width="6.44140625" style="10" customWidth="1"/>
    <col min="8660" max="8660" width="13.88671875" style="10" customWidth="1"/>
    <col min="8661" max="8661" width="11.88671875" style="10" customWidth="1"/>
    <col min="8662" max="8664" width="9.6640625" style="10"/>
    <col min="8665" max="8665" width="15.44140625" style="10" customWidth="1"/>
    <col min="8666" max="8666" width="16.21875" style="10" customWidth="1"/>
    <col min="8667" max="8678" width="9.6640625" style="10"/>
    <col min="8679" max="8679" width="12" style="10" customWidth="1"/>
    <col min="8680" max="8680" width="12.77734375" style="10" customWidth="1"/>
    <col min="8681" max="8681" width="11.109375" style="10" customWidth="1"/>
    <col min="8682" max="8682" width="12" style="10" customWidth="1"/>
    <col min="8683" max="8683" width="9.6640625" style="10"/>
    <col min="8684" max="8684" width="15.33203125" style="10" customWidth="1"/>
    <col min="8685" max="8685" width="15.21875" style="10" customWidth="1"/>
    <col min="8686" max="8686" width="21.44140625" style="10" customWidth="1"/>
    <col min="8687" max="8702" width="9.6640625" style="10"/>
    <col min="8703" max="8704" width="13.44140625" style="10" customWidth="1"/>
    <col min="8705" max="8705" width="9.6640625" style="10"/>
    <col min="8706" max="8706" width="13.88671875" style="10" customWidth="1"/>
    <col min="8707" max="8707" width="10.6640625" style="10" customWidth="1"/>
    <col min="8708" max="8708" width="17.33203125" style="10" customWidth="1"/>
    <col min="8709" max="8710" width="12.6640625" style="10" customWidth="1"/>
    <col min="8711" max="8711" width="11.21875" style="10" customWidth="1"/>
    <col min="8712" max="8712" width="18.33203125" style="10" customWidth="1"/>
    <col min="8713" max="8713" width="12.88671875" style="10" customWidth="1"/>
    <col min="8714" max="8715" width="13.21875" style="10" customWidth="1"/>
    <col min="8716" max="8716" width="10.88671875" style="10" customWidth="1"/>
    <col min="8717" max="8717" width="11.109375" style="10" customWidth="1"/>
    <col min="8718" max="8718" width="15.21875" style="10" customWidth="1"/>
    <col min="8719" max="8719" width="9.6640625" style="10"/>
    <col min="8720" max="8720" width="11" style="10" customWidth="1"/>
    <col min="8721" max="8721" width="10.77734375" style="10" customWidth="1"/>
    <col min="8722" max="8722" width="11.44140625" style="10" customWidth="1"/>
    <col min="8723" max="8723" width="4" style="10" customWidth="1"/>
    <col min="8724" max="8914" width="9.6640625" style="10"/>
    <col min="8915" max="8915" width="6.44140625" style="10" customWidth="1"/>
    <col min="8916" max="8916" width="13.88671875" style="10" customWidth="1"/>
    <col min="8917" max="8917" width="11.88671875" style="10" customWidth="1"/>
    <col min="8918" max="8920" width="9.6640625" style="10"/>
    <col min="8921" max="8921" width="15.44140625" style="10" customWidth="1"/>
    <col min="8922" max="8922" width="16.21875" style="10" customWidth="1"/>
    <col min="8923" max="8934" width="9.6640625" style="10"/>
    <col min="8935" max="8935" width="12" style="10" customWidth="1"/>
    <col min="8936" max="8936" width="12.77734375" style="10" customWidth="1"/>
    <col min="8937" max="8937" width="11.109375" style="10" customWidth="1"/>
    <col min="8938" max="8938" width="12" style="10" customWidth="1"/>
    <col min="8939" max="8939" width="9.6640625" style="10"/>
    <col min="8940" max="8940" width="15.33203125" style="10" customWidth="1"/>
    <col min="8941" max="8941" width="15.21875" style="10" customWidth="1"/>
    <col min="8942" max="8942" width="21.44140625" style="10" customWidth="1"/>
    <col min="8943" max="8958" width="9.6640625" style="10"/>
    <col min="8959" max="8960" width="13.44140625" style="10" customWidth="1"/>
    <col min="8961" max="8961" width="9.6640625" style="10"/>
    <col min="8962" max="8962" width="13.88671875" style="10" customWidth="1"/>
    <col min="8963" max="8963" width="10.6640625" style="10" customWidth="1"/>
    <col min="8964" max="8964" width="17.33203125" style="10" customWidth="1"/>
    <col min="8965" max="8966" width="12.6640625" style="10" customWidth="1"/>
    <col min="8967" max="8967" width="11.21875" style="10" customWidth="1"/>
    <col min="8968" max="8968" width="18.33203125" style="10" customWidth="1"/>
    <col min="8969" max="8969" width="12.88671875" style="10" customWidth="1"/>
    <col min="8970" max="8971" width="13.21875" style="10" customWidth="1"/>
    <col min="8972" max="8972" width="10.88671875" style="10" customWidth="1"/>
    <col min="8973" max="8973" width="11.109375" style="10" customWidth="1"/>
    <col min="8974" max="8974" width="15.21875" style="10" customWidth="1"/>
    <col min="8975" max="8975" width="9.6640625" style="10"/>
    <col min="8976" max="8976" width="11" style="10" customWidth="1"/>
    <col min="8977" max="8977" width="10.77734375" style="10" customWidth="1"/>
    <col min="8978" max="8978" width="11.44140625" style="10" customWidth="1"/>
    <col min="8979" max="8979" width="4" style="10" customWidth="1"/>
    <col min="8980" max="9170" width="9.6640625" style="10"/>
    <col min="9171" max="9171" width="6.44140625" style="10" customWidth="1"/>
    <col min="9172" max="9172" width="13.88671875" style="10" customWidth="1"/>
    <col min="9173" max="9173" width="11.88671875" style="10" customWidth="1"/>
    <col min="9174" max="9176" width="9.6640625" style="10"/>
    <col min="9177" max="9177" width="15.44140625" style="10" customWidth="1"/>
    <col min="9178" max="9178" width="16.21875" style="10" customWidth="1"/>
    <col min="9179" max="9190" width="9.6640625" style="10"/>
    <col min="9191" max="9191" width="12" style="10" customWidth="1"/>
    <col min="9192" max="9192" width="12.77734375" style="10" customWidth="1"/>
    <col min="9193" max="9193" width="11.109375" style="10" customWidth="1"/>
    <col min="9194" max="9194" width="12" style="10" customWidth="1"/>
    <col min="9195" max="9195" width="9.6640625" style="10"/>
    <col min="9196" max="9196" width="15.33203125" style="10" customWidth="1"/>
    <col min="9197" max="9197" width="15.21875" style="10" customWidth="1"/>
    <col min="9198" max="9198" width="21.44140625" style="10" customWidth="1"/>
    <col min="9199" max="9214" width="9.6640625" style="10"/>
    <col min="9215" max="9216" width="13.44140625" style="10" customWidth="1"/>
    <col min="9217" max="9217" width="9.6640625" style="10"/>
    <col min="9218" max="9218" width="13.88671875" style="10" customWidth="1"/>
    <col min="9219" max="9219" width="10.6640625" style="10" customWidth="1"/>
    <col min="9220" max="9220" width="17.33203125" style="10" customWidth="1"/>
    <col min="9221" max="9222" width="12.6640625" style="10" customWidth="1"/>
    <col min="9223" max="9223" width="11.21875" style="10" customWidth="1"/>
    <col min="9224" max="9224" width="18.33203125" style="10" customWidth="1"/>
    <col min="9225" max="9225" width="12.88671875" style="10" customWidth="1"/>
    <col min="9226" max="9227" width="13.21875" style="10" customWidth="1"/>
    <col min="9228" max="9228" width="10.88671875" style="10" customWidth="1"/>
    <col min="9229" max="9229" width="11.109375" style="10" customWidth="1"/>
    <col min="9230" max="9230" width="15.21875" style="10" customWidth="1"/>
    <col min="9231" max="9231" width="9.6640625" style="10"/>
    <col min="9232" max="9232" width="11" style="10" customWidth="1"/>
    <col min="9233" max="9233" width="10.77734375" style="10" customWidth="1"/>
    <col min="9234" max="9234" width="11.44140625" style="10" customWidth="1"/>
    <col min="9235" max="9235" width="4" style="10" customWidth="1"/>
    <col min="9236" max="9426" width="9.6640625" style="10"/>
    <col min="9427" max="9427" width="6.44140625" style="10" customWidth="1"/>
    <col min="9428" max="9428" width="13.88671875" style="10" customWidth="1"/>
    <col min="9429" max="9429" width="11.88671875" style="10" customWidth="1"/>
    <col min="9430" max="9432" width="9.6640625" style="10"/>
    <col min="9433" max="9433" width="15.44140625" style="10" customWidth="1"/>
    <col min="9434" max="9434" width="16.21875" style="10" customWidth="1"/>
    <col min="9435" max="9446" width="9.6640625" style="10"/>
    <col min="9447" max="9447" width="12" style="10" customWidth="1"/>
    <col min="9448" max="9448" width="12.77734375" style="10" customWidth="1"/>
    <col min="9449" max="9449" width="11.109375" style="10" customWidth="1"/>
    <col min="9450" max="9450" width="12" style="10" customWidth="1"/>
    <col min="9451" max="9451" width="9.6640625" style="10"/>
    <col min="9452" max="9452" width="15.33203125" style="10" customWidth="1"/>
    <col min="9453" max="9453" width="15.21875" style="10" customWidth="1"/>
    <col min="9454" max="9454" width="21.44140625" style="10" customWidth="1"/>
    <col min="9455" max="9470" width="9.6640625" style="10"/>
    <col min="9471" max="9472" width="13.44140625" style="10" customWidth="1"/>
    <col min="9473" max="9473" width="9.6640625" style="10"/>
    <col min="9474" max="9474" width="13.88671875" style="10" customWidth="1"/>
    <col min="9475" max="9475" width="10.6640625" style="10" customWidth="1"/>
    <col min="9476" max="9476" width="17.33203125" style="10" customWidth="1"/>
    <col min="9477" max="9478" width="12.6640625" style="10" customWidth="1"/>
    <col min="9479" max="9479" width="11.21875" style="10" customWidth="1"/>
    <col min="9480" max="9480" width="18.33203125" style="10" customWidth="1"/>
    <col min="9481" max="9481" width="12.88671875" style="10" customWidth="1"/>
    <col min="9482" max="9483" width="13.21875" style="10" customWidth="1"/>
    <col min="9484" max="9484" width="10.88671875" style="10" customWidth="1"/>
    <col min="9485" max="9485" width="11.109375" style="10" customWidth="1"/>
    <col min="9486" max="9486" width="15.21875" style="10" customWidth="1"/>
    <col min="9487" max="9487" width="9.6640625" style="10"/>
    <col min="9488" max="9488" width="11" style="10" customWidth="1"/>
    <col min="9489" max="9489" width="10.77734375" style="10" customWidth="1"/>
    <col min="9490" max="9490" width="11.44140625" style="10" customWidth="1"/>
    <col min="9491" max="9491" width="4" style="10" customWidth="1"/>
    <col min="9492" max="9682" width="9.6640625" style="10"/>
    <col min="9683" max="9683" width="6.44140625" style="10" customWidth="1"/>
    <col min="9684" max="9684" width="13.88671875" style="10" customWidth="1"/>
    <col min="9685" max="9685" width="11.88671875" style="10" customWidth="1"/>
    <col min="9686" max="9688" width="9.6640625" style="10"/>
    <col min="9689" max="9689" width="15.44140625" style="10" customWidth="1"/>
    <col min="9690" max="9690" width="16.21875" style="10" customWidth="1"/>
    <col min="9691" max="9702" width="9.6640625" style="10"/>
    <col min="9703" max="9703" width="12" style="10" customWidth="1"/>
    <col min="9704" max="9704" width="12.77734375" style="10" customWidth="1"/>
    <col min="9705" max="9705" width="11.109375" style="10" customWidth="1"/>
    <col min="9706" max="9706" width="12" style="10" customWidth="1"/>
    <col min="9707" max="9707" width="9.6640625" style="10"/>
    <col min="9708" max="9708" width="15.33203125" style="10" customWidth="1"/>
    <col min="9709" max="9709" width="15.21875" style="10" customWidth="1"/>
    <col min="9710" max="9710" width="21.44140625" style="10" customWidth="1"/>
    <col min="9711" max="9726" width="9.6640625" style="10"/>
    <col min="9727" max="9728" width="13.44140625" style="10" customWidth="1"/>
    <col min="9729" max="9729" width="9.6640625" style="10"/>
    <col min="9730" max="9730" width="13.88671875" style="10" customWidth="1"/>
    <col min="9731" max="9731" width="10.6640625" style="10" customWidth="1"/>
    <col min="9732" max="9732" width="17.33203125" style="10" customWidth="1"/>
    <col min="9733" max="9734" width="12.6640625" style="10" customWidth="1"/>
    <col min="9735" max="9735" width="11.21875" style="10" customWidth="1"/>
    <col min="9736" max="9736" width="18.33203125" style="10" customWidth="1"/>
    <col min="9737" max="9737" width="12.88671875" style="10" customWidth="1"/>
    <col min="9738" max="9739" width="13.21875" style="10" customWidth="1"/>
    <col min="9740" max="9740" width="10.88671875" style="10" customWidth="1"/>
    <col min="9741" max="9741" width="11.109375" style="10" customWidth="1"/>
    <col min="9742" max="9742" width="15.21875" style="10" customWidth="1"/>
    <col min="9743" max="9743" width="9.6640625" style="10"/>
    <col min="9744" max="9744" width="11" style="10" customWidth="1"/>
    <col min="9745" max="9745" width="10.77734375" style="10" customWidth="1"/>
    <col min="9746" max="9746" width="11.44140625" style="10" customWidth="1"/>
    <col min="9747" max="9747" width="4" style="10" customWidth="1"/>
    <col min="9748" max="9938" width="9.6640625" style="10"/>
    <col min="9939" max="9939" width="6.44140625" style="10" customWidth="1"/>
    <col min="9940" max="9940" width="13.88671875" style="10" customWidth="1"/>
    <col min="9941" max="9941" width="11.88671875" style="10" customWidth="1"/>
    <col min="9942" max="9944" width="9.6640625" style="10"/>
    <col min="9945" max="9945" width="15.44140625" style="10" customWidth="1"/>
    <col min="9946" max="9946" width="16.21875" style="10" customWidth="1"/>
    <col min="9947" max="9958" width="9.6640625" style="10"/>
    <col min="9959" max="9959" width="12" style="10" customWidth="1"/>
    <col min="9960" max="9960" width="12.77734375" style="10" customWidth="1"/>
    <col min="9961" max="9961" width="11.109375" style="10" customWidth="1"/>
    <col min="9962" max="9962" width="12" style="10" customWidth="1"/>
    <col min="9963" max="9963" width="9.6640625" style="10"/>
    <col min="9964" max="9964" width="15.33203125" style="10" customWidth="1"/>
    <col min="9965" max="9965" width="15.21875" style="10" customWidth="1"/>
    <col min="9966" max="9966" width="21.44140625" style="10" customWidth="1"/>
    <col min="9967" max="9982" width="9.6640625" style="10"/>
    <col min="9983" max="9984" width="13.44140625" style="10" customWidth="1"/>
    <col min="9985" max="9985" width="9.6640625" style="10"/>
    <col min="9986" max="9986" width="13.88671875" style="10" customWidth="1"/>
    <col min="9987" max="9987" width="10.6640625" style="10" customWidth="1"/>
    <col min="9988" max="9988" width="17.33203125" style="10" customWidth="1"/>
    <col min="9989" max="9990" width="12.6640625" style="10" customWidth="1"/>
    <col min="9991" max="9991" width="11.21875" style="10" customWidth="1"/>
    <col min="9992" max="9992" width="18.33203125" style="10" customWidth="1"/>
    <col min="9993" max="9993" width="12.88671875" style="10" customWidth="1"/>
    <col min="9994" max="9995" width="13.21875" style="10" customWidth="1"/>
    <col min="9996" max="9996" width="10.88671875" style="10" customWidth="1"/>
    <col min="9997" max="9997" width="11.109375" style="10" customWidth="1"/>
    <col min="9998" max="9998" width="15.21875" style="10" customWidth="1"/>
    <col min="9999" max="9999" width="9.6640625" style="10"/>
    <col min="10000" max="10000" width="11" style="10" customWidth="1"/>
    <col min="10001" max="10001" width="10.77734375" style="10" customWidth="1"/>
    <col min="10002" max="10002" width="11.44140625" style="10" customWidth="1"/>
    <col min="10003" max="10003" width="4" style="10" customWidth="1"/>
    <col min="10004" max="10194" width="9.6640625" style="10"/>
    <col min="10195" max="10195" width="6.44140625" style="10" customWidth="1"/>
    <col min="10196" max="10196" width="13.88671875" style="10" customWidth="1"/>
    <col min="10197" max="10197" width="11.88671875" style="10" customWidth="1"/>
    <col min="10198" max="10200" width="9.6640625" style="10"/>
    <col min="10201" max="10201" width="15.44140625" style="10" customWidth="1"/>
    <col min="10202" max="10202" width="16.21875" style="10" customWidth="1"/>
    <col min="10203" max="10214" width="9.6640625" style="10"/>
    <col min="10215" max="10215" width="12" style="10" customWidth="1"/>
    <col min="10216" max="10216" width="12.77734375" style="10" customWidth="1"/>
    <col min="10217" max="10217" width="11.109375" style="10" customWidth="1"/>
    <col min="10218" max="10218" width="12" style="10" customWidth="1"/>
    <col min="10219" max="10219" width="9.6640625" style="10"/>
    <col min="10220" max="10220" width="15.33203125" style="10" customWidth="1"/>
    <col min="10221" max="10221" width="15.21875" style="10" customWidth="1"/>
    <col min="10222" max="10222" width="21.44140625" style="10" customWidth="1"/>
    <col min="10223" max="10238" width="9.6640625" style="10"/>
    <col min="10239" max="10240" width="13.44140625" style="10" customWidth="1"/>
    <col min="10241" max="10241" width="9.6640625" style="10"/>
    <col min="10242" max="10242" width="13.88671875" style="10" customWidth="1"/>
    <col min="10243" max="10243" width="10.6640625" style="10" customWidth="1"/>
    <col min="10244" max="10244" width="17.33203125" style="10" customWidth="1"/>
    <col min="10245" max="10246" width="12.6640625" style="10" customWidth="1"/>
    <col min="10247" max="10247" width="11.21875" style="10" customWidth="1"/>
    <col min="10248" max="10248" width="18.33203125" style="10" customWidth="1"/>
    <col min="10249" max="10249" width="12.88671875" style="10" customWidth="1"/>
    <col min="10250" max="10251" width="13.21875" style="10" customWidth="1"/>
    <col min="10252" max="10252" width="10.88671875" style="10" customWidth="1"/>
    <col min="10253" max="10253" width="11.109375" style="10" customWidth="1"/>
    <col min="10254" max="10254" width="15.21875" style="10" customWidth="1"/>
    <col min="10255" max="10255" width="9.6640625" style="10"/>
    <col min="10256" max="10256" width="11" style="10" customWidth="1"/>
    <col min="10257" max="10257" width="10.77734375" style="10" customWidth="1"/>
    <col min="10258" max="10258" width="11.44140625" style="10" customWidth="1"/>
    <col min="10259" max="10259" width="4" style="10" customWidth="1"/>
    <col min="10260" max="10450" width="9.6640625" style="10"/>
    <col min="10451" max="10451" width="6.44140625" style="10" customWidth="1"/>
    <col min="10452" max="10452" width="13.88671875" style="10" customWidth="1"/>
    <col min="10453" max="10453" width="11.88671875" style="10" customWidth="1"/>
    <col min="10454" max="10456" width="9.6640625" style="10"/>
    <col min="10457" max="10457" width="15.44140625" style="10" customWidth="1"/>
    <col min="10458" max="10458" width="16.21875" style="10" customWidth="1"/>
    <col min="10459" max="10470" width="9.6640625" style="10"/>
    <col min="10471" max="10471" width="12" style="10" customWidth="1"/>
    <col min="10472" max="10472" width="12.77734375" style="10" customWidth="1"/>
    <col min="10473" max="10473" width="11.109375" style="10" customWidth="1"/>
    <col min="10474" max="10474" width="12" style="10" customWidth="1"/>
    <col min="10475" max="10475" width="9.6640625" style="10"/>
    <col min="10476" max="10476" width="15.33203125" style="10" customWidth="1"/>
    <col min="10477" max="10477" width="15.21875" style="10" customWidth="1"/>
    <col min="10478" max="10478" width="21.44140625" style="10" customWidth="1"/>
    <col min="10479" max="10494" width="9.6640625" style="10"/>
    <col min="10495" max="10496" width="13.44140625" style="10" customWidth="1"/>
    <col min="10497" max="10497" width="9.6640625" style="10"/>
    <col min="10498" max="10498" width="13.88671875" style="10" customWidth="1"/>
    <col min="10499" max="10499" width="10.6640625" style="10" customWidth="1"/>
    <col min="10500" max="10500" width="17.33203125" style="10" customWidth="1"/>
    <col min="10501" max="10502" width="12.6640625" style="10" customWidth="1"/>
    <col min="10503" max="10503" width="11.21875" style="10" customWidth="1"/>
    <col min="10504" max="10504" width="18.33203125" style="10" customWidth="1"/>
    <col min="10505" max="10505" width="12.88671875" style="10" customWidth="1"/>
    <col min="10506" max="10507" width="13.21875" style="10" customWidth="1"/>
    <col min="10508" max="10508" width="10.88671875" style="10" customWidth="1"/>
    <col min="10509" max="10509" width="11.109375" style="10" customWidth="1"/>
    <col min="10510" max="10510" width="15.21875" style="10" customWidth="1"/>
    <col min="10511" max="10511" width="9.6640625" style="10"/>
    <col min="10512" max="10512" width="11" style="10" customWidth="1"/>
    <col min="10513" max="10513" width="10.77734375" style="10" customWidth="1"/>
    <col min="10514" max="10514" width="11.44140625" style="10" customWidth="1"/>
    <col min="10515" max="10515" width="4" style="10" customWidth="1"/>
    <col min="10516" max="10706" width="9.6640625" style="10"/>
    <col min="10707" max="10707" width="6.44140625" style="10" customWidth="1"/>
    <col min="10708" max="10708" width="13.88671875" style="10" customWidth="1"/>
    <col min="10709" max="10709" width="11.88671875" style="10" customWidth="1"/>
    <col min="10710" max="10712" width="9.6640625" style="10"/>
    <col min="10713" max="10713" width="15.44140625" style="10" customWidth="1"/>
    <col min="10714" max="10714" width="16.21875" style="10" customWidth="1"/>
    <col min="10715" max="10726" width="9.6640625" style="10"/>
    <col min="10727" max="10727" width="12" style="10" customWidth="1"/>
    <col min="10728" max="10728" width="12.77734375" style="10" customWidth="1"/>
    <col min="10729" max="10729" width="11.109375" style="10" customWidth="1"/>
    <col min="10730" max="10730" width="12" style="10" customWidth="1"/>
    <col min="10731" max="10731" width="9.6640625" style="10"/>
    <col min="10732" max="10732" width="15.33203125" style="10" customWidth="1"/>
    <col min="10733" max="10733" width="15.21875" style="10" customWidth="1"/>
    <col min="10734" max="10734" width="21.44140625" style="10" customWidth="1"/>
    <col min="10735" max="10750" width="9.6640625" style="10"/>
    <col min="10751" max="10752" width="13.44140625" style="10" customWidth="1"/>
    <col min="10753" max="10753" width="9.6640625" style="10"/>
    <col min="10754" max="10754" width="13.88671875" style="10" customWidth="1"/>
    <col min="10755" max="10755" width="10.6640625" style="10" customWidth="1"/>
    <col min="10756" max="10756" width="17.33203125" style="10" customWidth="1"/>
    <col min="10757" max="10758" width="12.6640625" style="10" customWidth="1"/>
    <col min="10759" max="10759" width="11.21875" style="10" customWidth="1"/>
    <col min="10760" max="10760" width="18.33203125" style="10" customWidth="1"/>
    <col min="10761" max="10761" width="12.88671875" style="10" customWidth="1"/>
    <col min="10762" max="10763" width="13.21875" style="10" customWidth="1"/>
    <col min="10764" max="10764" width="10.88671875" style="10" customWidth="1"/>
    <col min="10765" max="10765" width="11.109375" style="10" customWidth="1"/>
    <col min="10766" max="10766" width="15.21875" style="10" customWidth="1"/>
    <col min="10767" max="10767" width="9.6640625" style="10"/>
    <col min="10768" max="10768" width="11" style="10" customWidth="1"/>
    <col min="10769" max="10769" width="10.77734375" style="10" customWidth="1"/>
    <col min="10770" max="10770" width="11.44140625" style="10" customWidth="1"/>
    <col min="10771" max="10771" width="4" style="10" customWidth="1"/>
    <col min="10772" max="10962" width="9.6640625" style="10"/>
    <col min="10963" max="10963" width="6.44140625" style="10" customWidth="1"/>
    <col min="10964" max="10964" width="13.88671875" style="10" customWidth="1"/>
    <col min="10965" max="10965" width="11.88671875" style="10" customWidth="1"/>
    <col min="10966" max="10968" width="9.6640625" style="10"/>
    <col min="10969" max="10969" width="15.44140625" style="10" customWidth="1"/>
    <col min="10970" max="10970" width="16.21875" style="10" customWidth="1"/>
    <col min="10971" max="10982" width="9.6640625" style="10"/>
    <col min="10983" max="10983" width="12" style="10" customWidth="1"/>
    <col min="10984" max="10984" width="12.77734375" style="10" customWidth="1"/>
    <col min="10985" max="10985" width="11.109375" style="10" customWidth="1"/>
    <col min="10986" max="10986" width="12" style="10" customWidth="1"/>
    <col min="10987" max="10987" width="9.6640625" style="10"/>
    <col min="10988" max="10988" width="15.33203125" style="10" customWidth="1"/>
    <col min="10989" max="10989" width="15.21875" style="10" customWidth="1"/>
    <col min="10990" max="10990" width="21.44140625" style="10" customWidth="1"/>
    <col min="10991" max="11006" width="9.6640625" style="10"/>
    <col min="11007" max="11008" width="13.44140625" style="10" customWidth="1"/>
    <col min="11009" max="11009" width="9.6640625" style="10"/>
    <col min="11010" max="11010" width="13.88671875" style="10" customWidth="1"/>
    <col min="11011" max="11011" width="10.6640625" style="10" customWidth="1"/>
    <col min="11012" max="11012" width="17.33203125" style="10" customWidth="1"/>
    <col min="11013" max="11014" width="12.6640625" style="10" customWidth="1"/>
    <col min="11015" max="11015" width="11.21875" style="10" customWidth="1"/>
    <col min="11016" max="11016" width="18.33203125" style="10" customWidth="1"/>
    <col min="11017" max="11017" width="12.88671875" style="10" customWidth="1"/>
    <col min="11018" max="11019" width="13.21875" style="10" customWidth="1"/>
    <col min="11020" max="11020" width="10.88671875" style="10" customWidth="1"/>
    <col min="11021" max="11021" width="11.109375" style="10" customWidth="1"/>
    <col min="11022" max="11022" width="15.21875" style="10" customWidth="1"/>
    <col min="11023" max="11023" width="9.6640625" style="10"/>
    <col min="11024" max="11024" width="11" style="10" customWidth="1"/>
    <col min="11025" max="11025" width="10.77734375" style="10" customWidth="1"/>
    <col min="11026" max="11026" width="11.44140625" style="10" customWidth="1"/>
    <col min="11027" max="11027" width="4" style="10" customWidth="1"/>
    <col min="11028" max="11218" width="9.6640625" style="10"/>
    <col min="11219" max="11219" width="6.44140625" style="10" customWidth="1"/>
    <col min="11220" max="11220" width="13.88671875" style="10" customWidth="1"/>
    <col min="11221" max="11221" width="11.88671875" style="10" customWidth="1"/>
    <col min="11222" max="11224" width="9.6640625" style="10"/>
    <col min="11225" max="11225" width="15.44140625" style="10" customWidth="1"/>
    <col min="11226" max="11226" width="16.21875" style="10" customWidth="1"/>
    <col min="11227" max="11238" width="9.6640625" style="10"/>
    <col min="11239" max="11239" width="12" style="10" customWidth="1"/>
    <col min="11240" max="11240" width="12.77734375" style="10" customWidth="1"/>
    <col min="11241" max="11241" width="11.109375" style="10" customWidth="1"/>
    <col min="11242" max="11242" width="12" style="10" customWidth="1"/>
    <col min="11243" max="11243" width="9.6640625" style="10"/>
    <col min="11244" max="11244" width="15.33203125" style="10" customWidth="1"/>
    <col min="11245" max="11245" width="15.21875" style="10" customWidth="1"/>
    <col min="11246" max="11246" width="21.44140625" style="10" customWidth="1"/>
    <col min="11247" max="11262" width="9.6640625" style="10"/>
    <col min="11263" max="11264" width="13.44140625" style="10" customWidth="1"/>
    <col min="11265" max="11265" width="9.6640625" style="10"/>
    <col min="11266" max="11266" width="13.88671875" style="10" customWidth="1"/>
    <col min="11267" max="11267" width="10.6640625" style="10" customWidth="1"/>
    <col min="11268" max="11268" width="17.33203125" style="10" customWidth="1"/>
    <col min="11269" max="11270" width="12.6640625" style="10" customWidth="1"/>
    <col min="11271" max="11271" width="11.21875" style="10" customWidth="1"/>
    <col min="11272" max="11272" width="18.33203125" style="10" customWidth="1"/>
    <col min="11273" max="11273" width="12.88671875" style="10" customWidth="1"/>
    <col min="11274" max="11275" width="13.21875" style="10" customWidth="1"/>
    <col min="11276" max="11276" width="10.88671875" style="10" customWidth="1"/>
    <col min="11277" max="11277" width="11.109375" style="10" customWidth="1"/>
    <col min="11278" max="11278" width="15.21875" style="10" customWidth="1"/>
    <col min="11279" max="11279" width="9.6640625" style="10"/>
    <col min="11280" max="11280" width="11" style="10" customWidth="1"/>
    <col min="11281" max="11281" width="10.77734375" style="10" customWidth="1"/>
    <col min="11282" max="11282" width="11.44140625" style="10" customWidth="1"/>
    <col min="11283" max="11283" width="4" style="10" customWidth="1"/>
    <col min="11284" max="11474" width="9.6640625" style="10"/>
    <col min="11475" max="11475" width="6.44140625" style="10" customWidth="1"/>
    <col min="11476" max="11476" width="13.88671875" style="10" customWidth="1"/>
    <col min="11477" max="11477" width="11.88671875" style="10" customWidth="1"/>
    <col min="11478" max="11480" width="9.6640625" style="10"/>
    <col min="11481" max="11481" width="15.44140625" style="10" customWidth="1"/>
    <col min="11482" max="11482" width="16.21875" style="10" customWidth="1"/>
    <col min="11483" max="11494" width="9.6640625" style="10"/>
    <col min="11495" max="11495" width="12" style="10" customWidth="1"/>
    <col min="11496" max="11496" width="12.77734375" style="10" customWidth="1"/>
    <col min="11497" max="11497" width="11.109375" style="10" customWidth="1"/>
    <col min="11498" max="11498" width="12" style="10" customWidth="1"/>
    <col min="11499" max="11499" width="9.6640625" style="10"/>
    <col min="11500" max="11500" width="15.33203125" style="10" customWidth="1"/>
    <col min="11501" max="11501" width="15.21875" style="10" customWidth="1"/>
    <col min="11502" max="11502" width="21.44140625" style="10" customWidth="1"/>
    <col min="11503" max="11518" width="9.6640625" style="10"/>
    <col min="11519" max="11520" width="13.44140625" style="10" customWidth="1"/>
    <col min="11521" max="11521" width="9.6640625" style="10"/>
    <col min="11522" max="11522" width="13.88671875" style="10" customWidth="1"/>
    <col min="11523" max="11523" width="10.6640625" style="10" customWidth="1"/>
    <col min="11524" max="11524" width="17.33203125" style="10" customWidth="1"/>
    <col min="11525" max="11526" width="12.6640625" style="10" customWidth="1"/>
    <col min="11527" max="11527" width="11.21875" style="10" customWidth="1"/>
    <col min="11528" max="11528" width="18.33203125" style="10" customWidth="1"/>
    <col min="11529" max="11529" width="12.88671875" style="10" customWidth="1"/>
    <col min="11530" max="11531" width="13.21875" style="10" customWidth="1"/>
    <col min="11532" max="11532" width="10.88671875" style="10" customWidth="1"/>
    <col min="11533" max="11533" width="11.109375" style="10" customWidth="1"/>
    <col min="11534" max="11534" width="15.21875" style="10" customWidth="1"/>
    <col min="11535" max="11535" width="9.6640625" style="10"/>
    <col min="11536" max="11536" width="11" style="10" customWidth="1"/>
    <col min="11537" max="11537" width="10.77734375" style="10" customWidth="1"/>
    <col min="11538" max="11538" width="11.44140625" style="10" customWidth="1"/>
    <col min="11539" max="11539" width="4" style="10" customWidth="1"/>
    <col min="11540" max="11730" width="9.6640625" style="10"/>
    <col min="11731" max="11731" width="6.44140625" style="10" customWidth="1"/>
    <col min="11732" max="11732" width="13.88671875" style="10" customWidth="1"/>
    <col min="11733" max="11733" width="11.88671875" style="10" customWidth="1"/>
    <col min="11734" max="11736" width="9.6640625" style="10"/>
    <col min="11737" max="11737" width="15.44140625" style="10" customWidth="1"/>
    <col min="11738" max="11738" width="16.21875" style="10" customWidth="1"/>
    <col min="11739" max="11750" width="9.6640625" style="10"/>
    <col min="11751" max="11751" width="12" style="10" customWidth="1"/>
    <col min="11752" max="11752" width="12.77734375" style="10" customWidth="1"/>
    <col min="11753" max="11753" width="11.109375" style="10" customWidth="1"/>
    <col min="11754" max="11754" width="12" style="10" customWidth="1"/>
    <col min="11755" max="11755" width="9.6640625" style="10"/>
    <col min="11756" max="11756" width="15.33203125" style="10" customWidth="1"/>
    <col min="11757" max="11757" width="15.21875" style="10" customWidth="1"/>
    <col min="11758" max="11758" width="21.44140625" style="10" customWidth="1"/>
    <col min="11759" max="11774" width="9.6640625" style="10"/>
    <col min="11775" max="11776" width="13.44140625" style="10" customWidth="1"/>
    <col min="11777" max="11777" width="9.6640625" style="10"/>
    <col min="11778" max="11778" width="13.88671875" style="10" customWidth="1"/>
    <col min="11779" max="11779" width="10.6640625" style="10" customWidth="1"/>
    <col min="11780" max="11780" width="17.33203125" style="10" customWidth="1"/>
    <col min="11781" max="11782" width="12.6640625" style="10" customWidth="1"/>
    <col min="11783" max="11783" width="11.21875" style="10" customWidth="1"/>
    <col min="11784" max="11784" width="18.33203125" style="10" customWidth="1"/>
    <col min="11785" max="11785" width="12.88671875" style="10" customWidth="1"/>
    <col min="11786" max="11787" width="13.21875" style="10" customWidth="1"/>
    <col min="11788" max="11788" width="10.88671875" style="10" customWidth="1"/>
    <col min="11789" max="11789" width="11.109375" style="10" customWidth="1"/>
    <col min="11790" max="11790" width="15.21875" style="10" customWidth="1"/>
    <col min="11791" max="11791" width="9.6640625" style="10"/>
    <col min="11792" max="11792" width="11" style="10" customWidth="1"/>
    <col min="11793" max="11793" width="10.77734375" style="10" customWidth="1"/>
    <col min="11794" max="11794" width="11.44140625" style="10" customWidth="1"/>
    <col min="11795" max="11795" width="4" style="10" customWidth="1"/>
    <col min="11796" max="11986" width="9.6640625" style="10"/>
    <col min="11987" max="11987" width="6.44140625" style="10" customWidth="1"/>
    <col min="11988" max="11988" width="13.88671875" style="10" customWidth="1"/>
    <col min="11989" max="11989" width="11.88671875" style="10" customWidth="1"/>
    <col min="11990" max="11992" width="9.6640625" style="10"/>
    <col min="11993" max="11993" width="15.44140625" style="10" customWidth="1"/>
    <col min="11994" max="11994" width="16.21875" style="10" customWidth="1"/>
    <col min="11995" max="12006" width="9.6640625" style="10"/>
    <col min="12007" max="12007" width="12" style="10" customWidth="1"/>
    <col min="12008" max="12008" width="12.77734375" style="10" customWidth="1"/>
    <col min="12009" max="12009" width="11.109375" style="10" customWidth="1"/>
    <col min="12010" max="12010" width="12" style="10" customWidth="1"/>
    <col min="12011" max="12011" width="9.6640625" style="10"/>
    <col min="12012" max="12012" width="15.33203125" style="10" customWidth="1"/>
    <col min="12013" max="12013" width="15.21875" style="10" customWidth="1"/>
    <col min="12014" max="12014" width="21.44140625" style="10" customWidth="1"/>
    <col min="12015" max="12030" width="9.6640625" style="10"/>
    <col min="12031" max="12032" width="13.44140625" style="10" customWidth="1"/>
    <col min="12033" max="12033" width="9.6640625" style="10"/>
    <col min="12034" max="12034" width="13.88671875" style="10" customWidth="1"/>
    <col min="12035" max="12035" width="10.6640625" style="10" customWidth="1"/>
    <col min="12036" max="12036" width="17.33203125" style="10" customWidth="1"/>
    <col min="12037" max="12038" width="12.6640625" style="10" customWidth="1"/>
    <col min="12039" max="12039" width="11.21875" style="10" customWidth="1"/>
    <col min="12040" max="12040" width="18.33203125" style="10" customWidth="1"/>
    <col min="12041" max="12041" width="12.88671875" style="10" customWidth="1"/>
    <col min="12042" max="12043" width="13.21875" style="10" customWidth="1"/>
    <col min="12044" max="12044" width="10.88671875" style="10" customWidth="1"/>
    <col min="12045" max="12045" width="11.109375" style="10" customWidth="1"/>
    <col min="12046" max="12046" width="15.21875" style="10" customWidth="1"/>
    <col min="12047" max="12047" width="9.6640625" style="10"/>
    <col min="12048" max="12048" width="11" style="10" customWidth="1"/>
    <col min="12049" max="12049" width="10.77734375" style="10" customWidth="1"/>
    <col min="12050" max="12050" width="11.44140625" style="10" customWidth="1"/>
    <col min="12051" max="12051" width="4" style="10" customWidth="1"/>
    <col min="12052" max="12242" width="9.6640625" style="10"/>
    <col min="12243" max="12243" width="6.44140625" style="10" customWidth="1"/>
    <col min="12244" max="12244" width="13.88671875" style="10" customWidth="1"/>
    <col min="12245" max="12245" width="11.88671875" style="10" customWidth="1"/>
    <col min="12246" max="12248" width="9.6640625" style="10"/>
    <col min="12249" max="12249" width="15.44140625" style="10" customWidth="1"/>
    <col min="12250" max="12250" width="16.21875" style="10" customWidth="1"/>
    <col min="12251" max="12262" width="9.6640625" style="10"/>
    <col min="12263" max="12263" width="12" style="10" customWidth="1"/>
    <col min="12264" max="12264" width="12.77734375" style="10" customWidth="1"/>
    <col min="12265" max="12265" width="11.109375" style="10" customWidth="1"/>
    <col min="12266" max="12266" width="12" style="10" customWidth="1"/>
    <col min="12267" max="12267" width="9.6640625" style="10"/>
    <col min="12268" max="12268" width="15.33203125" style="10" customWidth="1"/>
    <col min="12269" max="12269" width="15.21875" style="10" customWidth="1"/>
    <col min="12270" max="12270" width="21.44140625" style="10" customWidth="1"/>
    <col min="12271" max="12286" width="9.6640625" style="10"/>
    <col min="12287" max="12288" width="13.44140625" style="10" customWidth="1"/>
    <col min="12289" max="12289" width="9.6640625" style="10"/>
    <col min="12290" max="12290" width="13.88671875" style="10" customWidth="1"/>
    <col min="12291" max="12291" width="10.6640625" style="10" customWidth="1"/>
    <col min="12292" max="12292" width="17.33203125" style="10" customWidth="1"/>
    <col min="12293" max="12294" width="12.6640625" style="10" customWidth="1"/>
    <col min="12295" max="12295" width="11.21875" style="10" customWidth="1"/>
    <col min="12296" max="12296" width="18.33203125" style="10" customWidth="1"/>
    <col min="12297" max="12297" width="12.88671875" style="10" customWidth="1"/>
    <col min="12298" max="12299" width="13.21875" style="10" customWidth="1"/>
    <col min="12300" max="12300" width="10.88671875" style="10" customWidth="1"/>
    <col min="12301" max="12301" width="11.109375" style="10" customWidth="1"/>
    <col min="12302" max="12302" width="15.21875" style="10" customWidth="1"/>
    <col min="12303" max="12303" width="9.6640625" style="10"/>
    <col min="12304" max="12304" width="11" style="10" customWidth="1"/>
    <col min="12305" max="12305" width="10.77734375" style="10" customWidth="1"/>
    <col min="12306" max="12306" width="11.44140625" style="10" customWidth="1"/>
    <col min="12307" max="12307" width="4" style="10" customWidth="1"/>
    <col min="12308" max="12498" width="9.6640625" style="10"/>
    <col min="12499" max="12499" width="6.44140625" style="10" customWidth="1"/>
    <col min="12500" max="12500" width="13.88671875" style="10" customWidth="1"/>
    <col min="12501" max="12501" width="11.88671875" style="10" customWidth="1"/>
    <col min="12502" max="12504" width="9.6640625" style="10"/>
    <col min="12505" max="12505" width="15.44140625" style="10" customWidth="1"/>
    <col min="12506" max="12506" width="16.21875" style="10" customWidth="1"/>
    <col min="12507" max="12518" width="9.6640625" style="10"/>
    <col min="12519" max="12519" width="12" style="10" customWidth="1"/>
    <col min="12520" max="12520" width="12.77734375" style="10" customWidth="1"/>
    <col min="12521" max="12521" width="11.109375" style="10" customWidth="1"/>
    <col min="12522" max="12522" width="12" style="10" customWidth="1"/>
    <col min="12523" max="12523" width="9.6640625" style="10"/>
    <col min="12524" max="12524" width="15.33203125" style="10" customWidth="1"/>
    <col min="12525" max="12525" width="15.21875" style="10" customWidth="1"/>
    <col min="12526" max="12526" width="21.44140625" style="10" customWidth="1"/>
    <col min="12527" max="12542" width="9.6640625" style="10"/>
    <col min="12543" max="12544" width="13.44140625" style="10" customWidth="1"/>
    <col min="12545" max="12545" width="9.6640625" style="10"/>
    <col min="12546" max="12546" width="13.88671875" style="10" customWidth="1"/>
    <col min="12547" max="12547" width="10.6640625" style="10" customWidth="1"/>
    <col min="12548" max="12548" width="17.33203125" style="10" customWidth="1"/>
    <col min="12549" max="12550" width="12.6640625" style="10" customWidth="1"/>
    <col min="12551" max="12551" width="11.21875" style="10" customWidth="1"/>
    <col min="12552" max="12552" width="18.33203125" style="10" customWidth="1"/>
    <col min="12553" max="12553" width="12.88671875" style="10" customWidth="1"/>
    <col min="12554" max="12555" width="13.21875" style="10" customWidth="1"/>
    <col min="12556" max="12556" width="10.88671875" style="10" customWidth="1"/>
    <col min="12557" max="12557" width="11.109375" style="10" customWidth="1"/>
    <col min="12558" max="12558" width="15.21875" style="10" customWidth="1"/>
    <col min="12559" max="12559" width="9.6640625" style="10"/>
    <col min="12560" max="12560" width="11" style="10" customWidth="1"/>
    <col min="12561" max="12561" width="10.77734375" style="10" customWidth="1"/>
    <col min="12562" max="12562" width="11.44140625" style="10" customWidth="1"/>
    <col min="12563" max="12563" width="4" style="10" customWidth="1"/>
    <col min="12564" max="12754" width="9.6640625" style="10"/>
    <col min="12755" max="12755" width="6.44140625" style="10" customWidth="1"/>
    <col min="12756" max="12756" width="13.88671875" style="10" customWidth="1"/>
    <col min="12757" max="12757" width="11.88671875" style="10" customWidth="1"/>
    <col min="12758" max="12760" width="9.6640625" style="10"/>
    <col min="12761" max="12761" width="15.44140625" style="10" customWidth="1"/>
    <col min="12762" max="12762" width="16.21875" style="10" customWidth="1"/>
    <col min="12763" max="12774" width="9.6640625" style="10"/>
    <col min="12775" max="12775" width="12" style="10" customWidth="1"/>
    <col min="12776" max="12776" width="12.77734375" style="10" customWidth="1"/>
    <col min="12777" max="12777" width="11.109375" style="10" customWidth="1"/>
    <col min="12778" max="12778" width="12" style="10" customWidth="1"/>
    <col min="12779" max="12779" width="9.6640625" style="10"/>
    <col min="12780" max="12780" width="15.33203125" style="10" customWidth="1"/>
    <col min="12781" max="12781" width="15.21875" style="10" customWidth="1"/>
    <col min="12782" max="12782" width="21.44140625" style="10" customWidth="1"/>
    <col min="12783" max="12798" width="9.6640625" style="10"/>
    <col min="12799" max="12800" width="13.44140625" style="10" customWidth="1"/>
    <col min="12801" max="12801" width="9.6640625" style="10"/>
    <col min="12802" max="12802" width="13.88671875" style="10" customWidth="1"/>
    <col min="12803" max="12803" width="10.6640625" style="10" customWidth="1"/>
    <col min="12804" max="12804" width="17.33203125" style="10" customWidth="1"/>
    <col min="12805" max="12806" width="12.6640625" style="10" customWidth="1"/>
    <col min="12807" max="12807" width="11.21875" style="10" customWidth="1"/>
    <col min="12808" max="12808" width="18.33203125" style="10" customWidth="1"/>
    <col min="12809" max="12809" width="12.88671875" style="10" customWidth="1"/>
    <col min="12810" max="12811" width="13.21875" style="10" customWidth="1"/>
    <col min="12812" max="12812" width="10.88671875" style="10" customWidth="1"/>
    <col min="12813" max="12813" width="11.109375" style="10" customWidth="1"/>
    <col min="12814" max="12814" width="15.21875" style="10" customWidth="1"/>
    <col min="12815" max="12815" width="9.6640625" style="10"/>
    <col min="12816" max="12816" width="11" style="10" customWidth="1"/>
    <col min="12817" max="12817" width="10.77734375" style="10" customWidth="1"/>
    <col min="12818" max="12818" width="11.44140625" style="10" customWidth="1"/>
    <col min="12819" max="12819" width="4" style="10" customWidth="1"/>
    <col min="12820" max="13010" width="9.6640625" style="10"/>
    <col min="13011" max="13011" width="6.44140625" style="10" customWidth="1"/>
    <col min="13012" max="13012" width="13.88671875" style="10" customWidth="1"/>
    <col min="13013" max="13013" width="11.88671875" style="10" customWidth="1"/>
    <col min="13014" max="13016" width="9.6640625" style="10"/>
    <col min="13017" max="13017" width="15.44140625" style="10" customWidth="1"/>
    <col min="13018" max="13018" width="16.21875" style="10" customWidth="1"/>
    <col min="13019" max="13030" width="9.6640625" style="10"/>
    <col min="13031" max="13031" width="12" style="10" customWidth="1"/>
    <col min="13032" max="13032" width="12.77734375" style="10" customWidth="1"/>
    <col min="13033" max="13033" width="11.109375" style="10" customWidth="1"/>
    <col min="13034" max="13034" width="12" style="10" customWidth="1"/>
    <col min="13035" max="13035" width="9.6640625" style="10"/>
    <col min="13036" max="13036" width="15.33203125" style="10" customWidth="1"/>
    <col min="13037" max="13037" width="15.21875" style="10" customWidth="1"/>
    <col min="13038" max="13038" width="21.44140625" style="10" customWidth="1"/>
    <col min="13039" max="13054" width="9.6640625" style="10"/>
    <col min="13055" max="13056" width="13.44140625" style="10" customWidth="1"/>
    <col min="13057" max="13057" width="9.6640625" style="10"/>
    <col min="13058" max="13058" width="13.88671875" style="10" customWidth="1"/>
    <col min="13059" max="13059" width="10.6640625" style="10" customWidth="1"/>
    <col min="13060" max="13060" width="17.33203125" style="10" customWidth="1"/>
    <col min="13061" max="13062" width="12.6640625" style="10" customWidth="1"/>
    <col min="13063" max="13063" width="11.21875" style="10" customWidth="1"/>
    <col min="13064" max="13064" width="18.33203125" style="10" customWidth="1"/>
    <col min="13065" max="13065" width="12.88671875" style="10" customWidth="1"/>
    <col min="13066" max="13067" width="13.21875" style="10" customWidth="1"/>
    <col min="13068" max="13068" width="10.88671875" style="10" customWidth="1"/>
    <col min="13069" max="13069" width="11.109375" style="10" customWidth="1"/>
    <col min="13070" max="13070" width="15.21875" style="10" customWidth="1"/>
    <col min="13071" max="13071" width="9.6640625" style="10"/>
    <col min="13072" max="13072" width="11" style="10" customWidth="1"/>
    <col min="13073" max="13073" width="10.77734375" style="10" customWidth="1"/>
    <col min="13074" max="13074" width="11.44140625" style="10" customWidth="1"/>
    <col min="13075" max="13075" width="4" style="10" customWidth="1"/>
    <col min="13076" max="13266" width="9.6640625" style="10"/>
    <col min="13267" max="13267" width="6.44140625" style="10" customWidth="1"/>
    <col min="13268" max="13268" width="13.88671875" style="10" customWidth="1"/>
    <col min="13269" max="13269" width="11.88671875" style="10" customWidth="1"/>
    <col min="13270" max="13272" width="9.6640625" style="10"/>
    <col min="13273" max="13273" width="15.44140625" style="10" customWidth="1"/>
    <col min="13274" max="13274" width="16.21875" style="10" customWidth="1"/>
    <col min="13275" max="13286" width="9.6640625" style="10"/>
    <col min="13287" max="13287" width="12" style="10" customWidth="1"/>
    <col min="13288" max="13288" width="12.77734375" style="10" customWidth="1"/>
    <col min="13289" max="13289" width="11.109375" style="10" customWidth="1"/>
    <col min="13290" max="13290" width="12" style="10" customWidth="1"/>
    <col min="13291" max="13291" width="9.6640625" style="10"/>
    <col min="13292" max="13292" width="15.33203125" style="10" customWidth="1"/>
    <col min="13293" max="13293" width="15.21875" style="10" customWidth="1"/>
    <col min="13294" max="13294" width="21.44140625" style="10" customWidth="1"/>
    <col min="13295" max="13310" width="9.6640625" style="10"/>
    <col min="13311" max="13312" width="13.44140625" style="10" customWidth="1"/>
    <col min="13313" max="13313" width="9.6640625" style="10"/>
    <col min="13314" max="13314" width="13.88671875" style="10" customWidth="1"/>
    <col min="13315" max="13315" width="10.6640625" style="10" customWidth="1"/>
    <col min="13316" max="13316" width="17.33203125" style="10" customWidth="1"/>
    <col min="13317" max="13318" width="12.6640625" style="10" customWidth="1"/>
    <col min="13319" max="13319" width="11.21875" style="10" customWidth="1"/>
    <col min="13320" max="13320" width="18.33203125" style="10" customWidth="1"/>
    <col min="13321" max="13321" width="12.88671875" style="10" customWidth="1"/>
    <col min="13322" max="13323" width="13.21875" style="10" customWidth="1"/>
    <col min="13324" max="13324" width="10.88671875" style="10" customWidth="1"/>
    <col min="13325" max="13325" width="11.109375" style="10" customWidth="1"/>
    <col min="13326" max="13326" width="15.21875" style="10" customWidth="1"/>
    <col min="13327" max="13327" width="9.6640625" style="10"/>
    <col min="13328" max="13328" width="11" style="10" customWidth="1"/>
    <col min="13329" max="13329" width="10.77734375" style="10" customWidth="1"/>
    <col min="13330" max="13330" width="11.44140625" style="10" customWidth="1"/>
    <col min="13331" max="13331" width="4" style="10" customWidth="1"/>
    <col min="13332" max="13522" width="9.6640625" style="10"/>
    <col min="13523" max="13523" width="6.44140625" style="10" customWidth="1"/>
    <col min="13524" max="13524" width="13.88671875" style="10" customWidth="1"/>
    <col min="13525" max="13525" width="11.88671875" style="10" customWidth="1"/>
    <col min="13526" max="13528" width="9.6640625" style="10"/>
    <col min="13529" max="13529" width="15.44140625" style="10" customWidth="1"/>
    <col min="13530" max="13530" width="16.21875" style="10" customWidth="1"/>
    <col min="13531" max="13542" width="9.6640625" style="10"/>
    <col min="13543" max="13543" width="12" style="10" customWidth="1"/>
    <col min="13544" max="13544" width="12.77734375" style="10" customWidth="1"/>
    <col min="13545" max="13545" width="11.109375" style="10" customWidth="1"/>
    <col min="13546" max="13546" width="12" style="10" customWidth="1"/>
    <col min="13547" max="13547" width="9.6640625" style="10"/>
    <col min="13548" max="13548" width="15.33203125" style="10" customWidth="1"/>
    <col min="13549" max="13549" width="15.21875" style="10" customWidth="1"/>
    <col min="13550" max="13550" width="21.44140625" style="10" customWidth="1"/>
    <col min="13551" max="13566" width="9.6640625" style="10"/>
    <col min="13567" max="13568" width="13.44140625" style="10" customWidth="1"/>
    <col min="13569" max="13569" width="9.6640625" style="10"/>
    <col min="13570" max="13570" width="13.88671875" style="10" customWidth="1"/>
    <col min="13571" max="13571" width="10.6640625" style="10" customWidth="1"/>
    <col min="13572" max="13572" width="17.33203125" style="10" customWidth="1"/>
    <col min="13573" max="13574" width="12.6640625" style="10" customWidth="1"/>
    <col min="13575" max="13575" width="11.21875" style="10" customWidth="1"/>
    <col min="13576" max="13576" width="18.33203125" style="10" customWidth="1"/>
    <col min="13577" max="13577" width="12.88671875" style="10" customWidth="1"/>
    <col min="13578" max="13579" width="13.21875" style="10" customWidth="1"/>
    <col min="13580" max="13580" width="10.88671875" style="10" customWidth="1"/>
    <col min="13581" max="13581" width="11.109375" style="10" customWidth="1"/>
    <col min="13582" max="13582" width="15.21875" style="10" customWidth="1"/>
    <col min="13583" max="13583" width="9.6640625" style="10"/>
    <col min="13584" max="13584" width="11" style="10" customWidth="1"/>
    <col min="13585" max="13585" width="10.77734375" style="10" customWidth="1"/>
    <col min="13586" max="13586" width="11.44140625" style="10" customWidth="1"/>
    <col min="13587" max="13587" width="4" style="10" customWidth="1"/>
    <col min="13588" max="13778" width="9.6640625" style="10"/>
    <col min="13779" max="13779" width="6.44140625" style="10" customWidth="1"/>
    <col min="13780" max="13780" width="13.88671875" style="10" customWidth="1"/>
    <col min="13781" max="13781" width="11.88671875" style="10" customWidth="1"/>
    <col min="13782" max="13784" width="9.6640625" style="10"/>
    <col min="13785" max="13785" width="15.44140625" style="10" customWidth="1"/>
    <col min="13786" max="13786" width="16.21875" style="10" customWidth="1"/>
    <col min="13787" max="13798" width="9.6640625" style="10"/>
    <col min="13799" max="13799" width="12" style="10" customWidth="1"/>
    <col min="13800" max="13800" width="12.77734375" style="10" customWidth="1"/>
    <col min="13801" max="13801" width="11.109375" style="10" customWidth="1"/>
    <col min="13802" max="13802" width="12" style="10" customWidth="1"/>
    <col min="13803" max="13803" width="9.6640625" style="10"/>
    <col min="13804" max="13804" width="15.33203125" style="10" customWidth="1"/>
    <col min="13805" max="13805" width="15.21875" style="10" customWidth="1"/>
    <col min="13806" max="13806" width="21.44140625" style="10" customWidth="1"/>
    <col min="13807" max="13822" width="9.6640625" style="10"/>
    <col min="13823" max="13824" width="13.44140625" style="10" customWidth="1"/>
    <col min="13825" max="13825" width="9.6640625" style="10"/>
    <col min="13826" max="13826" width="13.88671875" style="10" customWidth="1"/>
    <col min="13827" max="13827" width="10.6640625" style="10" customWidth="1"/>
    <col min="13828" max="13828" width="17.33203125" style="10" customWidth="1"/>
    <col min="13829" max="13830" width="12.6640625" style="10" customWidth="1"/>
    <col min="13831" max="13831" width="11.21875" style="10" customWidth="1"/>
    <col min="13832" max="13832" width="18.33203125" style="10" customWidth="1"/>
    <col min="13833" max="13833" width="12.88671875" style="10" customWidth="1"/>
    <col min="13834" max="13835" width="13.21875" style="10" customWidth="1"/>
    <col min="13836" max="13836" width="10.88671875" style="10" customWidth="1"/>
    <col min="13837" max="13837" width="11.109375" style="10" customWidth="1"/>
    <col min="13838" max="13838" width="15.21875" style="10" customWidth="1"/>
    <col min="13839" max="13839" width="9.6640625" style="10"/>
    <col min="13840" max="13840" width="11" style="10" customWidth="1"/>
    <col min="13841" max="13841" width="10.77734375" style="10" customWidth="1"/>
    <col min="13842" max="13842" width="11.44140625" style="10" customWidth="1"/>
    <col min="13843" max="13843" width="4" style="10" customWidth="1"/>
    <col min="13844" max="14034" width="9.6640625" style="10"/>
    <col min="14035" max="14035" width="6.44140625" style="10" customWidth="1"/>
    <col min="14036" max="14036" width="13.88671875" style="10" customWidth="1"/>
    <col min="14037" max="14037" width="11.88671875" style="10" customWidth="1"/>
    <col min="14038" max="14040" width="9.6640625" style="10"/>
    <col min="14041" max="14041" width="15.44140625" style="10" customWidth="1"/>
    <col min="14042" max="14042" width="16.21875" style="10" customWidth="1"/>
    <col min="14043" max="14054" width="9.6640625" style="10"/>
    <col min="14055" max="14055" width="12" style="10" customWidth="1"/>
    <col min="14056" max="14056" width="12.77734375" style="10" customWidth="1"/>
    <col min="14057" max="14057" width="11.109375" style="10" customWidth="1"/>
    <col min="14058" max="14058" width="12" style="10" customWidth="1"/>
    <col min="14059" max="14059" width="9.6640625" style="10"/>
    <col min="14060" max="14060" width="15.33203125" style="10" customWidth="1"/>
    <col min="14061" max="14061" width="15.21875" style="10" customWidth="1"/>
    <col min="14062" max="14062" width="21.44140625" style="10" customWidth="1"/>
    <col min="14063" max="14078" width="9.6640625" style="10"/>
    <col min="14079" max="14080" width="13.44140625" style="10" customWidth="1"/>
    <col min="14081" max="14081" width="9.6640625" style="10"/>
    <col min="14082" max="14082" width="13.88671875" style="10" customWidth="1"/>
    <col min="14083" max="14083" width="10.6640625" style="10" customWidth="1"/>
    <col min="14084" max="14084" width="17.33203125" style="10" customWidth="1"/>
    <col min="14085" max="14086" width="12.6640625" style="10" customWidth="1"/>
    <col min="14087" max="14087" width="11.21875" style="10" customWidth="1"/>
    <col min="14088" max="14088" width="18.33203125" style="10" customWidth="1"/>
    <col min="14089" max="14089" width="12.88671875" style="10" customWidth="1"/>
    <col min="14090" max="14091" width="13.21875" style="10" customWidth="1"/>
    <col min="14092" max="14092" width="10.88671875" style="10" customWidth="1"/>
    <col min="14093" max="14093" width="11.109375" style="10" customWidth="1"/>
    <col min="14094" max="14094" width="15.21875" style="10" customWidth="1"/>
    <col min="14095" max="14095" width="9.6640625" style="10"/>
    <col min="14096" max="14096" width="11" style="10" customWidth="1"/>
    <col min="14097" max="14097" width="10.77734375" style="10" customWidth="1"/>
    <col min="14098" max="14098" width="11.44140625" style="10" customWidth="1"/>
    <col min="14099" max="14099" width="4" style="10" customWidth="1"/>
    <col min="14100" max="14290" width="9.6640625" style="10"/>
    <col min="14291" max="14291" width="6.44140625" style="10" customWidth="1"/>
    <col min="14292" max="14292" width="13.88671875" style="10" customWidth="1"/>
    <col min="14293" max="14293" width="11.88671875" style="10" customWidth="1"/>
    <col min="14294" max="14296" width="9.6640625" style="10"/>
    <col min="14297" max="14297" width="15.44140625" style="10" customWidth="1"/>
    <col min="14298" max="14298" width="16.21875" style="10" customWidth="1"/>
    <col min="14299" max="14310" width="9.6640625" style="10"/>
    <col min="14311" max="14311" width="12" style="10" customWidth="1"/>
    <col min="14312" max="14312" width="12.77734375" style="10" customWidth="1"/>
    <col min="14313" max="14313" width="11.109375" style="10" customWidth="1"/>
    <col min="14314" max="14314" width="12" style="10" customWidth="1"/>
    <col min="14315" max="14315" width="9.6640625" style="10"/>
    <col min="14316" max="14316" width="15.33203125" style="10" customWidth="1"/>
    <col min="14317" max="14317" width="15.21875" style="10" customWidth="1"/>
    <col min="14318" max="14318" width="21.44140625" style="10" customWidth="1"/>
    <col min="14319" max="14334" width="9.6640625" style="10"/>
    <col min="14335" max="14336" width="13.44140625" style="10" customWidth="1"/>
    <col min="14337" max="14337" width="9.6640625" style="10"/>
    <col min="14338" max="14338" width="13.88671875" style="10" customWidth="1"/>
    <col min="14339" max="14339" width="10.6640625" style="10" customWidth="1"/>
    <col min="14340" max="14340" width="17.33203125" style="10" customWidth="1"/>
    <col min="14341" max="14342" width="12.6640625" style="10" customWidth="1"/>
    <col min="14343" max="14343" width="11.21875" style="10" customWidth="1"/>
    <col min="14344" max="14344" width="18.33203125" style="10" customWidth="1"/>
    <col min="14345" max="14345" width="12.88671875" style="10" customWidth="1"/>
    <col min="14346" max="14347" width="13.21875" style="10" customWidth="1"/>
    <col min="14348" max="14348" width="10.88671875" style="10" customWidth="1"/>
    <col min="14349" max="14349" width="11.109375" style="10" customWidth="1"/>
    <col min="14350" max="14350" width="15.21875" style="10" customWidth="1"/>
    <col min="14351" max="14351" width="9.6640625" style="10"/>
    <col min="14352" max="14352" width="11" style="10" customWidth="1"/>
    <col min="14353" max="14353" width="10.77734375" style="10" customWidth="1"/>
    <col min="14354" max="14354" width="11.44140625" style="10" customWidth="1"/>
    <col min="14355" max="14355" width="4" style="10" customWidth="1"/>
    <col min="14356" max="14546" width="9.6640625" style="10"/>
    <col min="14547" max="14547" width="6.44140625" style="10" customWidth="1"/>
    <col min="14548" max="14548" width="13.88671875" style="10" customWidth="1"/>
    <col min="14549" max="14549" width="11.88671875" style="10" customWidth="1"/>
    <col min="14550" max="14552" width="9.6640625" style="10"/>
    <col min="14553" max="14553" width="15.44140625" style="10" customWidth="1"/>
    <col min="14554" max="14554" width="16.21875" style="10" customWidth="1"/>
    <col min="14555" max="14566" width="9.6640625" style="10"/>
    <col min="14567" max="14567" width="12" style="10" customWidth="1"/>
    <col min="14568" max="14568" width="12.77734375" style="10" customWidth="1"/>
    <col min="14569" max="14569" width="11.109375" style="10" customWidth="1"/>
    <col min="14570" max="14570" width="12" style="10" customWidth="1"/>
    <col min="14571" max="14571" width="9.6640625" style="10"/>
    <col min="14572" max="14572" width="15.33203125" style="10" customWidth="1"/>
    <col min="14573" max="14573" width="15.21875" style="10" customWidth="1"/>
    <col min="14574" max="14574" width="21.44140625" style="10" customWidth="1"/>
    <col min="14575" max="14590" width="9.6640625" style="10"/>
    <col min="14591" max="14592" width="13.44140625" style="10" customWidth="1"/>
    <col min="14593" max="14593" width="9.6640625" style="10"/>
    <col min="14594" max="14594" width="13.88671875" style="10" customWidth="1"/>
    <col min="14595" max="14595" width="10.6640625" style="10" customWidth="1"/>
    <col min="14596" max="14596" width="17.33203125" style="10" customWidth="1"/>
    <col min="14597" max="14598" width="12.6640625" style="10" customWidth="1"/>
    <col min="14599" max="14599" width="11.21875" style="10" customWidth="1"/>
    <col min="14600" max="14600" width="18.33203125" style="10" customWidth="1"/>
    <col min="14601" max="14601" width="12.88671875" style="10" customWidth="1"/>
    <col min="14602" max="14603" width="13.21875" style="10" customWidth="1"/>
    <col min="14604" max="14604" width="10.88671875" style="10" customWidth="1"/>
    <col min="14605" max="14605" width="11.109375" style="10" customWidth="1"/>
    <col min="14606" max="14606" width="15.21875" style="10" customWidth="1"/>
    <col min="14607" max="14607" width="9.6640625" style="10"/>
    <col min="14608" max="14608" width="11" style="10" customWidth="1"/>
    <col min="14609" max="14609" width="10.77734375" style="10" customWidth="1"/>
    <col min="14610" max="14610" width="11.44140625" style="10" customWidth="1"/>
    <col min="14611" max="14611" width="4" style="10" customWidth="1"/>
    <col min="14612" max="14802" width="9.6640625" style="10"/>
    <col min="14803" max="14803" width="6.44140625" style="10" customWidth="1"/>
    <col min="14804" max="14804" width="13.88671875" style="10" customWidth="1"/>
    <col min="14805" max="14805" width="11.88671875" style="10" customWidth="1"/>
    <col min="14806" max="14808" width="9.6640625" style="10"/>
    <col min="14809" max="14809" width="15.44140625" style="10" customWidth="1"/>
    <col min="14810" max="14810" width="16.21875" style="10" customWidth="1"/>
    <col min="14811" max="14822" width="9.6640625" style="10"/>
    <col min="14823" max="14823" width="12" style="10" customWidth="1"/>
    <col min="14824" max="14824" width="12.77734375" style="10" customWidth="1"/>
    <col min="14825" max="14825" width="11.109375" style="10" customWidth="1"/>
    <col min="14826" max="14826" width="12" style="10" customWidth="1"/>
    <col min="14827" max="14827" width="9.6640625" style="10"/>
    <col min="14828" max="14828" width="15.33203125" style="10" customWidth="1"/>
    <col min="14829" max="14829" width="15.21875" style="10" customWidth="1"/>
    <col min="14830" max="14830" width="21.44140625" style="10" customWidth="1"/>
    <col min="14831" max="14846" width="9.6640625" style="10"/>
    <col min="14847" max="14848" width="13.44140625" style="10" customWidth="1"/>
    <col min="14849" max="14849" width="9.6640625" style="10"/>
    <col min="14850" max="14850" width="13.88671875" style="10" customWidth="1"/>
    <col min="14851" max="14851" width="10.6640625" style="10" customWidth="1"/>
    <col min="14852" max="14852" width="17.33203125" style="10" customWidth="1"/>
    <col min="14853" max="14854" width="12.6640625" style="10" customWidth="1"/>
    <col min="14855" max="14855" width="11.21875" style="10" customWidth="1"/>
    <col min="14856" max="14856" width="18.33203125" style="10" customWidth="1"/>
    <col min="14857" max="14857" width="12.88671875" style="10" customWidth="1"/>
    <col min="14858" max="14859" width="13.21875" style="10" customWidth="1"/>
    <col min="14860" max="14860" width="10.88671875" style="10" customWidth="1"/>
    <col min="14861" max="14861" width="11.109375" style="10" customWidth="1"/>
    <col min="14862" max="14862" width="15.21875" style="10" customWidth="1"/>
    <col min="14863" max="14863" width="9.6640625" style="10"/>
    <col min="14864" max="14864" width="11" style="10" customWidth="1"/>
    <col min="14865" max="14865" width="10.77734375" style="10" customWidth="1"/>
    <col min="14866" max="14866" width="11.44140625" style="10" customWidth="1"/>
    <col min="14867" max="14867" width="4" style="10" customWidth="1"/>
    <col min="14868" max="15058" width="9.6640625" style="10"/>
    <col min="15059" max="15059" width="6.44140625" style="10" customWidth="1"/>
    <col min="15060" max="15060" width="13.88671875" style="10" customWidth="1"/>
    <col min="15061" max="15061" width="11.88671875" style="10" customWidth="1"/>
    <col min="15062" max="15064" width="9.6640625" style="10"/>
    <col min="15065" max="15065" width="15.44140625" style="10" customWidth="1"/>
    <col min="15066" max="15066" width="16.21875" style="10" customWidth="1"/>
    <col min="15067" max="15078" width="9.6640625" style="10"/>
    <col min="15079" max="15079" width="12" style="10" customWidth="1"/>
    <col min="15080" max="15080" width="12.77734375" style="10" customWidth="1"/>
    <col min="15081" max="15081" width="11.109375" style="10" customWidth="1"/>
    <col min="15082" max="15082" width="12" style="10" customWidth="1"/>
    <col min="15083" max="15083" width="9.6640625" style="10"/>
    <col min="15084" max="15084" width="15.33203125" style="10" customWidth="1"/>
    <col min="15085" max="15085" width="15.21875" style="10" customWidth="1"/>
    <col min="15086" max="15086" width="21.44140625" style="10" customWidth="1"/>
    <col min="15087" max="15102" width="9.6640625" style="10"/>
    <col min="15103" max="15104" width="13.44140625" style="10" customWidth="1"/>
    <col min="15105" max="15105" width="9.6640625" style="10"/>
    <col min="15106" max="15106" width="13.88671875" style="10" customWidth="1"/>
    <col min="15107" max="15107" width="10.6640625" style="10" customWidth="1"/>
    <col min="15108" max="15108" width="17.33203125" style="10" customWidth="1"/>
    <col min="15109" max="15110" width="12.6640625" style="10" customWidth="1"/>
    <col min="15111" max="15111" width="11.21875" style="10" customWidth="1"/>
    <col min="15112" max="15112" width="18.33203125" style="10" customWidth="1"/>
    <col min="15113" max="15113" width="12.88671875" style="10" customWidth="1"/>
    <col min="15114" max="15115" width="13.21875" style="10" customWidth="1"/>
    <col min="15116" max="15116" width="10.88671875" style="10" customWidth="1"/>
    <col min="15117" max="15117" width="11.109375" style="10" customWidth="1"/>
    <col min="15118" max="15118" width="15.21875" style="10" customWidth="1"/>
    <col min="15119" max="15119" width="9.6640625" style="10"/>
    <col min="15120" max="15120" width="11" style="10" customWidth="1"/>
    <col min="15121" max="15121" width="10.77734375" style="10" customWidth="1"/>
    <col min="15122" max="15122" width="11.44140625" style="10" customWidth="1"/>
    <col min="15123" max="15123" width="4" style="10" customWidth="1"/>
    <col min="15124" max="15314" width="9.6640625" style="10"/>
    <col min="15315" max="15315" width="6.44140625" style="10" customWidth="1"/>
    <col min="15316" max="15316" width="13.88671875" style="10" customWidth="1"/>
    <col min="15317" max="15317" width="11.88671875" style="10" customWidth="1"/>
    <col min="15318" max="15320" width="9.6640625" style="10"/>
    <col min="15321" max="15321" width="15.44140625" style="10" customWidth="1"/>
    <col min="15322" max="15322" width="16.21875" style="10" customWidth="1"/>
    <col min="15323" max="15334" width="9.6640625" style="10"/>
    <col min="15335" max="15335" width="12" style="10" customWidth="1"/>
    <col min="15336" max="15336" width="12.77734375" style="10" customWidth="1"/>
    <col min="15337" max="15337" width="11.109375" style="10" customWidth="1"/>
    <col min="15338" max="15338" width="12" style="10" customWidth="1"/>
    <col min="15339" max="15339" width="9.6640625" style="10"/>
    <col min="15340" max="15340" width="15.33203125" style="10" customWidth="1"/>
    <col min="15341" max="15341" width="15.21875" style="10" customWidth="1"/>
    <col min="15342" max="15342" width="21.44140625" style="10" customWidth="1"/>
    <col min="15343" max="15358" width="9.6640625" style="10"/>
    <col min="15359" max="15360" width="13.44140625" style="10" customWidth="1"/>
    <col min="15361" max="15361" width="9.6640625" style="10"/>
    <col min="15362" max="15362" width="13.88671875" style="10" customWidth="1"/>
    <col min="15363" max="15363" width="10.6640625" style="10" customWidth="1"/>
    <col min="15364" max="15364" width="17.33203125" style="10" customWidth="1"/>
    <col min="15365" max="15366" width="12.6640625" style="10" customWidth="1"/>
    <col min="15367" max="15367" width="11.21875" style="10" customWidth="1"/>
    <col min="15368" max="15368" width="18.33203125" style="10" customWidth="1"/>
    <col min="15369" max="15369" width="12.88671875" style="10" customWidth="1"/>
    <col min="15370" max="15371" width="13.21875" style="10" customWidth="1"/>
    <col min="15372" max="15372" width="10.88671875" style="10" customWidth="1"/>
    <col min="15373" max="15373" width="11.109375" style="10" customWidth="1"/>
    <col min="15374" max="15374" width="15.21875" style="10" customWidth="1"/>
    <col min="15375" max="15375" width="9.6640625" style="10"/>
    <col min="15376" max="15376" width="11" style="10" customWidth="1"/>
    <col min="15377" max="15377" width="10.77734375" style="10" customWidth="1"/>
    <col min="15378" max="15378" width="11.44140625" style="10" customWidth="1"/>
    <col min="15379" max="15379" width="4" style="10" customWidth="1"/>
    <col min="15380" max="15570" width="9.6640625" style="10"/>
    <col min="15571" max="15571" width="6.44140625" style="10" customWidth="1"/>
    <col min="15572" max="15572" width="13.88671875" style="10" customWidth="1"/>
    <col min="15573" max="15573" width="11.88671875" style="10" customWidth="1"/>
    <col min="15574" max="15576" width="9.6640625" style="10"/>
    <col min="15577" max="15577" width="15.44140625" style="10" customWidth="1"/>
    <col min="15578" max="15578" width="16.21875" style="10" customWidth="1"/>
    <col min="15579" max="15590" width="9.6640625" style="10"/>
    <col min="15591" max="15591" width="12" style="10" customWidth="1"/>
    <col min="15592" max="15592" width="12.77734375" style="10" customWidth="1"/>
    <col min="15593" max="15593" width="11.109375" style="10" customWidth="1"/>
    <col min="15594" max="15594" width="12" style="10" customWidth="1"/>
    <col min="15595" max="15595" width="9.6640625" style="10"/>
    <col min="15596" max="15596" width="15.33203125" style="10" customWidth="1"/>
    <col min="15597" max="15597" width="15.21875" style="10" customWidth="1"/>
    <col min="15598" max="15598" width="21.44140625" style="10" customWidth="1"/>
    <col min="15599" max="15614" width="9.6640625" style="10"/>
    <col min="15615" max="15616" width="13.44140625" style="10" customWidth="1"/>
    <col min="15617" max="15617" width="9.6640625" style="10"/>
    <col min="15618" max="15618" width="13.88671875" style="10" customWidth="1"/>
    <col min="15619" max="15619" width="10.6640625" style="10" customWidth="1"/>
    <col min="15620" max="15620" width="17.33203125" style="10" customWidth="1"/>
    <col min="15621" max="15622" width="12.6640625" style="10" customWidth="1"/>
    <col min="15623" max="15623" width="11.21875" style="10" customWidth="1"/>
    <col min="15624" max="15624" width="18.33203125" style="10" customWidth="1"/>
    <col min="15625" max="15625" width="12.88671875" style="10" customWidth="1"/>
    <col min="15626" max="15627" width="13.21875" style="10" customWidth="1"/>
    <col min="15628" max="15628" width="10.88671875" style="10" customWidth="1"/>
    <col min="15629" max="15629" width="11.109375" style="10" customWidth="1"/>
    <col min="15630" max="15630" width="15.21875" style="10" customWidth="1"/>
    <col min="15631" max="15631" width="9.6640625" style="10"/>
    <col min="15632" max="15632" width="11" style="10" customWidth="1"/>
    <col min="15633" max="15633" width="10.77734375" style="10" customWidth="1"/>
    <col min="15634" max="15634" width="11.44140625" style="10" customWidth="1"/>
    <col min="15635" max="15635" width="4" style="10" customWidth="1"/>
    <col min="15636" max="15826" width="9.6640625" style="10"/>
    <col min="15827" max="15827" width="6.44140625" style="10" customWidth="1"/>
    <col min="15828" max="15828" width="13.88671875" style="10" customWidth="1"/>
    <col min="15829" max="15829" width="11.88671875" style="10" customWidth="1"/>
    <col min="15830" max="15832" width="9.6640625" style="10"/>
    <col min="15833" max="15833" width="15.44140625" style="10" customWidth="1"/>
    <col min="15834" max="15834" width="16.21875" style="10" customWidth="1"/>
    <col min="15835" max="15846" width="9.6640625" style="10"/>
    <col min="15847" max="15847" width="12" style="10" customWidth="1"/>
    <col min="15848" max="15848" width="12.77734375" style="10" customWidth="1"/>
    <col min="15849" max="15849" width="11.109375" style="10" customWidth="1"/>
    <col min="15850" max="15850" width="12" style="10" customWidth="1"/>
    <col min="15851" max="15851" width="9.6640625" style="10"/>
    <col min="15852" max="15852" width="15.33203125" style="10" customWidth="1"/>
    <col min="15853" max="15853" width="15.21875" style="10" customWidth="1"/>
    <col min="15854" max="15854" width="21.44140625" style="10" customWidth="1"/>
    <col min="15855" max="15870" width="9.6640625" style="10"/>
    <col min="15871" max="15872" width="13.44140625" style="10" customWidth="1"/>
    <col min="15873" max="15873" width="9.6640625" style="10"/>
    <col min="15874" max="15874" width="13.88671875" style="10" customWidth="1"/>
    <col min="15875" max="15875" width="10.6640625" style="10" customWidth="1"/>
    <col min="15876" max="15876" width="17.33203125" style="10" customWidth="1"/>
    <col min="15877" max="15878" width="12.6640625" style="10" customWidth="1"/>
    <col min="15879" max="15879" width="11.21875" style="10" customWidth="1"/>
    <col min="15880" max="15880" width="18.33203125" style="10" customWidth="1"/>
    <col min="15881" max="15881" width="12.88671875" style="10" customWidth="1"/>
    <col min="15882" max="15883" width="13.21875" style="10" customWidth="1"/>
    <col min="15884" max="15884" width="10.88671875" style="10" customWidth="1"/>
    <col min="15885" max="15885" width="11.109375" style="10" customWidth="1"/>
    <col min="15886" max="15886" width="15.21875" style="10" customWidth="1"/>
    <col min="15887" max="15887" width="9.6640625" style="10"/>
    <col min="15888" max="15888" width="11" style="10" customWidth="1"/>
    <col min="15889" max="15889" width="10.77734375" style="10" customWidth="1"/>
    <col min="15890" max="15890" width="11.44140625" style="10" customWidth="1"/>
    <col min="15891" max="15891" width="4" style="10" customWidth="1"/>
    <col min="15892" max="16082" width="9.6640625" style="10"/>
    <col min="16083" max="16083" width="6.44140625" style="10" customWidth="1"/>
    <col min="16084" max="16084" width="13.88671875" style="10" customWidth="1"/>
    <col min="16085" max="16085" width="11.88671875" style="10" customWidth="1"/>
    <col min="16086" max="16088" width="9.6640625" style="10"/>
    <col min="16089" max="16089" width="15.44140625" style="10" customWidth="1"/>
    <col min="16090" max="16090" width="16.21875" style="10" customWidth="1"/>
    <col min="16091" max="16102" width="9.6640625" style="10"/>
    <col min="16103" max="16103" width="12" style="10" customWidth="1"/>
    <col min="16104" max="16104" width="12.77734375" style="10" customWidth="1"/>
    <col min="16105" max="16105" width="11.109375" style="10" customWidth="1"/>
    <col min="16106" max="16106" width="12" style="10" customWidth="1"/>
    <col min="16107" max="16107" width="9.6640625" style="10"/>
    <col min="16108" max="16108" width="15.33203125" style="10" customWidth="1"/>
    <col min="16109" max="16109" width="15.21875" style="10" customWidth="1"/>
    <col min="16110" max="16110" width="21.44140625" style="10" customWidth="1"/>
    <col min="16111" max="16126" width="9.6640625" style="10"/>
    <col min="16127" max="16128" width="13.44140625" style="10" customWidth="1"/>
    <col min="16129" max="16129" width="9.6640625" style="10"/>
    <col min="16130" max="16130" width="13.88671875" style="10" customWidth="1"/>
    <col min="16131" max="16131" width="10.6640625" style="10" customWidth="1"/>
    <col min="16132" max="16132" width="17.33203125" style="10" customWidth="1"/>
    <col min="16133" max="16134" width="12.6640625" style="10" customWidth="1"/>
    <col min="16135" max="16135" width="11.21875" style="10" customWidth="1"/>
    <col min="16136" max="16136" width="18.33203125" style="10" customWidth="1"/>
    <col min="16137" max="16137" width="12.88671875" style="10" customWidth="1"/>
    <col min="16138" max="16139" width="13.21875" style="10" customWidth="1"/>
    <col min="16140" max="16140" width="10.88671875" style="10" customWidth="1"/>
    <col min="16141" max="16141" width="11.109375" style="10" customWidth="1"/>
    <col min="16142" max="16142" width="15.21875" style="10" customWidth="1"/>
    <col min="16143" max="16143" width="9.6640625" style="10"/>
    <col min="16144" max="16144" width="11" style="10" customWidth="1"/>
    <col min="16145" max="16145" width="10.77734375" style="10" customWidth="1"/>
    <col min="16146" max="16146" width="11.44140625" style="10" customWidth="1"/>
    <col min="16147" max="16147" width="4" style="10" customWidth="1"/>
    <col min="16148" max="16384" width="9.6640625" style="10"/>
  </cols>
  <sheetData>
    <row r="1" spans="1:156" ht="13.2" x14ac:dyDescent="0.2">
      <c r="A1" s="9" t="s">
        <v>70</v>
      </c>
    </row>
    <row r="2" spans="1:156" x14ac:dyDescent="0.2">
      <c r="C2" s="12" t="s">
        <v>71</v>
      </c>
      <c r="D2" s="12"/>
      <c r="F2" s="12"/>
      <c r="H2" s="12"/>
      <c r="J2" s="12"/>
      <c r="L2" s="12"/>
      <c r="O2" s="12"/>
      <c r="S2" s="12"/>
      <c r="AH2" s="12"/>
      <c r="AO2" s="12"/>
      <c r="BT2" s="12"/>
    </row>
    <row r="3" spans="1:156" s="11" customFormat="1" x14ac:dyDescent="0.2">
      <c r="A3" s="13"/>
      <c r="B3" s="14" t="s">
        <v>72</v>
      </c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  <c r="BF3" s="15"/>
      <c r="BG3" s="15"/>
      <c r="BH3" s="15"/>
      <c r="BI3" s="15"/>
      <c r="BJ3" s="15"/>
      <c r="BK3" s="15"/>
      <c r="BL3" s="15"/>
      <c r="BM3" s="15"/>
      <c r="BN3" s="15"/>
      <c r="BO3" s="15"/>
      <c r="BP3" s="15"/>
      <c r="BQ3" s="15"/>
      <c r="BR3" s="15"/>
      <c r="BS3" s="15"/>
      <c r="BT3" s="15"/>
      <c r="BU3" s="15"/>
      <c r="BV3" s="15"/>
      <c r="BW3" s="15"/>
      <c r="BX3" s="15"/>
      <c r="BY3" s="15"/>
      <c r="BZ3" s="15"/>
      <c r="CA3" s="15"/>
      <c r="CB3" s="15"/>
      <c r="CC3" s="15"/>
      <c r="CD3" s="15"/>
      <c r="CE3" s="15"/>
      <c r="CF3" s="15"/>
      <c r="CG3" s="15"/>
      <c r="CH3" s="15"/>
      <c r="CI3" s="15"/>
      <c r="CJ3" s="15"/>
      <c r="CK3" s="15"/>
      <c r="CL3" s="15"/>
      <c r="CM3" s="15"/>
      <c r="CN3" s="15"/>
      <c r="CO3" s="15"/>
      <c r="CP3" s="15"/>
      <c r="CQ3" s="15"/>
      <c r="CR3" s="15"/>
      <c r="CS3" s="15"/>
      <c r="CT3" s="15"/>
      <c r="CU3" s="15"/>
      <c r="CV3" s="15"/>
      <c r="CW3" s="15"/>
      <c r="CX3" s="15"/>
      <c r="CY3" s="15"/>
      <c r="CZ3" s="15"/>
      <c r="DA3" s="15"/>
      <c r="DB3" s="15"/>
      <c r="DC3" s="15"/>
      <c r="DD3" s="15"/>
      <c r="DE3" s="15"/>
      <c r="DF3" s="15"/>
      <c r="DG3" s="15"/>
      <c r="DH3" s="15"/>
      <c r="DI3" s="15"/>
      <c r="DJ3" s="15"/>
      <c r="DK3" s="15"/>
      <c r="DL3" s="15"/>
      <c r="DM3" s="15"/>
      <c r="DN3" s="15"/>
      <c r="DO3" s="15"/>
      <c r="DP3" s="15"/>
      <c r="DQ3" s="15"/>
      <c r="DR3" s="15"/>
      <c r="DS3" s="15"/>
      <c r="DT3" s="15"/>
      <c r="DU3" s="15"/>
      <c r="DV3" s="15"/>
      <c r="DW3" s="15"/>
      <c r="DX3" s="15"/>
      <c r="DY3" s="15"/>
      <c r="DZ3" s="15"/>
      <c r="EA3" s="15"/>
      <c r="EB3" s="15"/>
      <c r="EC3" s="15"/>
      <c r="ED3" s="15"/>
      <c r="EE3" s="15"/>
      <c r="EF3" s="15"/>
      <c r="EG3" s="15"/>
      <c r="EH3" s="15"/>
      <c r="EI3" s="15"/>
      <c r="EJ3" s="15"/>
      <c r="EK3" s="15"/>
      <c r="EL3" s="15"/>
      <c r="EM3" s="15"/>
      <c r="EN3" s="15"/>
      <c r="EO3" s="15"/>
      <c r="EP3" s="15"/>
      <c r="EQ3" s="15"/>
      <c r="ER3" s="15"/>
      <c r="ES3" s="15"/>
      <c r="ET3" s="15"/>
      <c r="EU3" s="15"/>
      <c r="EV3" s="15"/>
      <c r="EW3" s="15"/>
      <c r="EX3" s="15"/>
      <c r="EY3" s="15"/>
      <c r="EZ3" s="15"/>
    </row>
    <row r="4" spans="1:156" s="11" customFormat="1" x14ac:dyDescent="0.2">
      <c r="A4" s="13"/>
      <c r="B4" s="16" t="s">
        <v>73</v>
      </c>
      <c r="C4" s="15" t="s">
        <v>75</v>
      </c>
      <c r="D4" s="15" t="s">
        <v>416</v>
      </c>
      <c r="E4" s="15" t="s">
        <v>75</v>
      </c>
      <c r="F4" s="15" t="s">
        <v>416</v>
      </c>
      <c r="G4" s="15" t="s">
        <v>75</v>
      </c>
      <c r="H4" s="15" t="s">
        <v>416</v>
      </c>
      <c r="I4" s="15" t="s">
        <v>75</v>
      </c>
      <c r="J4" s="15" t="s">
        <v>416</v>
      </c>
      <c r="K4" s="15" t="s">
        <v>75</v>
      </c>
      <c r="L4" s="15" t="s">
        <v>416</v>
      </c>
      <c r="M4" s="15" t="s">
        <v>75</v>
      </c>
      <c r="N4" s="15" t="s">
        <v>75</v>
      </c>
      <c r="O4" s="15" t="s">
        <v>416</v>
      </c>
      <c r="P4" s="15" t="s">
        <v>75</v>
      </c>
      <c r="Q4" s="15" t="s">
        <v>75</v>
      </c>
      <c r="R4" s="15" t="s">
        <v>75</v>
      </c>
      <c r="S4" s="15" t="s">
        <v>416</v>
      </c>
      <c r="T4" s="15" t="s">
        <v>75</v>
      </c>
      <c r="U4" s="15" t="s">
        <v>75</v>
      </c>
      <c r="V4" s="15" t="s">
        <v>75</v>
      </c>
      <c r="W4" s="15" t="s">
        <v>75</v>
      </c>
      <c r="X4" s="15" t="s">
        <v>75</v>
      </c>
      <c r="Y4" s="15" t="s">
        <v>75</v>
      </c>
      <c r="Z4" s="15" t="s">
        <v>75</v>
      </c>
      <c r="AA4" s="15" t="s">
        <v>75</v>
      </c>
      <c r="AB4" s="15" t="s">
        <v>75</v>
      </c>
      <c r="AC4" s="15" t="s">
        <v>416</v>
      </c>
      <c r="AD4" s="15" t="s">
        <v>75</v>
      </c>
      <c r="AE4" s="15" t="s">
        <v>75</v>
      </c>
      <c r="AF4" s="15" t="s">
        <v>75</v>
      </c>
      <c r="AG4" s="15" t="s">
        <v>75</v>
      </c>
      <c r="AH4" s="15" t="s">
        <v>416</v>
      </c>
      <c r="AI4" s="15" t="s">
        <v>75</v>
      </c>
      <c r="AJ4" s="15" t="s">
        <v>75</v>
      </c>
      <c r="AK4" s="15" t="s">
        <v>75</v>
      </c>
      <c r="AL4" s="15" t="s">
        <v>75</v>
      </c>
      <c r="AM4" s="15" t="s">
        <v>75</v>
      </c>
      <c r="AN4" s="15" t="s">
        <v>75</v>
      </c>
      <c r="AO4" s="15" t="s">
        <v>416</v>
      </c>
      <c r="AP4" s="15" t="s">
        <v>75</v>
      </c>
      <c r="AQ4" s="15" t="s">
        <v>75</v>
      </c>
      <c r="AR4" s="15" t="s">
        <v>416</v>
      </c>
      <c r="AS4" s="15" t="s">
        <v>75</v>
      </c>
      <c r="AT4" s="15" t="s">
        <v>416</v>
      </c>
      <c r="AU4" s="15" t="s">
        <v>362</v>
      </c>
      <c r="AV4" s="15" t="s">
        <v>75</v>
      </c>
      <c r="AW4" s="15" t="s">
        <v>75</v>
      </c>
      <c r="AX4" s="15" t="s">
        <v>75</v>
      </c>
      <c r="AY4" s="15" t="s">
        <v>75</v>
      </c>
      <c r="AZ4" s="15" t="s">
        <v>75</v>
      </c>
      <c r="BA4" s="15" t="s">
        <v>132</v>
      </c>
      <c r="BB4" s="15" t="s">
        <v>75</v>
      </c>
      <c r="BC4" s="15" t="s">
        <v>75</v>
      </c>
      <c r="BD4" s="15" t="s">
        <v>75</v>
      </c>
      <c r="BE4" s="15" t="s">
        <v>75</v>
      </c>
      <c r="BF4" s="15" t="s">
        <v>75</v>
      </c>
      <c r="BG4" s="15" t="s">
        <v>75</v>
      </c>
      <c r="BH4" s="15" t="s">
        <v>75</v>
      </c>
      <c r="BI4" s="15" t="s">
        <v>75</v>
      </c>
      <c r="BJ4" s="15" t="s">
        <v>75</v>
      </c>
      <c r="BK4" s="15" t="s">
        <v>75</v>
      </c>
      <c r="BL4" s="15" t="s">
        <v>75</v>
      </c>
      <c r="BM4" s="15" t="s">
        <v>75</v>
      </c>
      <c r="BN4" s="15" t="s">
        <v>75</v>
      </c>
      <c r="BO4" s="15" t="s">
        <v>75</v>
      </c>
      <c r="BP4" s="15" t="s">
        <v>75</v>
      </c>
      <c r="BQ4" s="15" t="s">
        <v>75</v>
      </c>
      <c r="BR4" s="15" t="s">
        <v>75</v>
      </c>
      <c r="BS4" s="15" t="s">
        <v>75</v>
      </c>
      <c r="BT4" s="15" t="s">
        <v>75</v>
      </c>
      <c r="BU4" s="15" t="s">
        <v>75</v>
      </c>
      <c r="BV4" s="15" t="s">
        <v>75</v>
      </c>
      <c r="BW4" s="15" t="s">
        <v>75</v>
      </c>
      <c r="BX4" s="15" t="s">
        <v>75</v>
      </c>
      <c r="BY4" s="15" t="s">
        <v>75</v>
      </c>
      <c r="BZ4" s="15" t="s">
        <v>75</v>
      </c>
      <c r="CA4" s="15" t="s">
        <v>75</v>
      </c>
      <c r="CB4" s="15" t="s">
        <v>75</v>
      </c>
      <c r="CC4" s="15" t="s">
        <v>75</v>
      </c>
      <c r="CD4" s="15" t="s">
        <v>75</v>
      </c>
      <c r="CE4" s="15" t="s">
        <v>75</v>
      </c>
      <c r="CF4" s="15" t="s">
        <v>75</v>
      </c>
      <c r="CG4" s="15"/>
      <c r="CH4" s="15"/>
      <c r="CI4" s="15"/>
      <c r="CJ4" s="15"/>
      <c r="CK4" s="15"/>
      <c r="CL4" s="15"/>
      <c r="CM4" s="15"/>
      <c r="CN4" s="15"/>
      <c r="CO4" s="15"/>
      <c r="CP4" s="15"/>
      <c r="CQ4" s="15"/>
      <c r="CR4" s="15"/>
      <c r="CS4" s="15"/>
      <c r="CT4" s="15"/>
      <c r="CU4" s="15"/>
      <c r="CV4" s="15"/>
      <c r="CW4" s="15"/>
      <c r="CX4" s="15"/>
      <c r="CY4" s="15"/>
      <c r="CZ4" s="15"/>
      <c r="DA4" s="15"/>
      <c r="DB4" s="15"/>
      <c r="DC4" s="15"/>
      <c r="DD4" s="15"/>
      <c r="DE4" s="15"/>
      <c r="DF4" s="15"/>
      <c r="DG4" s="15"/>
      <c r="DH4" s="15"/>
      <c r="DI4" s="15"/>
      <c r="DJ4" s="15"/>
      <c r="DK4" s="15"/>
      <c r="DL4" s="15"/>
      <c r="DM4" s="15"/>
      <c r="DN4" s="15"/>
      <c r="DO4" s="15"/>
      <c r="DP4" s="15"/>
      <c r="DQ4" s="15"/>
      <c r="DR4" s="15"/>
      <c r="DS4" s="15"/>
      <c r="DT4" s="15"/>
      <c r="DU4" s="15"/>
      <c r="DV4" s="15"/>
      <c r="DW4" s="15"/>
      <c r="DX4" s="15"/>
      <c r="DY4" s="15"/>
      <c r="DZ4" s="15"/>
      <c r="EA4" s="15"/>
      <c r="EB4" s="15"/>
      <c r="EC4" s="15"/>
      <c r="ED4" s="15"/>
      <c r="EE4" s="15"/>
      <c r="EF4" s="15"/>
      <c r="EG4" s="15"/>
      <c r="EH4" s="15"/>
      <c r="EI4" s="15"/>
      <c r="EJ4" s="15"/>
      <c r="EK4" s="15"/>
      <c r="EL4" s="15"/>
      <c r="EM4" s="15"/>
      <c r="EN4" s="15"/>
      <c r="EO4" s="15"/>
      <c r="EP4" s="15"/>
      <c r="EQ4" s="15"/>
      <c r="ER4" s="15"/>
      <c r="ES4" s="15"/>
      <c r="ET4" s="15"/>
      <c r="EU4" s="15"/>
      <c r="EV4" s="15"/>
      <c r="EW4" s="15"/>
      <c r="EX4" s="15"/>
      <c r="EY4" s="15"/>
      <c r="EZ4" s="15"/>
    </row>
    <row r="5" spans="1:156" s="11" customFormat="1" x14ac:dyDescent="0.2">
      <c r="A5" s="13"/>
      <c r="B5" s="14" t="s">
        <v>76</v>
      </c>
      <c r="C5" s="136"/>
      <c r="D5" s="136"/>
      <c r="E5" s="136"/>
      <c r="F5" s="136"/>
      <c r="G5" s="136"/>
      <c r="H5" s="136"/>
      <c r="I5" s="136"/>
      <c r="J5" s="136"/>
      <c r="K5" s="136"/>
      <c r="L5" s="136"/>
      <c r="M5" s="136"/>
      <c r="N5" s="136"/>
      <c r="O5" s="136"/>
      <c r="P5" s="136"/>
      <c r="Q5" s="136"/>
      <c r="R5" s="136"/>
      <c r="S5" s="136"/>
      <c r="T5" s="136"/>
      <c r="U5" s="136"/>
      <c r="V5" s="136"/>
      <c r="W5" s="136"/>
      <c r="X5" s="136"/>
      <c r="Y5" s="136"/>
      <c r="Z5" s="136"/>
      <c r="AA5" s="136"/>
      <c r="AB5" s="136"/>
      <c r="AC5" s="136"/>
      <c r="AD5" s="136"/>
      <c r="AE5" s="136"/>
      <c r="AF5" s="136"/>
      <c r="AG5" s="136"/>
      <c r="AH5" s="136"/>
      <c r="AI5" s="136"/>
      <c r="AJ5" s="136"/>
      <c r="AK5" s="136"/>
      <c r="AL5" s="136"/>
      <c r="AM5" s="136"/>
      <c r="AN5" s="136"/>
      <c r="AO5" s="136"/>
      <c r="AP5" s="136"/>
      <c r="AQ5" s="136"/>
      <c r="AR5" s="136"/>
      <c r="AS5" s="136"/>
      <c r="AT5" s="136"/>
      <c r="AU5" s="136"/>
      <c r="AV5" s="136"/>
      <c r="AW5" s="136"/>
      <c r="AX5" s="136"/>
      <c r="AY5" s="136"/>
      <c r="AZ5" s="136"/>
      <c r="BA5" s="136"/>
      <c r="BB5" s="136"/>
      <c r="BC5" s="136"/>
      <c r="BD5" s="136"/>
      <c r="BE5" s="136"/>
      <c r="BF5" s="136"/>
      <c r="BG5" s="136"/>
      <c r="BH5" s="136"/>
      <c r="BI5" s="136"/>
      <c r="BJ5" s="136"/>
      <c r="BK5" s="136"/>
      <c r="BL5" s="136"/>
      <c r="BM5" s="136"/>
      <c r="BN5" s="136"/>
      <c r="BO5" s="136"/>
      <c r="BP5" s="136"/>
      <c r="BQ5" s="136"/>
      <c r="BR5" s="136"/>
      <c r="BS5" s="136"/>
      <c r="BT5" s="136"/>
      <c r="BU5" s="136"/>
      <c r="BV5" s="136"/>
      <c r="BW5" s="136"/>
      <c r="BX5" s="136"/>
      <c r="BY5" s="136"/>
      <c r="BZ5" s="136"/>
      <c r="CA5" s="136"/>
      <c r="CB5" s="136"/>
      <c r="CC5" s="136"/>
      <c r="CD5" s="136"/>
      <c r="CE5" s="136"/>
      <c r="CF5" s="136"/>
      <c r="CG5" s="136"/>
      <c r="CH5" s="136"/>
      <c r="CI5" s="136"/>
      <c r="CJ5" s="136"/>
      <c r="CK5" s="15"/>
      <c r="CL5" s="15"/>
      <c r="CM5" s="15"/>
      <c r="CN5" s="15"/>
      <c r="CO5" s="15"/>
      <c r="CP5" s="15"/>
      <c r="CQ5" s="15"/>
      <c r="CR5" s="15"/>
      <c r="CS5" s="15"/>
      <c r="CT5" s="15"/>
      <c r="CU5" s="15"/>
      <c r="CV5" s="15"/>
      <c r="CW5" s="15"/>
      <c r="CX5" s="15"/>
      <c r="CY5" s="15"/>
      <c r="CZ5" s="15"/>
      <c r="DA5" s="15"/>
      <c r="DB5" s="15"/>
      <c r="DC5" s="15"/>
      <c r="DD5" s="15"/>
      <c r="DE5" s="15"/>
      <c r="DF5" s="15"/>
      <c r="DG5" s="15"/>
      <c r="DH5" s="15"/>
      <c r="DI5" s="15"/>
      <c r="DJ5" s="15"/>
      <c r="DK5" s="15"/>
      <c r="DL5" s="15"/>
      <c r="DM5" s="15"/>
      <c r="DN5" s="15"/>
      <c r="DO5" s="15"/>
      <c r="DP5" s="15"/>
      <c r="DQ5" s="15"/>
      <c r="DR5" s="15"/>
      <c r="DS5" s="15"/>
      <c r="DT5" s="15"/>
      <c r="DU5" s="15"/>
      <c r="DV5" s="15"/>
      <c r="DW5" s="15"/>
      <c r="DX5" s="15"/>
      <c r="DY5" s="15"/>
      <c r="DZ5" s="15"/>
      <c r="EA5" s="15"/>
      <c r="EB5" s="15"/>
      <c r="EC5" s="15"/>
      <c r="ED5" s="15"/>
      <c r="EE5" s="15"/>
      <c r="EF5" s="15"/>
      <c r="EG5" s="15"/>
      <c r="EH5" s="15"/>
      <c r="EI5" s="15"/>
      <c r="EJ5" s="15"/>
      <c r="EK5" s="15"/>
      <c r="EL5" s="15"/>
      <c r="EM5" s="15"/>
      <c r="EN5" s="15"/>
      <c r="EO5" s="15"/>
      <c r="EP5" s="15"/>
      <c r="EQ5" s="15"/>
      <c r="ER5" s="15"/>
      <c r="ES5" s="15"/>
      <c r="ET5" s="15"/>
      <c r="EU5" s="15"/>
      <c r="EV5" s="15"/>
      <c r="EW5" s="15"/>
      <c r="EX5" s="15"/>
      <c r="EY5" s="15"/>
      <c r="EZ5" s="15"/>
    </row>
    <row r="6" spans="1:156" s="19" customFormat="1" x14ac:dyDescent="0.2">
      <c r="A6" s="17"/>
      <c r="B6" s="14" t="s">
        <v>77</v>
      </c>
      <c r="C6" s="137"/>
      <c r="D6" s="137"/>
      <c r="E6" s="137"/>
      <c r="F6" s="137"/>
      <c r="G6" s="137"/>
      <c r="H6" s="137"/>
      <c r="I6" s="137"/>
      <c r="J6" s="137"/>
      <c r="K6" s="137"/>
      <c r="L6" s="137"/>
      <c r="M6" s="137"/>
      <c r="N6" s="137"/>
      <c r="O6" s="137"/>
      <c r="P6" s="137"/>
      <c r="Q6" s="137"/>
      <c r="R6" s="137"/>
      <c r="S6" s="137"/>
      <c r="T6" s="137"/>
      <c r="U6" s="137"/>
      <c r="V6" s="137"/>
      <c r="W6" s="137"/>
      <c r="X6" s="137"/>
      <c r="Y6" s="137"/>
      <c r="Z6" s="137"/>
      <c r="AA6" s="137"/>
      <c r="AB6" s="137"/>
      <c r="AC6" s="137"/>
      <c r="AD6" s="137"/>
      <c r="AE6" s="137"/>
      <c r="AF6" s="137"/>
      <c r="AG6" s="137"/>
      <c r="AH6" s="137"/>
      <c r="AI6" s="137"/>
      <c r="AJ6" s="137"/>
      <c r="AK6" s="137"/>
      <c r="AL6" s="137"/>
      <c r="AM6" s="137"/>
      <c r="AN6" s="137"/>
      <c r="AO6" s="137"/>
      <c r="AP6" s="137"/>
      <c r="AQ6" s="137"/>
      <c r="AR6" s="137"/>
      <c r="AS6" s="137"/>
      <c r="AT6" s="137"/>
      <c r="AU6" s="137"/>
      <c r="AV6" s="137"/>
      <c r="AW6" s="137"/>
      <c r="AX6" s="137"/>
      <c r="AY6" s="137"/>
      <c r="AZ6" s="137"/>
      <c r="BA6" s="137"/>
      <c r="BB6" s="137"/>
      <c r="BC6" s="137"/>
      <c r="BD6" s="137"/>
      <c r="BE6" s="137"/>
      <c r="BF6" s="137"/>
      <c r="BG6" s="137"/>
      <c r="BH6" s="137"/>
      <c r="BI6" s="137"/>
      <c r="BJ6" s="137"/>
      <c r="BK6" s="137"/>
      <c r="BL6" s="137"/>
      <c r="BM6" s="137"/>
      <c r="BN6" s="137"/>
      <c r="BO6" s="137"/>
      <c r="BP6" s="137"/>
      <c r="BQ6" s="137"/>
      <c r="BR6" s="137"/>
      <c r="BS6" s="137"/>
      <c r="BT6" s="137"/>
      <c r="BU6" s="137"/>
      <c r="BV6" s="137"/>
      <c r="BW6" s="137"/>
      <c r="BX6" s="137"/>
      <c r="BY6" s="137"/>
      <c r="BZ6" s="137"/>
      <c r="CA6" s="137"/>
      <c r="CB6" s="137"/>
      <c r="CC6" s="137"/>
      <c r="CD6" s="137"/>
      <c r="CE6" s="137"/>
      <c r="CF6" s="137"/>
      <c r="CG6" s="137"/>
      <c r="CH6" s="137"/>
      <c r="CI6" s="137"/>
      <c r="CJ6" s="137"/>
      <c r="CK6" s="18"/>
      <c r="CL6" s="18"/>
      <c r="CM6" s="18"/>
      <c r="CN6" s="18"/>
      <c r="CO6" s="18"/>
      <c r="CP6" s="18"/>
      <c r="CQ6" s="18"/>
      <c r="CR6" s="18"/>
      <c r="CS6" s="18"/>
      <c r="CT6" s="18"/>
      <c r="CU6" s="18"/>
      <c r="CV6" s="18"/>
      <c r="CW6" s="18"/>
      <c r="CX6" s="18"/>
      <c r="CY6" s="18"/>
      <c r="CZ6" s="18"/>
      <c r="DA6" s="18"/>
      <c r="DB6" s="18"/>
      <c r="DC6" s="18"/>
      <c r="DD6" s="18"/>
      <c r="DE6" s="18"/>
      <c r="DF6" s="18"/>
      <c r="DG6" s="18"/>
      <c r="DH6" s="18"/>
      <c r="DI6" s="18"/>
      <c r="DJ6" s="18"/>
      <c r="DK6" s="18"/>
      <c r="DL6" s="18"/>
      <c r="DM6" s="18"/>
      <c r="DN6" s="18"/>
      <c r="DO6" s="18"/>
      <c r="DP6" s="18"/>
      <c r="DQ6" s="18"/>
      <c r="DR6" s="18"/>
      <c r="DS6" s="18"/>
      <c r="DT6" s="18"/>
      <c r="DU6" s="18"/>
      <c r="DV6" s="18"/>
      <c r="DW6" s="18"/>
      <c r="DX6" s="18"/>
      <c r="DY6" s="18"/>
      <c r="DZ6" s="18"/>
      <c r="EA6" s="18"/>
      <c r="EB6" s="18"/>
      <c r="EC6" s="18"/>
      <c r="ED6" s="18"/>
      <c r="EE6" s="18"/>
      <c r="EF6" s="18"/>
      <c r="EG6" s="18"/>
      <c r="EH6" s="18"/>
      <c r="EI6" s="18"/>
      <c r="EJ6" s="18"/>
      <c r="EK6" s="18"/>
      <c r="EL6" s="18"/>
      <c r="EM6" s="18"/>
      <c r="EN6" s="18"/>
      <c r="EO6" s="18"/>
      <c r="EP6" s="18"/>
      <c r="EQ6" s="18"/>
      <c r="ER6" s="18"/>
      <c r="ES6" s="18"/>
      <c r="ET6" s="18"/>
      <c r="EU6" s="18"/>
      <c r="EV6" s="18"/>
      <c r="EW6" s="18"/>
      <c r="EX6" s="18"/>
      <c r="EY6" s="18"/>
      <c r="EZ6" s="18"/>
    </row>
    <row r="7" spans="1:156" s="28" customFormat="1" ht="30.6" x14ac:dyDescent="0.2">
      <c r="A7" s="27"/>
      <c r="B7" s="14" t="s">
        <v>78</v>
      </c>
      <c r="C7" s="21" t="s">
        <v>225</v>
      </c>
      <c r="D7" s="21" t="s">
        <v>55</v>
      </c>
      <c r="E7" s="21" t="s">
        <v>55</v>
      </c>
      <c r="F7" s="21" t="s">
        <v>33</v>
      </c>
      <c r="G7" s="21" t="s">
        <v>33</v>
      </c>
      <c r="H7" s="21" t="s">
        <v>199</v>
      </c>
      <c r="I7" s="21" t="s">
        <v>199</v>
      </c>
      <c r="J7" s="21" t="s">
        <v>203</v>
      </c>
      <c r="K7" s="21" t="s">
        <v>203</v>
      </c>
      <c r="L7" s="21" t="s">
        <v>47</v>
      </c>
      <c r="M7" s="21" t="s">
        <v>47</v>
      </c>
      <c r="N7" s="21" t="s">
        <v>305</v>
      </c>
      <c r="O7" s="21" t="s">
        <v>410</v>
      </c>
      <c r="P7" s="21" t="s">
        <v>410</v>
      </c>
      <c r="Q7" s="21" t="s">
        <v>131</v>
      </c>
      <c r="R7" s="21" t="s">
        <v>38</v>
      </c>
      <c r="S7" s="21" t="s">
        <v>202</v>
      </c>
      <c r="T7" s="21" t="s">
        <v>202</v>
      </c>
      <c r="U7" s="21" t="s">
        <v>204</v>
      </c>
      <c r="V7" s="21" t="s">
        <v>51</v>
      </c>
      <c r="W7" s="21" t="s">
        <v>197</v>
      </c>
      <c r="X7" s="21" t="s">
        <v>306</v>
      </c>
      <c r="Y7" s="21" t="s">
        <v>209</v>
      </c>
      <c r="Z7" s="21" t="s">
        <v>308</v>
      </c>
      <c r="AA7" s="21" t="s">
        <v>201</v>
      </c>
      <c r="AB7" s="21" t="s">
        <v>130</v>
      </c>
      <c r="AC7" s="21" t="s">
        <v>307</v>
      </c>
      <c r="AD7" s="21" t="s">
        <v>41</v>
      </c>
      <c r="AE7" s="21" t="s">
        <v>333</v>
      </c>
      <c r="AF7" s="21" t="s">
        <v>334</v>
      </c>
      <c r="AG7" s="21" t="s">
        <v>8</v>
      </c>
      <c r="AH7" s="21" t="s">
        <v>411</v>
      </c>
      <c r="AI7" s="21" t="s">
        <v>411</v>
      </c>
      <c r="AJ7" s="21" t="s">
        <v>200</v>
      </c>
      <c r="AK7" s="21" t="s">
        <v>205</v>
      </c>
      <c r="AL7" s="21" t="s">
        <v>206</v>
      </c>
      <c r="AM7" s="21" t="s">
        <v>208</v>
      </c>
      <c r="AN7" s="21" t="s">
        <v>207</v>
      </c>
      <c r="AO7" s="21"/>
      <c r="AP7" s="21" t="s">
        <v>48</v>
      </c>
      <c r="AQ7" s="21" t="s">
        <v>323</v>
      </c>
      <c r="AR7" s="21" t="s">
        <v>323</v>
      </c>
      <c r="AS7" s="21" t="s">
        <v>323</v>
      </c>
      <c r="AT7" s="21" t="s">
        <v>52</v>
      </c>
      <c r="AU7" s="21" t="s">
        <v>43</v>
      </c>
      <c r="AV7" s="21" t="s">
        <v>198</v>
      </c>
      <c r="AW7" s="21" t="s">
        <v>210</v>
      </c>
      <c r="AX7" s="21" t="s">
        <v>407</v>
      </c>
      <c r="AY7" s="21" t="s">
        <v>211</v>
      </c>
      <c r="AZ7" s="21" t="s">
        <v>212</v>
      </c>
      <c r="BA7" s="21" t="s">
        <v>213</v>
      </c>
      <c r="BB7" s="21" t="s">
        <v>213</v>
      </c>
      <c r="BC7" s="21" t="s">
        <v>161</v>
      </c>
      <c r="BD7" s="21" t="s">
        <v>46</v>
      </c>
      <c r="BE7" s="21" t="s">
        <v>214</v>
      </c>
      <c r="BF7" s="21" t="s">
        <v>215</v>
      </c>
      <c r="BG7" s="21" t="s">
        <v>216</v>
      </c>
      <c r="BH7" s="21" t="s">
        <v>240</v>
      </c>
      <c r="BI7" s="21" t="s">
        <v>241</v>
      </c>
      <c r="BJ7" s="21" t="s">
        <v>242</v>
      </c>
      <c r="BK7" s="21" t="s">
        <v>243</v>
      </c>
      <c r="BL7" s="21" t="s">
        <v>244</v>
      </c>
      <c r="BM7" s="21" t="s">
        <v>246</v>
      </c>
      <c r="BN7" s="21" t="s">
        <v>247</v>
      </c>
      <c r="BO7" s="21" t="s">
        <v>249</v>
      </c>
      <c r="BP7" s="21" t="s">
        <v>248</v>
      </c>
      <c r="BQ7" s="21" t="s">
        <v>250</v>
      </c>
      <c r="BR7" s="21" t="s">
        <v>251</v>
      </c>
      <c r="BS7" s="21" t="s">
        <v>252</v>
      </c>
      <c r="BT7" s="21" t="s">
        <v>245</v>
      </c>
      <c r="BU7" s="21" t="s">
        <v>406</v>
      </c>
      <c r="BV7" s="21" t="s">
        <v>253</v>
      </c>
      <c r="BW7" s="21" t="s">
        <v>408</v>
      </c>
      <c r="BX7" s="21" t="s">
        <v>254</v>
      </c>
      <c r="BY7" s="21" t="s">
        <v>256</v>
      </c>
      <c r="BZ7" s="21" t="s">
        <v>257</v>
      </c>
      <c r="CA7" s="21" t="s">
        <v>409</v>
      </c>
      <c r="CB7" s="21" t="s">
        <v>262</v>
      </c>
      <c r="CC7" s="21" t="s">
        <v>255</v>
      </c>
      <c r="CD7" s="21" t="s">
        <v>261</v>
      </c>
      <c r="CE7" s="21" t="s">
        <v>259</v>
      </c>
      <c r="CF7" s="21" t="s">
        <v>260</v>
      </c>
      <c r="CG7" s="21"/>
      <c r="CH7" s="21"/>
      <c r="CI7" s="21"/>
      <c r="CJ7" s="21"/>
      <c r="CK7" s="21"/>
      <c r="CL7" s="21"/>
      <c r="CM7" s="21"/>
      <c r="CN7" s="21"/>
      <c r="CO7" s="21"/>
      <c r="CP7" s="21"/>
      <c r="CQ7" s="21"/>
      <c r="CR7" s="21"/>
      <c r="CS7" s="21"/>
      <c r="CT7" s="21"/>
      <c r="CU7" s="21"/>
      <c r="CV7" s="21"/>
      <c r="CW7" s="21"/>
      <c r="CX7" s="21"/>
      <c r="CY7" s="21"/>
      <c r="CZ7" s="21"/>
      <c r="DA7" s="21"/>
      <c r="DB7" s="21"/>
      <c r="DC7" s="21"/>
      <c r="DD7" s="21"/>
      <c r="DE7" s="21"/>
      <c r="DF7" s="21"/>
      <c r="DG7" s="21"/>
      <c r="DH7" s="21"/>
      <c r="DI7" s="21"/>
      <c r="DJ7" s="21"/>
      <c r="DK7" s="21"/>
      <c r="DL7" s="21"/>
      <c r="DM7" s="21"/>
      <c r="DN7" s="21"/>
      <c r="DO7" s="21"/>
      <c r="DP7" s="21"/>
      <c r="DQ7" s="21"/>
      <c r="DR7" s="21"/>
      <c r="DS7" s="21"/>
      <c r="DT7" s="21"/>
      <c r="DU7" s="21"/>
      <c r="DV7" s="21"/>
      <c r="DW7" s="21"/>
      <c r="DX7" s="21"/>
      <c r="DY7" s="21"/>
      <c r="DZ7" s="21"/>
      <c r="EA7" s="21"/>
      <c r="EB7" s="21"/>
      <c r="EC7" s="21"/>
      <c r="ED7" s="21"/>
      <c r="EE7" s="21"/>
      <c r="EF7" s="21"/>
      <c r="EG7" s="21"/>
      <c r="EH7" s="21"/>
      <c r="EI7" s="21"/>
      <c r="EJ7" s="21"/>
      <c r="EK7" s="21"/>
      <c r="EL7" s="21"/>
      <c r="EM7" s="21"/>
      <c r="EN7" s="21"/>
      <c r="EO7" s="21"/>
      <c r="EP7" s="21"/>
      <c r="EQ7" s="21"/>
      <c r="ER7" s="21"/>
      <c r="ES7" s="21"/>
      <c r="ET7" s="21"/>
      <c r="EU7" s="21"/>
      <c r="EV7" s="21"/>
      <c r="EW7" s="21"/>
      <c r="EX7" s="21"/>
      <c r="EY7" s="21"/>
      <c r="EZ7" s="21"/>
    </row>
    <row r="8" spans="1:156" x14ac:dyDescent="0.2">
      <c r="A8" s="23" t="s">
        <v>84</v>
      </c>
      <c r="B8" s="24"/>
    </row>
    <row r="9" spans="1:156" x14ac:dyDescent="0.2">
      <c r="A9" s="25" t="s">
        <v>341</v>
      </c>
      <c r="B9" s="24"/>
      <c r="C9" s="26" t="s">
        <v>363</v>
      </c>
      <c r="D9" s="26"/>
      <c r="E9" s="26" t="s">
        <v>363</v>
      </c>
      <c r="F9" s="26"/>
      <c r="G9" s="26" t="s">
        <v>363</v>
      </c>
      <c r="H9" s="26"/>
      <c r="I9" s="26" t="s">
        <v>363</v>
      </c>
      <c r="J9" s="26"/>
      <c r="K9" s="26" t="s">
        <v>363</v>
      </c>
      <c r="L9" s="26"/>
      <c r="M9" s="26" t="s">
        <v>363</v>
      </c>
      <c r="N9" s="26" t="s">
        <v>363</v>
      </c>
      <c r="O9" s="26"/>
      <c r="P9" s="26" t="s">
        <v>363</v>
      </c>
      <c r="Q9" s="26" t="s">
        <v>363</v>
      </c>
      <c r="R9" s="26" t="s">
        <v>363</v>
      </c>
      <c r="S9" s="26"/>
      <c r="T9" s="26" t="s">
        <v>363</v>
      </c>
      <c r="U9" s="26" t="s">
        <v>363</v>
      </c>
      <c r="V9" s="26" t="s">
        <v>363</v>
      </c>
      <c r="W9" s="26" t="s">
        <v>363</v>
      </c>
      <c r="X9" s="26" t="s">
        <v>363</v>
      </c>
      <c r="Y9" s="26" t="s">
        <v>363</v>
      </c>
      <c r="Z9" s="26" t="s">
        <v>363</v>
      </c>
      <c r="AA9" s="26" t="s">
        <v>363</v>
      </c>
      <c r="AB9" s="26" t="s">
        <v>363</v>
      </c>
      <c r="AC9" s="26" t="s">
        <v>363</v>
      </c>
      <c r="AD9" s="26" t="s">
        <v>363</v>
      </c>
      <c r="AE9" s="26" t="s">
        <v>363</v>
      </c>
      <c r="AF9" s="26" t="s">
        <v>363</v>
      </c>
      <c r="AG9" s="26" t="s">
        <v>363</v>
      </c>
      <c r="AH9" s="26"/>
      <c r="AK9" s="26" t="s">
        <v>363</v>
      </c>
      <c r="AL9" s="26" t="s">
        <v>363</v>
      </c>
      <c r="AM9" s="26" t="s">
        <v>363</v>
      </c>
      <c r="AN9" s="26" t="s">
        <v>363</v>
      </c>
      <c r="AO9" s="26"/>
      <c r="AP9" s="26" t="s">
        <v>363</v>
      </c>
      <c r="AQ9" s="26"/>
      <c r="AR9" s="26" t="s">
        <v>363</v>
      </c>
      <c r="AS9" s="26"/>
      <c r="AT9" s="26" t="s">
        <v>363</v>
      </c>
      <c r="AU9" s="26" t="s">
        <v>363</v>
      </c>
      <c r="AV9" s="26" t="s">
        <v>363</v>
      </c>
      <c r="AW9" s="26" t="s">
        <v>363</v>
      </c>
      <c r="AX9" s="26" t="s">
        <v>363</v>
      </c>
      <c r="AY9" s="26" t="s">
        <v>363</v>
      </c>
      <c r="AZ9" s="26" t="s">
        <v>363</v>
      </c>
      <c r="BA9" s="26"/>
      <c r="BB9" s="26" t="s">
        <v>363</v>
      </c>
      <c r="BC9" s="26" t="s">
        <v>363</v>
      </c>
      <c r="BD9" s="26" t="s">
        <v>363</v>
      </c>
      <c r="BE9" s="26" t="s">
        <v>363</v>
      </c>
      <c r="BF9" s="26" t="s">
        <v>363</v>
      </c>
      <c r="BG9" s="26" t="s">
        <v>363</v>
      </c>
      <c r="BH9" s="26" t="s">
        <v>363</v>
      </c>
      <c r="BI9" s="26" t="s">
        <v>363</v>
      </c>
      <c r="BJ9" s="26" t="s">
        <v>363</v>
      </c>
      <c r="BK9" s="26" t="s">
        <v>363</v>
      </c>
      <c r="BL9" s="26" t="s">
        <v>363</v>
      </c>
      <c r="BM9" s="26" t="s">
        <v>363</v>
      </c>
      <c r="BN9" s="26" t="s">
        <v>363</v>
      </c>
      <c r="BO9" s="26" t="s">
        <v>363</v>
      </c>
      <c r="BP9" s="26" t="s">
        <v>363</v>
      </c>
      <c r="BQ9" s="26" t="s">
        <v>363</v>
      </c>
      <c r="BR9" s="26" t="s">
        <v>363</v>
      </c>
      <c r="BS9" s="26" t="s">
        <v>363</v>
      </c>
      <c r="BT9" s="26" t="s">
        <v>363</v>
      </c>
      <c r="BU9" s="26" t="s">
        <v>363</v>
      </c>
      <c r="BV9" s="26" t="s">
        <v>363</v>
      </c>
      <c r="BW9" s="26" t="s">
        <v>363</v>
      </c>
      <c r="BX9" s="26" t="s">
        <v>363</v>
      </c>
      <c r="BY9" s="26" t="s">
        <v>363</v>
      </c>
      <c r="BZ9" s="26" t="s">
        <v>363</v>
      </c>
      <c r="CA9" s="26" t="s">
        <v>363</v>
      </c>
      <c r="CB9" s="26" t="s">
        <v>363</v>
      </c>
      <c r="CC9" s="26" t="s">
        <v>363</v>
      </c>
      <c r="CD9" s="26" t="s">
        <v>363</v>
      </c>
      <c r="CE9" s="26" t="s">
        <v>363</v>
      </c>
      <c r="CF9" s="26" t="s">
        <v>363</v>
      </c>
      <c r="CG9" s="26"/>
      <c r="CH9" s="26"/>
      <c r="CI9" s="26"/>
      <c r="CJ9" s="26"/>
      <c r="CK9" s="26"/>
      <c r="CL9" s="26"/>
      <c r="CM9" s="26"/>
      <c r="CN9" s="26"/>
      <c r="CO9" s="26"/>
      <c r="CP9" s="26"/>
      <c r="CQ9" s="26"/>
      <c r="CR9" s="26"/>
      <c r="CS9" s="26"/>
      <c r="CT9" s="26"/>
      <c r="CU9" s="26"/>
      <c r="CV9" s="26"/>
      <c r="CW9" s="26"/>
      <c r="CX9" s="26"/>
      <c r="CY9" s="26"/>
      <c r="CZ9" s="26"/>
      <c r="DA9" s="26"/>
      <c r="DB9" s="26"/>
      <c r="DC9" s="26"/>
      <c r="DD9" s="26"/>
      <c r="DE9" s="26"/>
      <c r="DF9" s="26"/>
      <c r="DG9" s="26"/>
      <c r="DH9" s="26"/>
      <c r="DI9" s="26"/>
      <c r="DJ9" s="26"/>
      <c r="DK9" s="26"/>
      <c r="DL9" s="26"/>
      <c r="DM9" s="26"/>
      <c r="DN9" s="26"/>
      <c r="DO9" s="26"/>
      <c r="DP9" s="26"/>
      <c r="DQ9" s="26"/>
      <c r="DR9" s="26"/>
      <c r="DS9" s="26"/>
      <c r="DT9" s="26"/>
      <c r="DU9" s="26"/>
      <c r="DV9" s="26"/>
      <c r="DW9" s="26"/>
      <c r="DX9" s="26"/>
      <c r="DY9" s="26"/>
      <c r="DZ9" s="26"/>
      <c r="EA9" s="26"/>
      <c r="EB9" s="26"/>
      <c r="EC9" s="26"/>
      <c r="ED9" s="26"/>
      <c r="EE9" s="26"/>
      <c r="EF9" s="26"/>
      <c r="EG9" s="26"/>
      <c r="EH9" s="26"/>
      <c r="EI9" s="26"/>
      <c r="EJ9" s="26"/>
      <c r="EK9" s="26"/>
      <c r="EL9" s="26"/>
      <c r="EM9" s="26"/>
      <c r="EN9" s="26"/>
      <c r="EO9" s="26"/>
      <c r="EP9" s="26"/>
      <c r="EQ9" s="26"/>
      <c r="ER9" s="26"/>
      <c r="ES9" s="26"/>
      <c r="ET9" s="26"/>
      <c r="EU9" s="26"/>
      <c r="EV9" s="26"/>
      <c r="EW9" s="26"/>
      <c r="EX9" s="26"/>
      <c r="EY9" s="26"/>
      <c r="EZ9" s="26"/>
    </row>
    <row r="10" spans="1:156" x14ac:dyDescent="0.2">
      <c r="A10" s="25" t="s">
        <v>342</v>
      </c>
      <c r="B10" s="24"/>
      <c r="C10" s="26" t="s">
        <v>363</v>
      </c>
      <c r="D10" s="26"/>
      <c r="E10" s="26" t="s">
        <v>363</v>
      </c>
      <c r="F10" s="26"/>
      <c r="G10" s="26" t="s">
        <v>363</v>
      </c>
      <c r="H10" s="26"/>
      <c r="I10" s="26" t="s">
        <v>363</v>
      </c>
      <c r="J10" s="26"/>
      <c r="K10" s="26" t="s">
        <v>363</v>
      </c>
      <c r="L10" s="26"/>
      <c r="M10" s="26" t="s">
        <v>363</v>
      </c>
      <c r="N10" s="26" t="s">
        <v>363</v>
      </c>
      <c r="O10" s="26"/>
      <c r="P10" s="26" t="s">
        <v>363</v>
      </c>
      <c r="Q10" s="26" t="s">
        <v>363</v>
      </c>
      <c r="R10" s="26" t="s">
        <v>363</v>
      </c>
      <c r="S10" s="26"/>
      <c r="T10" s="26" t="s">
        <v>363</v>
      </c>
      <c r="U10" s="26" t="s">
        <v>363</v>
      </c>
      <c r="V10" s="26" t="s">
        <v>363</v>
      </c>
      <c r="W10" s="26" t="s">
        <v>363</v>
      </c>
      <c r="X10" s="26" t="s">
        <v>363</v>
      </c>
      <c r="Y10" s="26" t="s">
        <v>363</v>
      </c>
      <c r="Z10" s="26" t="s">
        <v>363</v>
      </c>
      <c r="AA10" s="26" t="s">
        <v>363</v>
      </c>
      <c r="AB10" s="26" t="s">
        <v>363</v>
      </c>
      <c r="AC10" s="26" t="s">
        <v>363</v>
      </c>
      <c r="AD10" s="26" t="s">
        <v>363</v>
      </c>
      <c r="AE10" s="26" t="s">
        <v>363</v>
      </c>
      <c r="AF10" s="26" t="s">
        <v>363</v>
      </c>
      <c r="AG10" s="26" t="s">
        <v>363</v>
      </c>
      <c r="AH10" s="26"/>
      <c r="AI10" s="10" t="s">
        <v>363</v>
      </c>
      <c r="AJ10" s="10" t="s">
        <v>363</v>
      </c>
      <c r="AK10" s="26" t="s">
        <v>363</v>
      </c>
      <c r="AL10" s="26" t="s">
        <v>363</v>
      </c>
      <c r="AM10" s="26" t="s">
        <v>363</v>
      </c>
      <c r="AN10" s="26" t="s">
        <v>363</v>
      </c>
      <c r="AO10" s="26"/>
      <c r="AP10" s="26" t="s">
        <v>363</v>
      </c>
      <c r="AQ10" s="26"/>
      <c r="AR10" s="26" t="s">
        <v>363</v>
      </c>
      <c r="AS10" s="26"/>
      <c r="AT10" s="26" t="s">
        <v>363</v>
      </c>
      <c r="AU10" s="26" t="s">
        <v>363</v>
      </c>
      <c r="AV10" s="26" t="s">
        <v>363</v>
      </c>
      <c r="AW10" s="26" t="s">
        <v>363</v>
      </c>
      <c r="AX10" s="26" t="s">
        <v>363</v>
      </c>
      <c r="AY10" s="26" t="s">
        <v>363</v>
      </c>
      <c r="AZ10" s="26" t="s">
        <v>363</v>
      </c>
      <c r="BA10" s="26"/>
      <c r="BB10" s="26" t="s">
        <v>363</v>
      </c>
      <c r="BC10" s="26" t="s">
        <v>363</v>
      </c>
      <c r="BD10" s="26" t="s">
        <v>363</v>
      </c>
      <c r="BE10" s="26" t="s">
        <v>363</v>
      </c>
      <c r="BF10" s="26" t="s">
        <v>363</v>
      </c>
      <c r="BG10" s="26" t="s">
        <v>363</v>
      </c>
      <c r="BH10" s="26" t="s">
        <v>363</v>
      </c>
      <c r="BI10" s="26" t="s">
        <v>363</v>
      </c>
      <c r="BJ10" s="26" t="s">
        <v>363</v>
      </c>
      <c r="BK10" s="26" t="s">
        <v>363</v>
      </c>
      <c r="BL10" s="26" t="s">
        <v>363</v>
      </c>
      <c r="BM10" s="26" t="s">
        <v>363</v>
      </c>
      <c r="BN10" s="26" t="s">
        <v>363</v>
      </c>
      <c r="BO10" s="26" t="s">
        <v>363</v>
      </c>
      <c r="BP10" s="26" t="s">
        <v>363</v>
      </c>
      <c r="BQ10" s="26" t="s">
        <v>363</v>
      </c>
      <c r="BR10" s="26" t="s">
        <v>363</v>
      </c>
      <c r="BS10" s="26" t="s">
        <v>363</v>
      </c>
      <c r="BT10" s="26" t="s">
        <v>363</v>
      </c>
      <c r="BU10" s="26" t="s">
        <v>363</v>
      </c>
      <c r="BV10" s="26" t="s">
        <v>363</v>
      </c>
      <c r="BW10" s="26" t="s">
        <v>363</v>
      </c>
      <c r="BX10" s="26" t="s">
        <v>363</v>
      </c>
      <c r="BY10" s="26" t="s">
        <v>363</v>
      </c>
      <c r="BZ10" s="26" t="s">
        <v>363</v>
      </c>
      <c r="CA10" s="26" t="s">
        <v>363</v>
      </c>
      <c r="CB10" s="26" t="s">
        <v>363</v>
      </c>
      <c r="CC10" s="26" t="s">
        <v>363</v>
      </c>
      <c r="CD10" s="26" t="s">
        <v>363</v>
      </c>
      <c r="CE10" s="26" t="s">
        <v>363</v>
      </c>
      <c r="CF10" s="26" t="s">
        <v>363</v>
      </c>
      <c r="CG10" s="26"/>
      <c r="CH10" s="26"/>
      <c r="CI10" s="26"/>
      <c r="CJ10" s="26"/>
      <c r="CK10" s="26"/>
      <c r="CL10" s="26"/>
      <c r="CM10" s="26"/>
      <c r="CN10" s="26"/>
      <c r="CO10" s="26"/>
      <c r="CP10" s="26"/>
      <c r="CQ10" s="26"/>
      <c r="CR10" s="26"/>
      <c r="CS10" s="26"/>
      <c r="CT10" s="26"/>
      <c r="CU10" s="26"/>
      <c r="CV10" s="26"/>
      <c r="CW10" s="26"/>
      <c r="CX10" s="26"/>
      <c r="CY10" s="26"/>
      <c r="CZ10" s="26"/>
      <c r="DA10" s="26"/>
      <c r="DB10" s="26"/>
      <c r="DC10" s="26"/>
      <c r="DD10" s="26"/>
      <c r="DE10" s="26"/>
      <c r="DF10" s="26"/>
      <c r="DG10" s="26"/>
      <c r="DH10" s="26"/>
      <c r="DI10" s="26"/>
      <c r="DJ10" s="26"/>
      <c r="DK10" s="26"/>
      <c r="DL10" s="26"/>
      <c r="DM10" s="26"/>
      <c r="DN10" s="26"/>
      <c r="DO10" s="26"/>
      <c r="DP10" s="26"/>
      <c r="DQ10" s="26"/>
      <c r="DR10" s="26"/>
      <c r="DS10" s="26"/>
      <c r="DT10" s="26"/>
      <c r="DU10" s="26"/>
      <c r="DV10" s="26"/>
      <c r="DW10" s="26"/>
      <c r="DX10" s="26"/>
      <c r="DY10" s="26"/>
      <c r="DZ10" s="26"/>
      <c r="EA10" s="26"/>
      <c r="EB10" s="26"/>
      <c r="EC10" s="26"/>
      <c r="ED10" s="26"/>
      <c r="EE10" s="26"/>
      <c r="EF10" s="26"/>
      <c r="EG10" s="26"/>
      <c r="EH10" s="26"/>
      <c r="EI10" s="26"/>
      <c r="EJ10" s="26"/>
      <c r="EK10" s="26"/>
      <c r="EL10" s="26"/>
      <c r="EM10" s="26"/>
      <c r="EN10" s="26"/>
      <c r="EO10" s="26"/>
      <c r="EP10" s="26"/>
      <c r="EQ10" s="26"/>
      <c r="ER10" s="26"/>
      <c r="ES10" s="26"/>
      <c r="ET10" s="26"/>
      <c r="EU10" s="26"/>
      <c r="EV10" s="26"/>
      <c r="EW10" s="26"/>
      <c r="EX10" s="26"/>
      <c r="EY10" s="26"/>
      <c r="EZ10" s="26"/>
    </row>
    <row r="11" spans="1:156" x14ac:dyDescent="0.2">
      <c r="A11" s="25" t="s">
        <v>364</v>
      </c>
      <c r="B11" s="29"/>
      <c r="C11" s="26" t="s">
        <v>363</v>
      </c>
      <c r="D11" s="26"/>
      <c r="E11" s="26">
        <v>13.340456016883238</v>
      </c>
      <c r="F11" s="26"/>
      <c r="G11" s="26">
        <v>6.5263658967333367</v>
      </c>
      <c r="H11" s="26"/>
      <c r="I11" s="26" t="s">
        <v>363</v>
      </c>
      <c r="J11" s="26"/>
      <c r="K11" s="26" t="s">
        <v>363</v>
      </c>
      <c r="L11" s="26"/>
      <c r="M11" s="26">
        <v>3.941006487332936</v>
      </c>
      <c r="N11" s="26" t="s">
        <v>363</v>
      </c>
      <c r="O11" s="26"/>
      <c r="P11" s="26" t="s">
        <v>363</v>
      </c>
      <c r="Q11" s="26" t="s">
        <v>363</v>
      </c>
      <c r="R11" s="26" t="s">
        <v>363</v>
      </c>
      <c r="S11" s="26"/>
      <c r="T11" s="26" t="s">
        <v>363</v>
      </c>
      <c r="U11" s="26" t="s">
        <v>363</v>
      </c>
      <c r="V11" s="26" t="s">
        <v>363</v>
      </c>
      <c r="W11" s="26" t="s">
        <v>363</v>
      </c>
      <c r="X11" s="26" t="s">
        <v>363</v>
      </c>
      <c r="Y11" s="26" t="s">
        <v>363</v>
      </c>
      <c r="Z11" s="26" t="s">
        <v>363</v>
      </c>
      <c r="AA11" s="26" t="s">
        <v>363</v>
      </c>
      <c r="AB11" s="26" t="s">
        <v>363</v>
      </c>
      <c r="AC11" s="26" t="s">
        <v>363</v>
      </c>
      <c r="AD11" s="26" t="s">
        <v>363</v>
      </c>
      <c r="AE11" s="26" t="s">
        <v>363</v>
      </c>
      <c r="AF11" s="26" t="s">
        <v>363</v>
      </c>
      <c r="AG11" s="26" t="s">
        <v>363</v>
      </c>
      <c r="AH11" s="26"/>
      <c r="AI11" s="26">
        <v>11.091386766042227</v>
      </c>
      <c r="AJ11" s="10" t="s">
        <v>363</v>
      </c>
      <c r="AK11" s="26" t="s">
        <v>363</v>
      </c>
      <c r="AL11" s="26" t="s">
        <v>363</v>
      </c>
      <c r="AM11" s="26" t="s">
        <v>363</v>
      </c>
      <c r="AN11" s="26" t="s">
        <v>363</v>
      </c>
      <c r="AO11" s="26"/>
      <c r="AP11" s="26" t="s">
        <v>363</v>
      </c>
      <c r="AQ11" s="26">
        <v>0.44386239319860482</v>
      </c>
      <c r="AR11" s="26"/>
      <c r="AS11" s="26">
        <v>7.4186238019060369</v>
      </c>
      <c r="AW11" s="26" t="s">
        <v>363</v>
      </c>
      <c r="AX11" s="26" t="s">
        <v>363</v>
      </c>
      <c r="AY11" s="26" t="s">
        <v>363</v>
      </c>
      <c r="AZ11" s="26" t="s">
        <v>363</v>
      </c>
      <c r="BA11" s="26"/>
      <c r="BB11" s="26" t="s">
        <v>363</v>
      </c>
      <c r="BC11" s="26" t="s">
        <v>363</v>
      </c>
      <c r="BD11" s="26" t="s">
        <v>363</v>
      </c>
      <c r="BE11" s="26" t="s">
        <v>363</v>
      </c>
      <c r="BF11" s="26" t="s">
        <v>363</v>
      </c>
      <c r="BG11" s="26" t="s">
        <v>363</v>
      </c>
      <c r="BH11" s="26" t="s">
        <v>363</v>
      </c>
      <c r="BI11" s="26" t="s">
        <v>363</v>
      </c>
      <c r="BJ11" s="26" t="s">
        <v>363</v>
      </c>
      <c r="BK11" s="26" t="s">
        <v>363</v>
      </c>
      <c r="BL11" s="26" t="s">
        <v>363</v>
      </c>
      <c r="BM11" s="26" t="s">
        <v>363</v>
      </c>
      <c r="BN11" s="26" t="s">
        <v>363</v>
      </c>
      <c r="BO11" s="26" t="s">
        <v>363</v>
      </c>
      <c r="BP11" s="26" t="s">
        <v>363</v>
      </c>
      <c r="BQ11" s="26" t="s">
        <v>363</v>
      </c>
      <c r="BR11" s="26" t="s">
        <v>363</v>
      </c>
      <c r="BS11" s="26" t="s">
        <v>363</v>
      </c>
      <c r="BT11" s="26" t="s">
        <v>363</v>
      </c>
      <c r="BU11" s="26" t="s">
        <v>363</v>
      </c>
      <c r="BV11" s="26" t="s">
        <v>363</v>
      </c>
      <c r="BW11" s="26" t="s">
        <v>363</v>
      </c>
      <c r="BX11" s="26" t="s">
        <v>363</v>
      </c>
      <c r="BY11" s="26" t="s">
        <v>363</v>
      </c>
      <c r="BZ11" s="26" t="s">
        <v>363</v>
      </c>
      <c r="CA11" s="26" t="s">
        <v>363</v>
      </c>
      <c r="CB11" s="26" t="s">
        <v>363</v>
      </c>
      <c r="CC11" s="26" t="s">
        <v>363</v>
      </c>
      <c r="CD11" s="26" t="s">
        <v>363</v>
      </c>
      <c r="CE11" s="26" t="s">
        <v>363</v>
      </c>
      <c r="CF11" s="26" t="s">
        <v>363</v>
      </c>
      <c r="CG11" s="26"/>
      <c r="CH11" s="26"/>
      <c r="CI11" s="26"/>
      <c r="CJ11" s="26"/>
      <c r="CK11" s="26"/>
      <c r="CL11" s="26"/>
      <c r="CM11" s="26"/>
      <c r="CN11" s="26"/>
      <c r="CO11" s="26"/>
      <c r="CP11" s="26"/>
      <c r="CQ11" s="26"/>
      <c r="CR11" s="26"/>
      <c r="CS11" s="26"/>
      <c r="CT11" s="26"/>
      <c r="CU11" s="26"/>
      <c r="CV11" s="26"/>
      <c r="CW11" s="26"/>
      <c r="CX11" s="26"/>
      <c r="CY11" s="26"/>
      <c r="CZ11" s="26"/>
      <c r="DA11" s="26"/>
      <c r="DB11" s="26"/>
      <c r="DC11" s="26"/>
      <c r="DD11" s="26"/>
      <c r="DE11" s="26"/>
      <c r="DF11" s="26"/>
      <c r="DG11" s="26"/>
      <c r="DH11" s="26"/>
      <c r="DI11" s="26"/>
      <c r="DJ11" s="26"/>
      <c r="DK11" s="26"/>
      <c r="DL11" s="26"/>
      <c r="DM11" s="26"/>
      <c r="DN11" s="26"/>
      <c r="DO11" s="26"/>
      <c r="DP11" s="26"/>
      <c r="DQ11" s="26"/>
      <c r="DR11" s="26"/>
      <c r="DS11" s="26"/>
      <c r="DT11" s="26"/>
      <c r="DU11" s="26"/>
      <c r="DV11" s="26"/>
      <c r="DW11" s="26"/>
      <c r="DX11" s="26"/>
      <c r="DY11" s="26"/>
      <c r="DZ11" s="26"/>
      <c r="EA11" s="26"/>
      <c r="EB11" s="26"/>
      <c r="EC11" s="26"/>
      <c r="ED11" s="26"/>
      <c r="EE11" s="26"/>
      <c r="EF11" s="26"/>
      <c r="EG11" s="26"/>
      <c r="EH11" s="26"/>
      <c r="EI11" s="26"/>
      <c r="EJ11" s="26"/>
      <c r="EK11" s="26"/>
      <c r="EL11" s="26"/>
      <c r="EM11" s="26"/>
      <c r="EN11" s="26"/>
      <c r="EO11" s="26"/>
      <c r="EP11" s="26"/>
      <c r="EQ11" s="26"/>
      <c r="ER11" s="26"/>
      <c r="ES11" s="26"/>
      <c r="ET11" s="26"/>
      <c r="EU11" s="26"/>
      <c r="EV11" s="26"/>
      <c r="EW11" s="26"/>
      <c r="EX11" s="26"/>
      <c r="EY11" s="26"/>
      <c r="EZ11" s="26"/>
    </row>
    <row r="12" spans="1:156" x14ac:dyDescent="0.2">
      <c r="A12" s="25" t="s">
        <v>365</v>
      </c>
      <c r="B12" s="29"/>
      <c r="C12" s="26" t="s">
        <v>363</v>
      </c>
      <c r="D12" s="26"/>
      <c r="E12" s="26">
        <v>13.964590509094178</v>
      </c>
      <c r="F12" s="26"/>
      <c r="G12" s="26">
        <v>7.0304652639011795</v>
      </c>
      <c r="H12" s="26"/>
      <c r="I12" s="26" t="s">
        <v>363</v>
      </c>
      <c r="J12" s="26"/>
      <c r="K12" s="26" t="s">
        <v>363</v>
      </c>
      <c r="L12" s="26"/>
      <c r="M12" s="26">
        <v>6.5133872277031006</v>
      </c>
      <c r="O12" s="26"/>
      <c r="Q12" s="26" t="s">
        <v>363</v>
      </c>
      <c r="R12" s="26" t="s">
        <v>363</v>
      </c>
      <c r="S12" s="26"/>
      <c r="T12" s="26" t="s">
        <v>363</v>
      </c>
      <c r="U12" s="26" t="s">
        <v>363</v>
      </c>
      <c r="V12" s="26" t="s">
        <v>363</v>
      </c>
      <c r="W12" s="26" t="s">
        <v>363</v>
      </c>
      <c r="X12" s="26" t="s">
        <v>363</v>
      </c>
      <c r="Y12" s="26" t="s">
        <v>363</v>
      </c>
      <c r="Z12" s="26" t="s">
        <v>363</v>
      </c>
      <c r="AA12" s="26" t="s">
        <v>363</v>
      </c>
      <c r="AB12" s="26" t="s">
        <v>363</v>
      </c>
      <c r="AC12" s="26" t="s">
        <v>363</v>
      </c>
      <c r="AD12" s="26" t="s">
        <v>363</v>
      </c>
      <c r="AE12" s="26" t="s">
        <v>363</v>
      </c>
      <c r="AF12" s="26" t="s">
        <v>363</v>
      </c>
      <c r="AG12" s="26" t="s">
        <v>363</v>
      </c>
      <c r="AH12" s="26"/>
      <c r="AI12" s="26">
        <v>17.410704301979074</v>
      </c>
      <c r="AJ12" s="10" t="s">
        <v>363</v>
      </c>
      <c r="AK12" s="26" t="s">
        <v>363</v>
      </c>
      <c r="AL12" s="26" t="s">
        <v>363</v>
      </c>
      <c r="AM12" s="26" t="s">
        <v>363</v>
      </c>
      <c r="AN12" s="26" t="s">
        <v>363</v>
      </c>
      <c r="AO12" s="26"/>
      <c r="AP12" s="26" t="s">
        <v>363</v>
      </c>
      <c r="AQ12" s="26">
        <v>0.56469863355206806</v>
      </c>
      <c r="AR12" s="26"/>
      <c r="AS12" s="26">
        <v>11.101324422880746</v>
      </c>
      <c r="AV12" s="26" t="s">
        <v>363</v>
      </c>
      <c r="AW12" s="26" t="s">
        <v>363</v>
      </c>
      <c r="AX12" s="26" t="s">
        <v>363</v>
      </c>
      <c r="AY12" s="26" t="s">
        <v>363</v>
      </c>
      <c r="AZ12" s="26" t="s">
        <v>363</v>
      </c>
      <c r="BA12" s="26"/>
      <c r="BB12" s="26" t="s">
        <v>363</v>
      </c>
      <c r="BC12" s="26" t="s">
        <v>363</v>
      </c>
      <c r="BD12" s="26" t="s">
        <v>363</v>
      </c>
      <c r="BE12" s="26" t="s">
        <v>363</v>
      </c>
      <c r="BF12" s="26" t="s">
        <v>363</v>
      </c>
      <c r="BG12" s="26" t="s">
        <v>363</v>
      </c>
      <c r="BH12" s="26" t="s">
        <v>363</v>
      </c>
      <c r="BI12" s="26" t="s">
        <v>363</v>
      </c>
      <c r="BJ12" s="26" t="s">
        <v>363</v>
      </c>
      <c r="BK12" s="26" t="s">
        <v>363</v>
      </c>
      <c r="BL12" s="26" t="s">
        <v>363</v>
      </c>
      <c r="BM12" s="26" t="s">
        <v>363</v>
      </c>
      <c r="BN12" s="26" t="s">
        <v>363</v>
      </c>
      <c r="BO12" s="26" t="s">
        <v>363</v>
      </c>
      <c r="BP12" s="26" t="s">
        <v>363</v>
      </c>
      <c r="BQ12" s="26" t="s">
        <v>363</v>
      </c>
      <c r="BR12" s="26" t="s">
        <v>363</v>
      </c>
      <c r="BS12" s="26" t="s">
        <v>363</v>
      </c>
      <c r="BT12" s="26" t="s">
        <v>363</v>
      </c>
      <c r="BU12" s="26" t="s">
        <v>363</v>
      </c>
      <c r="BV12" s="26" t="s">
        <v>363</v>
      </c>
      <c r="BW12" s="26" t="s">
        <v>363</v>
      </c>
      <c r="BX12" s="26" t="s">
        <v>363</v>
      </c>
      <c r="BY12" s="26" t="s">
        <v>363</v>
      </c>
      <c r="BZ12" s="26" t="s">
        <v>363</v>
      </c>
      <c r="CA12" s="26" t="s">
        <v>363</v>
      </c>
      <c r="CB12" s="26" t="s">
        <v>363</v>
      </c>
      <c r="CC12" s="26" t="s">
        <v>363</v>
      </c>
      <c r="CD12" s="26" t="s">
        <v>363</v>
      </c>
      <c r="CE12" s="26" t="s">
        <v>363</v>
      </c>
      <c r="CF12" s="26" t="s">
        <v>363</v>
      </c>
      <c r="CG12" s="26"/>
      <c r="CH12" s="26"/>
      <c r="CI12" s="26"/>
      <c r="CJ12" s="26"/>
      <c r="CK12" s="26"/>
      <c r="CL12" s="26"/>
      <c r="CM12" s="26"/>
      <c r="CN12" s="26"/>
      <c r="CO12" s="26"/>
      <c r="CP12" s="26"/>
      <c r="CQ12" s="26"/>
      <c r="CR12" s="26"/>
      <c r="CS12" s="26"/>
      <c r="CT12" s="26"/>
      <c r="CU12" s="26"/>
      <c r="CV12" s="26"/>
      <c r="CW12" s="26"/>
      <c r="CX12" s="26"/>
      <c r="CY12" s="26"/>
      <c r="CZ12" s="26"/>
      <c r="DA12" s="26"/>
      <c r="DB12" s="26"/>
      <c r="DC12" s="26"/>
      <c r="DD12" s="26"/>
      <c r="DE12" s="26"/>
      <c r="DF12" s="26"/>
      <c r="DG12" s="26"/>
      <c r="DH12" s="26"/>
      <c r="DI12" s="26"/>
      <c r="DJ12" s="26"/>
      <c r="DK12" s="26"/>
      <c r="DL12" s="26"/>
      <c r="DM12" s="26"/>
      <c r="DN12" s="26"/>
      <c r="DO12" s="26"/>
      <c r="DP12" s="26"/>
      <c r="DQ12" s="26"/>
      <c r="DR12" s="26"/>
      <c r="DS12" s="26"/>
      <c r="DT12" s="26"/>
      <c r="DU12" s="26"/>
      <c r="DV12" s="26"/>
      <c r="DW12" s="26"/>
      <c r="DX12" s="26"/>
      <c r="DY12" s="26"/>
      <c r="DZ12" s="26"/>
      <c r="EA12" s="26"/>
      <c r="EB12" s="26"/>
      <c r="EC12" s="26"/>
      <c r="ED12" s="26"/>
      <c r="EE12" s="26"/>
      <c r="EF12" s="26"/>
      <c r="EG12" s="26"/>
      <c r="EH12" s="26"/>
      <c r="EI12" s="26"/>
      <c r="EJ12" s="26"/>
      <c r="EK12" s="26"/>
      <c r="EL12" s="26"/>
      <c r="EM12" s="26"/>
      <c r="EN12" s="26"/>
      <c r="EO12" s="26"/>
      <c r="EP12" s="26"/>
      <c r="EQ12" s="26"/>
      <c r="ER12" s="26"/>
      <c r="ES12" s="26"/>
      <c r="ET12" s="26"/>
      <c r="EU12" s="26"/>
      <c r="EV12" s="26"/>
      <c r="EW12" s="26"/>
      <c r="EX12" s="26"/>
      <c r="EY12" s="26"/>
      <c r="EZ12" s="26"/>
    </row>
    <row r="13" spans="1:156" x14ac:dyDescent="0.2">
      <c r="A13" s="25" t="s">
        <v>325</v>
      </c>
      <c r="B13" s="29"/>
      <c r="C13" s="26" t="s">
        <v>363</v>
      </c>
      <c r="D13" s="26">
        <v>2.0705473960352289E-2</v>
      </c>
      <c r="E13" s="26"/>
      <c r="F13" s="26">
        <v>1.8015697808380762E-2</v>
      </c>
      <c r="G13" s="26"/>
      <c r="H13" s="26">
        <v>4.6620147275990486E-3</v>
      </c>
      <c r="I13" s="26"/>
      <c r="J13" s="26">
        <v>4.6410552319130501E-2</v>
      </c>
      <c r="K13" s="26"/>
      <c r="L13" s="26">
        <v>9.4919981782316497E-3</v>
      </c>
      <c r="N13" s="26" t="s">
        <v>363</v>
      </c>
      <c r="O13" s="26"/>
      <c r="P13" s="26"/>
      <c r="Q13" s="26" t="s">
        <v>363</v>
      </c>
      <c r="R13" s="26" t="s">
        <v>363</v>
      </c>
      <c r="S13" s="26"/>
      <c r="T13" s="26" t="s">
        <v>363</v>
      </c>
      <c r="U13" s="26" t="s">
        <v>363</v>
      </c>
      <c r="V13" s="26" t="s">
        <v>363</v>
      </c>
      <c r="W13" s="26" t="s">
        <v>363</v>
      </c>
      <c r="X13" s="26" t="s">
        <v>363</v>
      </c>
      <c r="Y13" s="26" t="s">
        <v>363</v>
      </c>
      <c r="Z13" s="26" t="s">
        <v>363</v>
      </c>
      <c r="AA13" s="26" t="s">
        <v>363</v>
      </c>
      <c r="AB13" s="26" t="s">
        <v>363</v>
      </c>
      <c r="AC13" s="26">
        <v>1.5319339334442182E-2</v>
      </c>
      <c r="AD13" s="26" t="s">
        <v>363</v>
      </c>
      <c r="AE13" s="26" t="s">
        <v>363</v>
      </c>
      <c r="AF13" s="26" t="s">
        <v>363</v>
      </c>
      <c r="AG13" s="26" t="s">
        <v>363</v>
      </c>
      <c r="AH13" s="26">
        <v>1.528667988419391E-2</v>
      </c>
      <c r="AI13" s="10" t="s">
        <v>363</v>
      </c>
      <c r="AJ13" s="10" t="s">
        <v>363</v>
      </c>
      <c r="AK13" s="26" t="s">
        <v>363</v>
      </c>
      <c r="AL13" s="26" t="s">
        <v>363</v>
      </c>
      <c r="AM13" s="26" t="s">
        <v>363</v>
      </c>
      <c r="AN13" s="26" t="s">
        <v>363</v>
      </c>
      <c r="AO13" s="26">
        <v>2.7148081264561541E-3</v>
      </c>
      <c r="AR13" s="26">
        <v>1.1575517835656609E-2</v>
      </c>
      <c r="AS13" s="26"/>
      <c r="AT13" s="26">
        <v>2.7148081264561541E-3</v>
      </c>
      <c r="AU13" s="26">
        <v>1.2943768613988889E-2</v>
      </c>
      <c r="AV13" s="26" t="s">
        <v>363</v>
      </c>
      <c r="AW13" s="26" t="s">
        <v>363</v>
      </c>
      <c r="AX13" s="26" t="s">
        <v>363</v>
      </c>
      <c r="AY13" s="26" t="s">
        <v>363</v>
      </c>
      <c r="AZ13" s="26" t="s">
        <v>363</v>
      </c>
      <c r="BA13" s="26"/>
      <c r="BB13" s="26" t="s">
        <v>363</v>
      </c>
      <c r="BC13" s="26" t="s">
        <v>363</v>
      </c>
      <c r="BD13" s="26" t="s">
        <v>363</v>
      </c>
      <c r="BE13" s="26" t="s">
        <v>363</v>
      </c>
      <c r="BF13" s="26" t="s">
        <v>363</v>
      </c>
      <c r="BG13" s="26" t="s">
        <v>363</v>
      </c>
      <c r="BH13" s="26" t="s">
        <v>363</v>
      </c>
      <c r="BI13" s="26" t="s">
        <v>363</v>
      </c>
      <c r="BJ13" s="26" t="s">
        <v>363</v>
      </c>
      <c r="BK13" s="26" t="s">
        <v>363</v>
      </c>
      <c r="BL13" s="26" t="s">
        <v>363</v>
      </c>
      <c r="BM13" s="26" t="s">
        <v>363</v>
      </c>
      <c r="BN13" s="26" t="s">
        <v>363</v>
      </c>
      <c r="BO13" s="26" t="s">
        <v>363</v>
      </c>
      <c r="BP13" s="26" t="s">
        <v>363</v>
      </c>
      <c r="BQ13" s="26" t="s">
        <v>363</v>
      </c>
      <c r="BR13" s="26" t="s">
        <v>363</v>
      </c>
      <c r="BS13" s="26" t="s">
        <v>363</v>
      </c>
      <c r="BT13" s="26" t="s">
        <v>363</v>
      </c>
      <c r="BU13" s="26" t="s">
        <v>363</v>
      </c>
      <c r="BV13" s="26" t="s">
        <v>363</v>
      </c>
      <c r="BW13" s="26" t="s">
        <v>363</v>
      </c>
      <c r="BX13" s="26" t="s">
        <v>363</v>
      </c>
      <c r="BY13" s="26" t="s">
        <v>363</v>
      </c>
      <c r="BZ13" s="26" t="s">
        <v>363</v>
      </c>
      <c r="CA13" s="26" t="s">
        <v>363</v>
      </c>
      <c r="CB13" s="26" t="s">
        <v>363</v>
      </c>
      <c r="CC13" s="26" t="s">
        <v>363</v>
      </c>
      <c r="CD13" s="26" t="s">
        <v>363</v>
      </c>
      <c r="CE13" s="26" t="s">
        <v>363</v>
      </c>
      <c r="CF13" s="26" t="s">
        <v>363</v>
      </c>
      <c r="CG13" s="26"/>
      <c r="CH13" s="26"/>
      <c r="CI13" s="26"/>
      <c r="CJ13" s="26"/>
      <c r="CK13" s="26"/>
      <c r="CL13" s="26"/>
      <c r="CM13" s="26"/>
      <c r="CN13" s="26"/>
      <c r="CO13" s="26"/>
      <c r="CP13" s="26"/>
      <c r="CQ13" s="26"/>
      <c r="CR13" s="26"/>
      <c r="CS13" s="26"/>
      <c r="CT13" s="26"/>
      <c r="CU13" s="26"/>
      <c r="CV13" s="26"/>
      <c r="CW13" s="26"/>
      <c r="CX13" s="26"/>
      <c r="CY13" s="26"/>
      <c r="CZ13" s="26"/>
      <c r="DA13" s="26"/>
      <c r="DB13" s="26"/>
      <c r="DC13" s="26"/>
      <c r="DD13" s="26"/>
      <c r="DE13" s="26"/>
      <c r="DF13" s="26"/>
      <c r="DG13" s="26"/>
      <c r="DH13" s="26"/>
      <c r="DI13" s="26"/>
      <c r="DJ13" s="26"/>
      <c r="DK13" s="26"/>
      <c r="DL13" s="26"/>
      <c r="DM13" s="26"/>
      <c r="DN13" s="26"/>
      <c r="DO13" s="26"/>
      <c r="DP13" s="26"/>
      <c r="DQ13" s="26"/>
      <c r="DR13" s="26"/>
      <c r="DS13" s="26"/>
      <c r="DT13" s="26"/>
      <c r="DU13" s="26"/>
      <c r="DV13" s="26"/>
      <c r="DW13" s="26"/>
      <c r="DX13" s="26"/>
      <c r="DY13" s="26"/>
      <c r="DZ13" s="26"/>
      <c r="EA13" s="26"/>
      <c r="EB13" s="26"/>
      <c r="EC13" s="26"/>
      <c r="ED13" s="26"/>
      <c r="EE13" s="26"/>
      <c r="EF13" s="26"/>
      <c r="EG13" s="26"/>
      <c r="EH13" s="26"/>
      <c r="EI13" s="26"/>
      <c r="EJ13" s="26"/>
      <c r="EK13" s="26"/>
      <c r="EL13" s="26"/>
      <c r="EM13" s="26"/>
      <c r="EN13" s="26"/>
      <c r="EO13" s="26"/>
      <c r="EP13" s="26"/>
      <c r="EQ13" s="26"/>
      <c r="ER13" s="26"/>
      <c r="ES13" s="26"/>
      <c r="ET13" s="26"/>
      <c r="EU13" s="26"/>
      <c r="EV13" s="26"/>
      <c r="EW13" s="26"/>
      <c r="EX13" s="26"/>
      <c r="EY13" s="26"/>
      <c r="EZ13" s="26"/>
    </row>
    <row r="14" spans="1:156" x14ac:dyDescent="0.2">
      <c r="A14" s="25" t="s">
        <v>328</v>
      </c>
      <c r="C14" s="26" t="s">
        <v>363</v>
      </c>
      <c r="D14" s="26">
        <v>1.9428863211803933E-2</v>
      </c>
      <c r="E14" s="26"/>
      <c r="F14" s="26">
        <v>8.9708522825676807E-3</v>
      </c>
      <c r="G14" s="26"/>
      <c r="H14" s="26">
        <v>5.1650078318214235E-3</v>
      </c>
      <c r="I14" s="26"/>
      <c r="J14" s="26">
        <v>1.3719387584578394E-2</v>
      </c>
      <c r="K14" s="26"/>
      <c r="L14" s="26">
        <v>1.0374332660324274E-2</v>
      </c>
      <c r="N14" s="26" t="s">
        <v>363</v>
      </c>
      <c r="O14" s="26"/>
      <c r="P14" s="26" t="s">
        <v>363</v>
      </c>
      <c r="Q14" s="26" t="s">
        <v>363</v>
      </c>
      <c r="R14" s="26" t="s">
        <v>363</v>
      </c>
      <c r="S14" s="26"/>
      <c r="T14" s="26" t="s">
        <v>363</v>
      </c>
      <c r="U14" s="26" t="s">
        <v>363</v>
      </c>
      <c r="V14" s="26" t="s">
        <v>363</v>
      </c>
      <c r="W14" s="26" t="s">
        <v>363</v>
      </c>
      <c r="X14" s="26" t="s">
        <v>363</v>
      </c>
      <c r="Y14" s="26" t="s">
        <v>363</v>
      </c>
      <c r="Z14" s="26" t="s">
        <v>363</v>
      </c>
      <c r="AA14" s="26" t="s">
        <v>363</v>
      </c>
      <c r="AB14" s="26" t="s">
        <v>363</v>
      </c>
      <c r="AC14" s="26">
        <v>1.4304365329496809E-2</v>
      </c>
      <c r="AD14" s="26" t="s">
        <v>363</v>
      </c>
      <c r="AE14" s="26" t="s">
        <v>363</v>
      </c>
      <c r="AF14" s="26" t="s">
        <v>363</v>
      </c>
      <c r="AG14" s="26" t="s">
        <v>363</v>
      </c>
      <c r="AH14" s="26">
        <v>1.7506314965711117E-2</v>
      </c>
      <c r="AI14" s="10" t="s">
        <v>363</v>
      </c>
      <c r="AJ14" s="10" t="s">
        <v>363</v>
      </c>
      <c r="AK14" s="26" t="s">
        <v>363</v>
      </c>
      <c r="AL14" s="26" t="s">
        <v>363</v>
      </c>
      <c r="AM14" s="26" t="s">
        <v>363</v>
      </c>
      <c r="AN14" s="26" t="s">
        <v>363</v>
      </c>
      <c r="AO14" s="26">
        <v>8.554484885240219E-3</v>
      </c>
      <c r="AR14" s="26">
        <v>1.1648660405521486E-2</v>
      </c>
      <c r="AS14" s="26"/>
      <c r="AT14" s="26">
        <v>8.554484885240219E-3</v>
      </c>
      <c r="AU14" s="26">
        <v>1.2562321043186045E-2</v>
      </c>
      <c r="AV14" s="26" t="s">
        <v>363</v>
      </c>
      <c r="AW14" s="26" t="s">
        <v>363</v>
      </c>
      <c r="AX14" s="26" t="s">
        <v>363</v>
      </c>
      <c r="AY14" s="26" t="s">
        <v>363</v>
      </c>
      <c r="AZ14" s="26" t="s">
        <v>363</v>
      </c>
      <c r="BA14" s="26"/>
      <c r="BB14" s="26" t="s">
        <v>363</v>
      </c>
      <c r="BC14" s="26" t="s">
        <v>363</v>
      </c>
      <c r="BD14" s="26" t="s">
        <v>363</v>
      </c>
      <c r="BE14" s="26" t="s">
        <v>363</v>
      </c>
      <c r="BF14" s="26" t="s">
        <v>363</v>
      </c>
      <c r="BG14" s="26" t="s">
        <v>363</v>
      </c>
      <c r="BH14" s="26" t="s">
        <v>363</v>
      </c>
      <c r="BI14" s="26" t="s">
        <v>363</v>
      </c>
      <c r="BJ14" s="26" t="s">
        <v>363</v>
      </c>
      <c r="BK14" s="26" t="s">
        <v>363</v>
      </c>
      <c r="BL14" s="26" t="s">
        <v>363</v>
      </c>
      <c r="BM14" s="26" t="s">
        <v>363</v>
      </c>
      <c r="BN14" s="26" t="s">
        <v>363</v>
      </c>
      <c r="BO14" s="26" t="s">
        <v>363</v>
      </c>
      <c r="BP14" s="26" t="s">
        <v>363</v>
      </c>
      <c r="BQ14" s="26" t="s">
        <v>363</v>
      </c>
      <c r="BR14" s="26" t="s">
        <v>363</v>
      </c>
      <c r="BS14" s="26" t="s">
        <v>363</v>
      </c>
      <c r="BT14" s="26" t="s">
        <v>363</v>
      </c>
      <c r="BU14" s="26" t="s">
        <v>363</v>
      </c>
      <c r="BV14" s="26" t="s">
        <v>363</v>
      </c>
      <c r="BW14" s="26" t="s">
        <v>363</v>
      </c>
      <c r="BX14" s="26" t="s">
        <v>363</v>
      </c>
      <c r="BY14" s="26" t="s">
        <v>363</v>
      </c>
      <c r="BZ14" s="26" t="s">
        <v>363</v>
      </c>
      <c r="CA14" s="26" t="s">
        <v>363</v>
      </c>
      <c r="CB14" s="26" t="s">
        <v>363</v>
      </c>
      <c r="CC14" s="26" t="s">
        <v>363</v>
      </c>
      <c r="CD14" s="26" t="s">
        <v>363</v>
      </c>
      <c r="CE14" s="26" t="s">
        <v>363</v>
      </c>
      <c r="CF14" s="26" t="s">
        <v>363</v>
      </c>
      <c r="CG14" s="26"/>
      <c r="CH14" s="26"/>
      <c r="CI14" s="26"/>
      <c r="CJ14" s="26"/>
      <c r="CK14" s="26"/>
      <c r="CL14" s="26"/>
      <c r="CM14" s="26"/>
      <c r="CN14" s="26"/>
      <c r="CO14" s="26"/>
      <c r="CP14" s="26"/>
      <c r="CQ14" s="26"/>
      <c r="CR14" s="26"/>
      <c r="CS14" s="26"/>
      <c r="CT14" s="26"/>
      <c r="CU14" s="26"/>
      <c r="CV14" s="26"/>
      <c r="CW14" s="26"/>
      <c r="CX14" s="26"/>
      <c r="CY14" s="26"/>
      <c r="CZ14" s="26"/>
      <c r="DA14" s="26"/>
      <c r="DB14" s="26"/>
      <c r="DC14" s="26"/>
      <c r="DD14" s="26"/>
      <c r="DE14" s="26"/>
      <c r="DF14" s="26"/>
      <c r="DG14" s="26"/>
      <c r="DH14" s="26"/>
      <c r="DI14" s="26"/>
      <c r="DJ14" s="26"/>
      <c r="DK14" s="26"/>
      <c r="DL14" s="26"/>
      <c r="DM14" s="26"/>
      <c r="DN14" s="26"/>
      <c r="DO14" s="26"/>
      <c r="DP14" s="26"/>
      <c r="DQ14" s="26"/>
      <c r="DR14" s="26"/>
      <c r="DS14" s="26"/>
      <c r="DT14" s="26"/>
      <c r="DU14" s="26"/>
      <c r="DV14" s="26"/>
      <c r="DW14" s="26"/>
      <c r="DX14" s="26"/>
      <c r="DY14" s="26"/>
      <c r="DZ14" s="26"/>
      <c r="EA14" s="26"/>
      <c r="EB14" s="26"/>
      <c r="EC14" s="26"/>
      <c r="ED14" s="26"/>
      <c r="EE14" s="26"/>
      <c r="EF14" s="26"/>
      <c r="EG14" s="26"/>
      <c r="EH14" s="26"/>
      <c r="EI14" s="26"/>
      <c r="EJ14" s="26"/>
      <c r="EK14" s="26"/>
      <c r="EL14" s="26"/>
      <c r="EM14" s="26"/>
      <c r="EN14" s="26"/>
      <c r="EO14" s="26"/>
      <c r="EP14" s="26"/>
      <c r="EQ14" s="26"/>
      <c r="ER14" s="26"/>
      <c r="ES14" s="26"/>
      <c r="ET14" s="26"/>
      <c r="EU14" s="26"/>
      <c r="EV14" s="26"/>
      <c r="EW14" s="26"/>
      <c r="EX14" s="26"/>
      <c r="EY14" s="26"/>
      <c r="EZ14" s="26"/>
    </row>
    <row r="15" spans="1:156" x14ac:dyDescent="0.2">
      <c r="A15" s="25" t="s">
        <v>366</v>
      </c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10" t="s">
        <v>363</v>
      </c>
      <c r="AJ15" s="10" t="s">
        <v>363</v>
      </c>
      <c r="AK15" s="26"/>
      <c r="AL15" s="26"/>
      <c r="AM15" s="26"/>
      <c r="AN15" s="26"/>
      <c r="AO15" s="26"/>
      <c r="AP15" s="26"/>
      <c r="AQ15" s="26"/>
      <c r="AR15" s="26"/>
      <c r="AS15" s="26"/>
      <c r="AT15" s="26"/>
      <c r="AU15" s="26"/>
      <c r="AV15" s="26"/>
      <c r="AW15" s="26"/>
      <c r="AX15" s="26"/>
      <c r="AY15" s="26"/>
      <c r="AZ15" s="26"/>
      <c r="BA15" s="26"/>
      <c r="BB15" s="26"/>
      <c r="BC15" s="26"/>
      <c r="BD15" s="26"/>
      <c r="BE15" s="26"/>
      <c r="BF15" s="26"/>
      <c r="BG15" s="26"/>
      <c r="BH15" s="26"/>
      <c r="BI15" s="26"/>
      <c r="BJ15" s="26"/>
      <c r="BK15" s="26"/>
      <c r="BL15" s="26"/>
      <c r="BM15" s="26"/>
      <c r="BN15" s="26"/>
      <c r="BO15" s="26"/>
      <c r="BP15" s="26"/>
      <c r="BQ15" s="26"/>
      <c r="BR15" s="26"/>
      <c r="BS15" s="26"/>
      <c r="BT15" s="26"/>
      <c r="BU15" s="26"/>
      <c r="BV15" s="26"/>
      <c r="BW15" s="26"/>
      <c r="BX15" s="26"/>
      <c r="BY15" s="26"/>
      <c r="BZ15" s="26"/>
      <c r="CA15" s="26"/>
      <c r="CB15" s="26"/>
      <c r="CC15" s="26"/>
      <c r="CD15" s="26"/>
      <c r="CE15" s="26"/>
      <c r="CF15" s="26"/>
      <c r="CG15" s="26"/>
      <c r="CH15" s="26"/>
      <c r="CI15" s="26"/>
      <c r="CJ15" s="26"/>
      <c r="CK15" s="26"/>
      <c r="CL15" s="26"/>
      <c r="CM15" s="26"/>
      <c r="CN15" s="26"/>
      <c r="CO15" s="26"/>
      <c r="CP15" s="26"/>
      <c r="CQ15" s="26"/>
      <c r="CR15" s="26"/>
      <c r="CS15" s="26"/>
      <c r="CT15" s="26"/>
      <c r="CU15" s="26"/>
      <c r="CV15" s="26"/>
      <c r="CW15" s="26"/>
      <c r="CX15" s="26"/>
      <c r="CY15" s="26"/>
      <c r="CZ15" s="26"/>
      <c r="DA15" s="26"/>
      <c r="DB15" s="26"/>
      <c r="DC15" s="26"/>
      <c r="DD15" s="26"/>
      <c r="DE15" s="26"/>
      <c r="DF15" s="26"/>
      <c r="DG15" s="26"/>
      <c r="DH15" s="26"/>
      <c r="DI15" s="26"/>
      <c r="DJ15" s="26"/>
      <c r="DK15" s="26"/>
      <c r="DL15" s="26"/>
      <c r="DM15" s="26"/>
      <c r="DN15" s="26"/>
      <c r="DO15" s="26"/>
      <c r="DP15" s="26"/>
      <c r="DQ15" s="26"/>
      <c r="DR15" s="26"/>
      <c r="DS15" s="26"/>
      <c r="DT15" s="26"/>
      <c r="DU15" s="26"/>
      <c r="DV15" s="26"/>
      <c r="DW15" s="26"/>
      <c r="DX15" s="26"/>
      <c r="DY15" s="26"/>
      <c r="DZ15" s="26"/>
      <c r="EA15" s="26"/>
      <c r="EB15" s="26"/>
      <c r="EC15" s="26"/>
      <c r="ED15" s="26"/>
      <c r="EE15" s="26"/>
      <c r="EF15" s="26"/>
      <c r="EG15" s="26"/>
      <c r="EH15" s="26"/>
      <c r="EI15" s="26"/>
      <c r="EJ15" s="26"/>
      <c r="EK15" s="26"/>
      <c r="EL15" s="26"/>
      <c r="EM15" s="26"/>
      <c r="EN15" s="26"/>
      <c r="EO15" s="26"/>
      <c r="EP15" s="26"/>
      <c r="EQ15" s="26"/>
      <c r="ER15" s="26"/>
      <c r="ES15" s="26"/>
      <c r="ET15" s="26"/>
      <c r="EU15" s="26"/>
      <c r="EV15" s="26"/>
      <c r="EW15" s="26"/>
      <c r="EX15" s="26"/>
      <c r="EY15" s="26"/>
      <c r="EZ15" s="26"/>
    </row>
    <row r="16" spans="1:156" x14ac:dyDescent="0.2">
      <c r="A16" s="25" t="s">
        <v>317</v>
      </c>
      <c r="C16" s="26" t="s">
        <v>363</v>
      </c>
      <c r="D16" s="26"/>
      <c r="E16" s="26" t="s">
        <v>363</v>
      </c>
      <c r="F16" s="26"/>
      <c r="G16" s="26" t="s">
        <v>363</v>
      </c>
      <c r="H16" s="26"/>
      <c r="I16" s="26" t="s">
        <v>363</v>
      </c>
      <c r="J16" s="26"/>
      <c r="K16" s="26" t="s">
        <v>363</v>
      </c>
      <c r="L16" s="26"/>
      <c r="M16" s="26" t="s">
        <v>363</v>
      </c>
      <c r="N16" s="26" t="s">
        <v>363</v>
      </c>
      <c r="O16" s="26">
        <v>0.23445737050158685</v>
      </c>
      <c r="Q16" s="26" t="s">
        <v>363</v>
      </c>
      <c r="R16" s="26" t="s">
        <v>363</v>
      </c>
      <c r="S16" s="26">
        <v>8.2509518079844166E-3</v>
      </c>
      <c r="U16" s="26" t="s">
        <v>363</v>
      </c>
      <c r="V16" s="26" t="s">
        <v>363</v>
      </c>
      <c r="W16" s="26" t="s">
        <v>363</v>
      </c>
      <c r="X16" s="26" t="s">
        <v>363</v>
      </c>
      <c r="Y16" s="26" t="s">
        <v>363</v>
      </c>
      <c r="Z16" s="26" t="s">
        <v>363</v>
      </c>
      <c r="AA16" s="26" t="s">
        <v>363</v>
      </c>
      <c r="AB16" s="26" t="s">
        <v>363</v>
      </c>
      <c r="AC16" s="26" t="s">
        <v>363</v>
      </c>
      <c r="AD16" s="26" t="s">
        <v>363</v>
      </c>
      <c r="AE16" s="26" t="s">
        <v>363</v>
      </c>
      <c r="AF16" s="26" t="s">
        <v>363</v>
      </c>
      <c r="AG16" s="26" t="s">
        <v>363</v>
      </c>
      <c r="AH16" s="26"/>
      <c r="AK16" s="26" t="s">
        <v>363</v>
      </c>
      <c r="AL16" s="26" t="s">
        <v>363</v>
      </c>
      <c r="AM16" s="26" t="s">
        <v>363</v>
      </c>
      <c r="AN16" s="26" t="s">
        <v>363</v>
      </c>
      <c r="AO16" s="26"/>
      <c r="AP16" s="26" t="s">
        <v>363</v>
      </c>
      <c r="AQ16" s="26"/>
      <c r="AU16" s="26" t="s">
        <v>363</v>
      </c>
      <c r="AV16" s="26" t="s">
        <v>363</v>
      </c>
      <c r="AW16" s="26" t="s">
        <v>363</v>
      </c>
      <c r="AX16" s="26" t="s">
        <v>363</v>
      </c>
      <c r="AY16" s="26" t="s">
        <v>363</v>
      </c>
      <c r="AZ16" s="26" t="s">
        <v>363</v>
      </c>
      <c r="BA16" s="26">
        <v>4.2858534194942045E-2</v>
      </c>
      <c r="BB16" s="26"/>
      <c r="BC16" s="26" t="s">
        <v>363</v>
      </c>
      <c r="BD16" s="26" t="s">
        <v>363</v>
      </c>
      <c r="BE16" s="26" t="s">
        <v>363</v>
      </c>
      <c r="BF16" s="26" t="s">
        <v>363</v>
      </c>
      <c r="BG16" s="26" t="s">
        <v>363</v>
      </c>
      <c r="BH16" s="26" t="s">
        <v>363</v>
      </c>
      <c r="BI16" s="26" t="s">
        <v>363</v>
      </c>
      <c r="BJ16" s="26" t="s">
        <v>363</v>
      </c>
      <c r="BK16" s="26" t="s">
        <v>363</v>
      </c>
      <c r="BL16" s="26" t="s">
        <v>363</v>
      </c>
      <c r="BM16" s="26" t="s">
        <v>363</v>
      </c>
      <c r="BN16" s="26" t="s">
        <v>363</v>
      </c>
      <c r="BO16" s="26" t="s">
        <v>363</v>
      </c>
      <c r="BP16" s="26" t="s">
        <v>363</v>
      </c>
      <c r="BQ16" s="26" t="s">
        <v>363</v>
      </c>
      <c r="BR16" s="26" t="s">
        <v>363</v>
      </c>
      <c r="BS16" s="26" t="s">
        <v>363</v>
      </c>
      <c r="BT16" s="26" t="s">
        <v>363</v>
      </c>
      <c r="BU16" s="26" t="s">
        <v>363</v>
      </c>
      <c r="BV16" s="26" t="s">
        <v>363</v>
      </c>
      <c r="BW16" s="26" t="s">
        <v>363</v>
      </c>
      <c r="BX16" s="26" t="s">
        <v>363</v>
      </c>
      <c r="BY16" s="26" t="s">
        <v>363</v>
      </c>
      <c r="BZ16" s="26" t="s">
        <v>363</v>
      </c>
      <c r="CA16" s="26" t="s">
        <v>363</v>
      </c>
      <c r="CB16" s="26" t="s">
        <v>363</v>
      </c>
      <c r="CC16" s="26" t="s">
        <v>363</v>
      </c>
      <c r="CD16" s="26" t="s">
        <v>363</v>
      </c>
      <c r="CE16" s="26" t="s">
        <v>363</v>
      </c>
      <c r="CF16" s="26" t="s">
        <v>363</v>
      </c>
      <c r="CG16" s="26"/>
      <c r="CH16" s="26"/>
      <c r="CI16" s="26"/>
      <c r="CJ16" s="26"/>
      <c r="CK16" s="26"/>
      <c r="CL16" s="26"/>
      <c r="CM16" s="26"/>
      <c r="CN16" s="26"/>
      <c r="CO16" s="26"/>
      <c r="CP16" s="26"/>
      <c r="CQ16" s="26"/>
      <c r="CR16" s="26"/>
      <c r="CS16" s="26"/>
      <c r="CT16" s="26"/>
      <c r="CU16" s="26"/>
      <c r="CV16" s="26"/>
      <c r="CW16" s="26"/>
      <c r="CX16" s="26"/>
      <c r="CY16" s="26"/>
      <c r="CZ16" s="26"/>
      <c r="DA16" s="26"/>
      <c r="DB16" s="26"/>
      <c r="DC16" s="26"/>
      <c r="DD16" s="26"/>
      <c r="DE16" s="26"/>
      <c r="DF16" s="26"/>
      <c r="DG16" s="26"/>
      <c r="DH16" s="26"/>
      <c r="DI16" s="26"/>
      <c r="DJ16" s="26"/>
      <c r="DK16" s="26"/>
      <c r="DL16" s="26"/>
      <c r="DM16" s="26"/>
      <c r="DN16" s="26"/>
      <c r="DO16" s="26"/>
      <c r="DP16" s="26"/>
      <c r="DQ16" s="26"/>
      <c r="DR16" s="26"/>
      <c r="DS16" s="26"/>
      <c r="DT16" s="26"/>
      <c r="DU16" s="26"/>
      <c r="DV16" s="26"/>
      <c r="DW16" s="26"/>
      <c r="DX16" s="26"/>
      <c r="DY16" s="26"/>
      <c r="DZ16" s="26"/>
      <c r="EA16" s="26"/>
      <c r="EB16" s="26"/>
      <c r="EC16" s="26"/>
      <c r="ED16" s="26"/>
      <c r="EE16" s="26"/>
      <c r="EF16" s="26"/>
      <c r="EG16" s="26"/>
      <c r="EH16" s="26"/>
      <c r="EI16" s="26"/>
      <c r="EJ16" s="26"/>
      <c r="EK16" s="26"/>
      <c r="EL16" s="26"/>
      <c r="EM16" s="26"/>
      <c r="EN16" s="26"/>
      <c r="EO16" s="26"/>
      <c r="EP16" s="26"/>
      <c r="EQ16" s="26"/>
      <c r="ER16" s="26"/>
      <c r="ES16" s="26"/>
      <c r="ET16" s="26"/>
      <c r="EU16" s="26"/>
      <c r="EV16" s="26"/>
      <c r="EW16" s="26"/>
      <c r="EX16" s="26"/>
      <c r="EY16" s="26"/>
      <c r="EZ16" s="26"/>
    </row>
    <row r="17" spans="1:156" x14ac:dyDescent="0.2">
      <c r="A17" s="25" t="s">
        <v>367</v>
      </c>
      <c r="C17" s="26" t="s">
        <v>363</v>
      </c>
      <c r="D17" s="26"/>
      <c r="E17" s="26" t="s">
        <v>363</v>
      </c>
      <c r="F17" s="26"/>
      <c r="G17" s="26" t="s">
        <v>363</v>
      </c>
      <c r="H17" s="26"/>
      <c r="I17" s="26" t="s">
        <v>363</v>
      </c>
      <c r="J17" s="26"/>
      <c r="K17" s="26" t="s">
        <v>363</v>
      </c>
      <c r="L17" s="26"/>
      <c r="M17" s="26" t="s">
        <v>363</v>
      </c>
      <c r="N17" s="26" t="s">
        <v>363</v>
      </c>
      <c r="O17" s="26"/>
      <c r="P17" s="26" t="s">
        <v>363</v>
      </c>
      <c r="Q17" s="26" t="s">
        <v>363</v>
      </c>
      <c r="R17" s="26" t="s">
        <v>363</v>
      </c>
      <c r="S17" s="26"/>
      <c r="T17" s="26" t="s">
        <v>363</v>
      </c>
      <c r="U17" s="26" t="s">
        <v>363</v>
      </c>
      <c r="V17" s="26" t="s">
        <v>363</v>
      </c>
      <c r="W17" s="26" t="s">
        <v>363</v>
      </c>
      <c r="X17" s="26" t="s">
        <v>363</v>
      </c>
      <c r="Y17" s="26" t="s">
        <v>363</v>
      </c>
      <c r="Z17" s="26" t="s">
        <v>363</v>
      </c>
      <c r="AA17" s="26" t="s">
        <v>363</v>
      </c>
      <c r="AB17" s="26" t="s">
        <v>363</v>
      </c>
      <c r="AC17" s="26" t="s">
        <v>363</v>
      </c>
      <c r="AD17" s="26" t="s">
        <v>363</v>
      </c>
      <c r="AE17" s="26" t="s">
        <v>363</v>
      </c>
      <c r="AF17" s="26" t="s">
        <v>363</v>
      </c>
      <c r="AG17" s="26" t="s">
        <v>363</v>
      </c>
      <c r="AH17" s="26"/>
      <c r="AK17" s="26" t="s">
        <v>363</v>
      </c>
      <c r="AL17" s="26" t="s">
        <v>363</v>
      </c>
      <c r="AM17" s="26" t="s">
        <v>363</v>
      </c>
      <c r="AN17" s="26" t="s">
        <v>363</v>
      </c>
      <c r="AO17" s="26"/>
      <c r="AP17" s="26" t="s">
        <v>363</v>
      </c>
      <c r="AQ17" s="26"/>
      <c r="AU17" s="26" t="s">
        <v>363</v>
      </c>
      <c r="AV17" s="26" t="s">
        <v>363</v>
      </c>
      <c r="AW17" s="26" t="s">
        <v>363</v>
      </c>
      <c r="AX17" s="26" t="s">
        <v>363</v>
      </c>
      <c r="AY17" s="26" t="s">
        <v>363</v>
      </c>
      <c r="AZ17" s="26" t="s">
        <v>363</v>
      </c>
      <c r="BA17" s="26"/>
      <c r="BB17" s="26"/>
      <c r="BC17" s="26" t="s">
        <v>363</v>
      </c>
      <c r="BD17" s="26" t="s">
        <v>363</v>
      </c>
      <c r="BE17" s="26" t="s">
        <v>363</v>
      </c>
      <c r="BF17" s="26" t="s">
        <v>363</v>
      </c>
      <c r="BG17" s="26" t="s">
        <v>363</v>
      </c>
      <c r="BH17" s="26" t="s">
        <v>363</v>
      </c>
      <c r="BI17" s="26" t="s">
        <v>363</v>
      </c>
      <c r="BJ17" s="26" t="s">
        <v>363</v>
      </c>
      <c r="BK17" s="26" t="s">
        <v>363</v>
      </c>
      <c r="BL17" s="26" t="s">
        <v>363</v>
      </c>
      <c r="BM17" s="26" t="s">
        <v>363</v>
      </c>
      <c r="BN17" s="26" t="s">
        <v>363</v>
      </c>
      <c r="BO17" s="26" t="s">
        <v>363</v>
      </c>
      <c r="BP17" s="26" t="s">
        <v>363</v>
      </c>
      <c r="BQ17" s="26" t="s">
        <v>363</v>
      </c>
      <c r="BR17" s="26" t="s">
        <v>363</v>
      </c>
      <c r="BS17" s="26" t="s">
        <v>363</v>
      </c>
      <c r="BT17" s="26" t="s">
        <v>363</v>
      </c>
      <c r="BU17" s="26" t="s">
        <v>363</v>
      </c>
      <c r="BV17" s="26" t="s">
        <v>363</v>
      </c>
      <c r="BW17" s="26" t="s">
        <v>363</v>
      </c>
      <c r="BX17" s="26" t="s">
        <v>363</v>
      </c>
      <c r="BY17" s="26" t="s">
        <v>363</v>
      </c>
      <c r="BZ17" s="26" t="s">
        <v>363</v>
      </c>
      <c r="CA17" s="26" t="s">
        <v>363</v>
      </c>
      <c r="CB17" s="26" t="s">
        <v>363</v>
      </c>
      <c r="CC17" s="26" t="s">
        <v>363</v>
      </c>
      <c r="CD17" s="26" t="s">
        <v>363</v>
      </c>
      <c r="CE17" s="26" t="s">
        <v>363</v>
      </c>
      <c r="CF17" s="26" t="s">
        <v>363</v>
      </c>
      <c r="CG17" s="26"/>
      <c r="CH17" s="26"/>
      <c r="CI17" s="26"/>
      <c r="CJ17" s="26"/>
      <c r="CK17" s="26"/>
      <c r="CL17" s="26"/>
      <c r="CM17" s="26"/>
      <c r="CN17" s="26"/>
      <c r="CO17" s="26"/>
      <c r="CP17" s="26"/>
      <c r="CQ17" s="26"/>
      <c r="CR17" s="26"/>
      <c r="CS17" s="26"/>
      <c r="CT17" s="26"/>
      <c r="CU17" s="26"/>
      <c r="CV17" s="26"/>
      <c r="CW17" s="26"/>
      <c r="CX17" s="26"/>
      <c r="CY17" s="26"/>
      <c r="CZ17" s="26"/>
      <c r="DA17" s="26"/>
      <c r="DB17" s="26"/>
      <c r="DC17" s="26"/>
      <c r="DD17" s="26"/>
      <c r="DE17" s="26"/>
      <c r="DF17" s="26"/>
      <c r="DG17" s="26"/>
      <c r="DH17" s="26"/>
      <c r="DI17" s="26"/>
      <c r="DJ17" s="26"/>
      <c r="DK17" s="26"/>
      <c r="DL17" s="26"/>
      <c r="DM17" s="26"/>
      <c r="DN17" s="26"/>
      <c r="DO17" s="26"/>
      <c r="DP17" s="26"/>
      <c r="DQ17" s="26"/>
      <c r="DR17" s="26"/>
      <c r="DS17" s="26"/>
      <c r="DT17" s="26"/>
      <c r="DU17" s="26"/>
      <c r="DV17" s="26"/>
      <c r="DW17" s="26"/>
      <c r="DX17" s="26"/>
      <c r="DY17" s="26"/>
      <c r="DZ17" s="26"/>
      <c r="EA17" s="26"/>
      <c r="EB17" s="26"/>
      <c r="EC17" s="26"/>
      <c r="ED17" s="26"/>
      <c r="EE17" s="26"/>
      <c r="EF17" s="26"/>
      <c r="EG17" s="26"/>
      <c r="EH17" s="26"/>
      <c r="EI17" s="26"/>
      <c r="EJ17" s="26"/>
      <c r="EK17" s="26"/>
      <c r="EL17" s="26"/>
      <c r="EM17" s="26"/>
      <c r="EN17" s="26"/>
      <c r="EO17" s="26"/>
      <c r="EP17" s="26"/>
      <c r="EQ17" s="26"/>
      <c r="ER17" s="26"/>
      <c r="ES17" s="26"/>
      <c r="ET17" s="26"/>
      <c r="EU17" s="26"/>
      <c r="EV17" s="26"/>
      <c r="EW17" s="26"/>
      <c r="EX17" s="26"/>
      <c r="EY17" s="26"/>
      <c r="EZ17" s="26"/>
    </row>
    <row r="18" spans="1:156" x14ac:dyDescent="0.2">
      <c r="A18" s="25" t="s">
        <v>368</v>
      </c>
      <c r="C18" s="26" t="s">
        <v>363</v>
      </c>
      <c r="D18" s="26"/>
      <c r="E18" s="26" t="s">
        <v>363</v>
      </c>
      <c r="F18" s="26"/>
      <c r="G18" s="26" t="s">
        <v>363</v>
      </c>
      <c r="H18" s="26"/>
      <c r="I18" s="26" t="s">
        <v>363</v>
      </c>
      <c r="J18" s="26"/>
      <c r="K18" s="26" t="s">
        <v>363</v>
      </c>
      <c r="L18" s="26"/>
      <c r="M18" s="26" t="s">
        <v>363</v>
      </c>
      <c r="N18" s="26" t="s">
        <v>363</v>
      </c>
      <c r="O18" s="26"/>
      <c r="P18" s="26" t="s">
        <v>363</v>
      </c>
      <c r="Q18" s="26" t="s">
        <v>363</v>
      </c>
      <c r="R18" s="26" t="s">
        <v>363</v>
      </c>
      <c r="S18" s="26"/>
      <c r="T18" s="26" t="s">
        <v>363</v>
      </c>
      <c r="U18" s="26" t="s">
        <v>363</v>
      </c>
      <c r="V18" s="26" t="s">
        <v>363</v>
      </c>
      <c r="W18" s="26" t="s">
        <v>363</v>
      </c>
      <c r="X18" s="26" t="s">
        <v>363</v>
      </c>
      <c r="Y18" s="26" t="s">
        <v>363</v>
      </c>
      <c r="Z18" s="26" t="s">
        <v>363</v>
      </c>
      <c r="AA18" s="26" t="s">
        <v>363</v>
      </c>
      <c r="AB18" s="26" t="s">
        <v>363</v>
      </c>
      <c r="AC18" s="26" t="s">
        <v>363</v>
      </c>
      <c r="AD18" s="26" t="s">
        <v>363</v>
      </c>
      <c r="AE18" s="26" t="s">
        <v>363</v>
      </c>
      <c r="AF18" s="26" t="s">
        <v>363</v>
      </c>
      <c r="AG18" s="26" t="s">
        <v>363</v>
      </c>
      <c r="AH18" s="26"/>
      <c r="AI18" s="26" t="s">
        <v>363</v>
      </c>
      <c r="AJ18" s="26" t="s">
        <v>363</v>
      </c>
      <c r="AK18" s="26" t="s">
        <v>363</v>
      </c>
      <c r="AL18" s="26" t="s">
        <v>363</v>
      </c>
      <c r="AM18" s="26" t="s">
        <v>363</v>
      </c>
      <c r="AN18" s="26" t="s">
        <v>363</v>
      </c>
      <c r="AO18" s="26"/>
      <c r="AP18" s="26" t="s">
        <v>363</v>
      </c>
      <c r="AQ18" s="26"/>
      <c r="AR18" s="26" t="s">
        <v>363</v>
      </c>
      <c r="AS18" s="26"/>
      <c r="AT18" s="26" t="s">
        <v>363</v>
      </c>
      <c r="AU18" s="26" t="s">
        <v>363</v>
      </c>
      <c r="AV18" s="26" t="s">
        <v>363</v>
      </c>
      <c r="AW18" s="26" t="s">
        <v>363</v>
      </c>
      <c r="AX18" s="26" t="s">
        <v>363</v>
      </c>
      <c r="AY18" s="26" t="s">
        <v>363</v>
      </c>
      <c r="AZ18" s="26" t="s">
        <v>363</v>
      </c>
      <c r="BA18" s="26"/>
      <c r="BB18" s="26" t="s">
        <v>363</v>
      </c>
      <c r="BC18" s="26" t="s">
        <v>363</v>
      </c>
      <c r="BD18" s="26" t="s">
        <v>363</v>
      </c>
      <c r="BE18" s="26" t="s">
        <v>363</v>
      </c>
      <c r="BF18" s="26" t="s">
        <v>363</v>
      </c>
      <c r="BG18" s="26" t="s">
        <v>363</v>
      </c>
      <c r="BH18" s="26" t="s">
        <v>363</v>
      </c>
      <c r="BI18" s="26" t="s">
        <v>363</v>
      </c>
      <c r="BJ18" s="26" t="s">
        <v>363</v>
      </c>
      <c r="BK18" s="26" t="s">
        <v>363</v>
      </c>
      <c r="BL18" s="26" t="s">
        <v>363</v>
      </c>
      <c r="BM18" s="26" t="s">
        <v>363</v>
      </c>
      <c r="BN18" s="26" t="s">
        <v>363</v>
      </c>
      <c r="BO18" s="26" t="s">
        <v>363</v>
      </c>
      <c r="BP18" s="26" t="s">
        <v>363</v>
      </c>
      <c r="BQ18" s="26" t="s">
        <v>363</v>
      </c>
      <c r="BR18" s="26" t="s">
        <v>363</v>
      </c>
      <c r="BS18" s="26" t="s">
        <v>363</v>
      </c>
      <c r="BT18" s="26" t="s">
        <v>363</v>
      </c>
      <c r="BU18" s="26" t="s">
        <v>363</v>
      </c>
      <c r="BV18" s="26" t="s">
        <v>363</v>
      </c>
      <c r="BW18" s="26" t="s">
        <v>363</v>
      </c>
      <c r="BX18" s="26" t="s">
        <v>363</v>
      </c>
      <c r="BY18" s="26" t="s">
        <v>363</v>
      </c>
      <c r="BZ18" s="26" t="s">
        <v>363</v>
      </c>
      <c r="CA18" s="26" t="s">
        <v>363</v>
      </c>
      <c r="CB18" s="26" t="s">
        <v>363</v>
      </c>
      <c r="CC18" s="26" t="s">
        <v>363</v>
      </c>
      <c r="CD18" s="26" t="s">
        <v>363</v>
      </c>
      <c r="CE18" s="26" t="s">
        <v>363</v>
      </c>
      <c r="CF18" s="26" t="s">
        <v>363</v>
      </c>
      <c r="CG18" s="26"/>
      <c r="CH18" s="26"/>
      <c r="CI18" s="26"/>
      <c r="CJ18" s="26"/>
      <c r="CK18" s="26"/>
      <c r="CL18" s="26"/>
      <c r="CM18" s="26"/>
      <c r="CN18" s="26"/>
      <c r="CO18" s="26"/>
      <c r="CP18" s="26"/>
      <c r="CQ18" s="26"/>
      <c r="CR18" s="26"/>
      <c r="CS18" s="26"/>
      <c r="CT18" s="26"/>
      <c r="CU18" s="26"/>
      <c r="CV18" s="26"/>
      <c r="CW18" s="26"/>
      <c r="CX18" s="26"/>
      <c r="CY18" s="26"/>
      <c r="CZ18" s="26"/>
      <c r="DA18" s="26"/>
      <c r="DB18" s="26"/>
      <c r="DC18" s="26"/>
      <c r="DD18" s="26"/>
      <c r="DE18" s="26"/>
      <c r="DF18" s="26"/>
      <c r="DG18" s="26"/>
      <c r="DH18" s="26"/>
      <c r="DI18" s="26"/>
      <c r="DJ18" s="26"/>
      <c r="DK18" s="26"/>
      <c r="DL18" s="26"/>
      <c r="DM18" s="26"/>
      <c r="DN18" s="26"/>
      <c r="DO18" s="26"/>
      <c r="DP18" s="26"/>
      <c r="DQ18" s="26"/>
      <c r="DR18" s="26"/>
      <c r="DS18" s="26"/>
      <c r="DT18" s="26"/>
      <c r="DU18" s="26"/>
      <c r="DV18" s="26"/>
      <c r="DW18" s="26"/>
      <c r="DX18" s="26"/>
      <c r="DY18" s="26"/>
      <c r="DZ18" s="26"/>
      <c r="EA18" s="26"/>
      <c r="EB18" s="26"/>
      <c r="EC18" s="26"/>
      <c r="ED18" s="26"/>
      <c r="EE18" s="26"/>
      <c r="EF18" s="26"/>
      <c r="EG18" s="26"/>
      <c r="EH18" s="26"/>
      <c r="EI18" s="26"/>
      <c r="EJ18" s="26"/>
      <c r="EK18" s="26"/>
      <c r="EL18" s="26"/>
      <c r="EM18" s="26"/>
      <c r="EN18" s="26"/>
      <c r="EO18" s="26"/>
      <c r="EP18" s="26"/>
      <c r="EQ18" s="26"/>
      <c r="ER18" s="26"/>
      <c r="ES18" s="26"/>
      <c r="ET18" s="26"/>
      <c r="EU18" s="26"/>
      <c r="EV18" s="26"/>
      <c r="EW18" s="26"/>
      <c r="EX18" s="26"/>
      <c r="EY18" s="26"/>
      <c r="EZ18" s="26"/>
    </row>
    <row r="19" spans="1:156" x14ac:dyDescent="0.2">
      <c r="A19" s="25" t="s">
        <v>369</v>
      </c>
      <c r="C19" s="26" t="s">
        <v>363</v>
      </c>
      <c r="D19" s="26"/>
      <c r="E19" s="26">
        <v>5.7022558714462299</v>
      </c>
      <c r="F19" s="26"/>
      <c r="G19" s="26">
        <v>6.0127646047967653</v>
      </c>
      <c r="H19" s="26"/>
      <c r="I19" s="26">
        <v>5.7069513084783683</v>
      </c>
      <c r="J19" s="26"/>
      <c r="K19" s="26">
        <v>5.3658232861572941</v>
      </c>
      <c r="L19" s="26"/>
      <c r="M19" s="26">
        <v>4.7762533509593359</v>
      </c>
      <c r="N19" s="26" t="s">
        <v>363</v>
      </c>
      <c r="O19" s="26"/>
      <c r="P19" s="26" t="s">
        <v>363</v>
      </c>
      <c r="Q19" s="26">
        <v>125.87265346113429</v>
      </c>
      <c r="R19" s="26">
        <v>1127.47509825111</v>
      </c>
      <c r="S19" s="26"/>
      <c r="T19" s="26" t="s">
        <v>363</v>
      </c>
      <c r="U19" s="26" t="s">
        <v>363</v>
      </c>
      <c r="V19" s="26" t="s">
        <v>363</v>
      </c>
      <c r="W19" s="26" t="s">
        <v>363</v>
      </c>
      <c r="X19" s="26" t="s">
        <v>363</v>
      </c>
      <c r="Y19" s="26" t="s">
        <v>363</v>
      </c>
      <c r="Z19" s="26" t="s">
        <v>363</v>
      </c>
      <c r="AA19" s="26" t="s">
        <v>363</v>
      </c>
      <c r="AB19" s="26" t="s">
        <v>363</v>
      </c>
      <c r="AC19" s="26" t="s">
        <v>363</v>
      </c>
      <c r="AD19" s="26" t="s">
        <v>363</v>
      </c>
      <c r="AE19" s="26">
        <v>114.49519578632072</v>
      </c>
      <c r="AF19" s="26">
        <v>498.62491490810078</v>
      </c>
      <c r="AG19" s="26" t="s">
        <v>363</v>
      </c>
      <c r="AH19" s="26"/>
      <c r="AI19" s="26" t="s">
        <v>363</v>
      </c>
      <c r="AJ19" s="26" t="s">
        <v>363</v>
      </c>
      <c r="AK19" s="26" t="s">
        <v>363</v>
      </c>
      <c r="AL19" s="26" t="s">
        <v>363</v>
      </c>
      <c r="AM19" s="26" t="s">
        <v>363</v>
      </c>
      <c r="AN19" s="26" t="s">
        <v>363</v>
      </c>
      <c r="AO19" s="26"/>
      <c r="AP19" s="26" t="s">
        <v>363</v>
      </c>
      <c r="AQ19" s="26"/>
      <c r="AR19" s="26" t="s">
        <v>363</v>
      </c>
      <c r="AS19" s="26"/>
      <c r="AT19" s="26" t="s">
        <v>363</v>
      </c>
      <c r="AU19" s="26" t="s">
        <v>363</v>
      </c>
      <c r="AV19" s="26" t="s">
        <v>363</v>
      </c>
      <c r="AW19" s="26" t="s">
        <v>363</v>
      </c>
      <c r="AX19" s="26" t="s">
        <v>363</v>
      </c>
      <c r="AY19" s="26" t="s">
        <v>363</v>
      </c>
      <c r="AZ19" s="26" t="s">
        <v>363</v>
      </c>
      <c r="BA19" s="26"/>
      <c r="BB19" s="26" t="s">
        <v>363</v>
      </c>
      <c r="BC19" s="26" t="s">
        <v>363</v>
      </c>
      <c r="BD19" s="26" t="s">
        <v>363</v>
      </c>
      <c r="BE19" s="26" t="s">
        <v>363</v>
      </c>
      <c r="BF19" s="26" t="s">
        <v>363</v>
      </c>
      <c r="BG19" s="26" t="s">
        <v>363</v>
      </c>
      <c r="BH19" s="26" t="s">
        <v>363</v>
      </c>
      <c r="BI19" s="26" t="s">
        <v>363</v>
      </c>
      <c r="BJ19" s="26" t="s">
        <v>363</v>
      </c>
      <c r="BK19" s="26" t="s">
        <v>363</v>
      </c>
      <c r="BL19" s="26" t="s">
        <v>363</v>
      </c>
      <c r="BM19" s="26" t="s">
        <v>363</v>
      </c>
      <c r="BN19" s="26" t="s">
        <v>363</v>
      </c>
      <c r="BO19" s="26" t="s">
        <v>363</v>
      </c>
      <c r="BP19" s="26" t="s">
        <v>363</v>
      </c>
      <c r="BQ19" s="26" t="s">
        <v>363</v>
      </c>
      <c r="BR19" s="26" t="s">
        <v>363</v>
      </c>
      <c r="BS19" s="26" t="s">
        <v>363</v>
      </c>
      <c r="BT19" s="26" t="s">
        <v>363</v>
      </c>
      <c r="BU19" s="26" t="s">
        <v>363</v>
      </c>
      <c r="BV19" s="26" t="s">
        <v>363</v>
      </c>
      <c r="BW19" s="26" t="s">
        <v>363</v>
      </c>
      <c r="BX19" s="26" t="s">
        <v>363</v>
      </c>
      <c r="BY19" s="26" t="s">
        <v>363</v>
      </c>
      <c r="BZ19" s="26" t="s">
        <v>363</v>
      </c>
      <c r="CA19" s="26" t="s">
        <v>363</v>
      </c>
      <c r="CB19" s="26" t="s">
        <v>363</v>
      </c>
      <c r="CC19" s="26" t="s">
        <v>363</v>
      </c>
      <c r="CD19" s="26" t="s">
        <v>363</v>
      </c>
      <c r="CE19" s="26" t="s">
        <v>363</v>
      </c>
      <c r="CF19" s="26" t="s">
        <v>363</v>
      </c>
      <c r="CG19" s="26"/>
      <c r="CH19" s="26"/>
      <c r="CI19" s="26"/>
      <c r="CJ19" s="26"/>
      <c r="CK19" s="26"/>
      <c r="CL19" s="26"/>
      <c r="CM19" s="26"/>
      <c r="CN19" s="26"/>
      <c r="CO19" s="26"/>
      <c r="CP19" s="26"/>
      <c r="CQ19" s="26"/>
      <c r="CR19" s="26"/>
      <c r="CS19" s="26"/>
      <c r="CT19" s="26"/>
      <c r="CU19" s="26"/>
      <c r="CV19" s="26"/>
      <c r="CW19" s="26"/>
      <c r="CX19" s="26"/>
      <c r="CY19" s="26"/>
      <c r="CZ19" s="26"/>
      <c r="DA19" s="26"/>
      <c r="DB19" s="26"/>
      <c r="DC19" s="26"/>
      <c r="DD19" s="26"/>
      <c r="DE19" s="26"/>
      <c r="DF19" s="26"/>
      <c r="DG19" s="26"/>
      <c r="DH19" s="26"/>
      <c r="DI19" s="26"/>
      <c r="DJ19" s="26"/>
      <c r="DK19" s="26"/>
      <c r="DL19" s="26"/>
      <c r="DM19" s="26"/>
      <c r="DN19" s="26"/>
      <c r="DO19" s="26"/>
      <c r="DP19" s="26"/>
      <c r="DQ19" s="26"/>
      <c r="DR19" s="26"/>
      <c r="DS19" s="26"/>
      <c r="DT19" s="26"/>
      <c r="DU19" s="26"/>
      <c r="DV19" s="26"/>
      <c r="DW19" s="26"/>
      <c r="DX19" s="26"/>
      <c r="DY19" s="26"/>
      <c r="DZ19" s="26"/>
      <c r="EA19" s="26"/>
      <c r="EB19" s="26"/>
      <c r="EC19" s="26"/>
      <c r="ED19" s="26"/>
      <c r="EE19" s="26"/>
      <c r="EF19" s="26"/>
      <c r="EG19" s="26"/>
      <c r="EH19" s="26"/>
      <c r="EI19" s="26"/>
      <c r="EJ19" s="26"/>
      <c r="EK19" s="26"/>
      <c r="EL19" s="26"/>
      <c r="EM19" s="26"/>
      <c r="EN19" s="26"/>
      <c r="EO19" s="26"/>
      <c r="EP19" s="26"/>
      <c r="EQ19" s="26"/>
      <c r="ER19" s="26"/>
      <c r="ES19" s="26"/>
      <c r="ET19" s="26"/>
      <c r="EU19" s="26"/>
      <c r="EV19" s="26"/>
      <c r="EW19" s="26"/>
      <c r="EX19" s="26"/>
      <c r="EY19" s="26"/>
      <c r="EZ19" s="26"/>
    </row>
    <row r="20" spans="1:156" x14ac:dyDescent="0.2">
      <c r="A20" s="25" t="s">
        <v>370</v>
      </c>
      <c r="C20" s="26" t="s">
        <v>363</v>
      </c>
      <c r="D20" s="26"/>
      <c r="E20" s="26">
        <v>4.9976294036404108</v>
      </c>
      <c r="F20" s="26"/>
      <c r="G20" s="26">
        <v>5.7979942119899874</v>
      </c>
      <c r="H20" s="26"/>
      <c r="I20" s="26">
        <v>4.5665944580762394</v>
      </c>
      <c r="J20" s="26"/>
      <c r="K20" s="26">
        <v>4.7810434996440074</v>
      </c>
      <c r="L20" s="26"/>
      <c r="M20" s="26">
        <v>4.6113269154395153</v>
      </c>
      <c r="N20" s="26" t="s">
        <v>363</v>
      </c>
      <c r="O20" s="26"/>
      <c r="P20" s="26" t="s">
        <v>363</v>
      </c>
      <c r="Q20" s="26">
        <v>284.97358968757464</v>
      </c>
      <c r="R20" s="26">
        <v>1107.5086981993009</v>
      </c>
      <c r="S20" s="26"/>
      <c r="T20" s="26" t="s">
        <v>363</v>
      </c>
      <c r="U20" s="26" t="s">
        <v>363</v>
      </c>
      <c r="V20" s="26" t="s">
        <v>363</v>
      </c>
      <c r="W20" s="26" t="s">
        <v>363</v>
      </c>
      <c r="X20" s="26" t="s">
        <v>363</v>
      </c>
      <c r="Y20" s="26" t="s">
        <v>363</v>
      </c>
      <c r="Z20" s="26" t="s">
        <v>363</v>
      </c>
      <c r="AA20" s="26" t="s">
        <v>363</v>
      </c>
      <c r="AB20" s="26" t="s">
        <v>363</v>
      </c>
      <c r="AC20" s="26" t="s">
        <v>363</v>
      </c>
      <c r="AD20" s="26" t="s">
        <v>363</v>
      </c>
      <c r="AE20" s="26">
        <v>116.74007946500281</v>
      </c>
      <c r="AF20" s="26">
        <v>696.60545670225395</v>
      </c>
      <c r="AG20" s="26" t="s">
        <v>363</v>
      </c>
      <c r="AH20" s="26"/>
      <c r="AI20" s="26" t="s">
        <v>363</v>
      </c>
      <c r="AJ20" s="26" t="s">
        <v>363</v>
      </c>
      <c r="AK20" s="26" t="s">
        <v>363</v>
      </c>
      <c r="AL20" s="26" t="s">
        <v>363</v>
      </c>
      <c r="AM20" s="26" t="s">
        <v>363</v>
      </c>
      <c r="AN20" s="26" t="s">
        <v>363</v>
      </c>
      <c r="AO20" s="26"/>
      <c r="AP20" s="26" t="s">
        <v>363</v>
      </c>
      <c r="AQ20" s="26"/>
      <c r="AR20" s="26" t="s">
        <v>363</v>
      </c>
      <c r="AS20" s="26"/>
      <c r="AT20" s="26" t="s">
        <v>363</v>
      </c>
      <c r="AU20" s="26" t="s">
        <v>363</v>
      </c>
      <c r="AV20" s="26" t="s">
        <v>363</v>
      </c>
      <c r="AW20" s="26" t="s">
        <v>363</v>
      </c>
      <c r="AX20" s="26" t="s">
        <v>363</v>
      </c>
      <c r="AY20" s="26" t="s">
        <v>363</v>
      </c>
      <c r="AZ20" s="26" t="s">
        <v>363</v>
      </c>
      <c r="BA20" s="26"/>
      <c r="BB20" s="26" t="s">
        <v>363</v>
      </c>
      <c r="BC20" s="26" t="s">
        <v>363</v>
      </c>
      <c r="BD20" s="26" t="s">
        <v>363</v>
      </c>
      <c r="BE20" s="26" t="s">
        <v>363</v>
      </c>
      <c r="BF20" s="26" t="s">
        <v>363</v>
      </c>
      <c r="BG20" s="26" t="s">
        <v>363</v>
      </c>
      <c r="BH20" s="26" t="s">
        <v>363</v>
      </c>
      <c r="BI20" s="26" t="s">
        <v>363</v>
      </c>
      <c r="BJ20" s="26" t="s">
        <v>363</v>
      </c>
      <c r="BK20" s="26" t="s">
        <v>363</v>
      </c>
      <c r="BL20" s="26" t="s">
        <v>363</v>
      </c>
      <c r="BM20" s="26" t="s">
        <v>363</v>
      </c>
      <c r="BN20" s="26" t="s">
        <v>363</v>
      </c>
      <c r="BO20" s="26" t="s">
        <v>363</v>
      </c>
      <c r="BP20" s="26" t="s">
        <v>363</v>
      </c>
      <c r="BQ20" s="26" t="s">
        <v>363</v>
      </c>
      <c r="BR20" s="26" t="s">
        <v>363</v>
      </c>
      <c r="BS20" s="26" t="s">
        <v>363</v>
      </c>
      <c r="BT20" s="26" t="s">
        <v>363</v>
      </c>
      <c r="BU20" s="26" t="s">
        <v>363</v>
      </c>
      <c r="BV20" s="26" t="s">
        <v>363</v>
      </c>
      <c r="BW20" s="26" t="s">
        <v>363</v>
      </c>
      <c r="BX20" s="26" t="s">
        <v>363</v>
      </c>
      <c r="BY20" s="26" t="s">
        <v>363</v>
      </c>
      <c r="BZ20" s="26" t="s">
        <v>363</v>
      </c>
      <c r="CA20" s="26" t="s">
        <v>363</v>
      </c>
      <c r="CB20" s="26" t="s">
        <v>363</v>
      </c>
      <c r="CC20" s="26" t="s">
        <v>363</v>
      </c>
      <c r="CD20" s="26" t="s">
        <v>363</v>
      </c>
      <c r="CE20" s="26" t="s">
        <v>363</v>
      </c>
      <c r="CF20" s="26" t="s">
        <v>363</v>
      </c>
      <c r="CG20" s="26"/>
      <c r="CH20" s="26"/>
      <c r="CI20" s="26"/>
      <c r="CJ20" s="26"/>
      <c r="CK20" s="26"/>
      <c r="CL20" s="26"/>
      <c r="CM20" s="26"/>
      <c r="CN20" s="26"/>
      <c r="CO20" s="26"/>
      <c r="CP20" s="26"/>
      <c r="CQ20" s="26"/>
      <c r="CR20" s="26"/>
      <c r="CS20" s="26"/>
      <c r="CT20" s="26"/>
      <c r="CU20" s="26"/>
      <c r="CV20" s="26"/>
      <c r="CW20" s="26"/>
      <c r="CX20" s="26"/>
      <c r="CY20" s="26"/>
      <c r="CZ20" s="26"/>
      <c r="DA20" s="26"/>
      <c r="DB20" s="26"/>
      <c r="DC20" s="26"/>
      <c r="DD20" s="26"/>
      <c r="DE20" s="26"/>
      <c r="DF20" s="26"/>
      <c r="DG20" s="26"/>
      <c r="DH20" s="26"/>
      <c r="DI20" s="26"/>
      <c r="DJ20" s="26"/>
      <c r="DK20" s="26"/>
      <c r="DL20" s="26"/>
      <c r="DM20" s="26"/>
      <c r="DN20" s="26"/>
      <c r="DO20" s="26"/>
      <c r="DP20" s="26"/>
      <c r="DQ20" s="26"/>
      <c r="DR20" s="26"/>
      <c r="DS20" s="26"/>
      <c r="DT20" s="26"/>
      <c r="DU20" s="26"/>
      <c r="DV20" s="26"/>
      <c r="DW20" s="26"/>
      <c r="DX20" s="26"/>
      <c r="DY20" s="26"/>
      <c r="DZ20" s="26"/>
      <c r="EA20" s="26"/>
      <c r="EB20" s="26"/>
      <c r="EC20" s="26"/>
      <c r="ED20" s="26"/>
      <c r="EE20" s="26"/>
      <c r="EF20" s="26"/>
      <c r="EG20" s="26"/>
      <c r="EH20" s="26"/>
      <c r="EI20" s="26"/>
      <c r="EJ20" s="26"/>
      <c r="EK20" s="26"/>
      <c r="EL20" s="26"/>
      <c r="EM20" s="26"/>
      <c r="EN20" s="26"/>
      <c r="EO20" s="26"/>
      <c r="EP20" s="26"/>
      <c r="EQ20" s="26"/>
      <c r="ER20" s="26"/>
      <c r="ES20" s="26"/>
      <c r="ET20" s="26"/>
      <c r="EU20" s="26"/>
      <c r="EV20" s="26"/>
      <c r="EW20" s="26"/>
      <c r="EX20" s="26"/>
      <c r="EY20" s="26"/>
      <c r="EZ20" s="26"/>
    </row>
    <row r="21" spans="1:156" x14ac:dyDescent="0.2">
      <c r="A21" s="25" t="s">
        <v>371</v>
      </c>
      <c r="C21" s="26" t="s">
        <v>363</v>
      </c>
      <c r="D21" s="26"/>
      <c r="E21" s="26">
        <v>5.1017896833637124</v>
      </c>
      <c r="F21" s="26"/>
      <c r="G21" s="26">
        <v>5.1730792284011233</v>
      </c>
      <c r="H21" s="26"/>
      <c r="I21" s="26">
        <v>4.4139636805450086</v>
      </c>
      <c r="J21" s="26"/>
      <c r="K21" s="26">
        <v>4.6111760017449122</v>
      </c>
      <c r="L21" s="26"/>
      <c r="M21" s="26">
        <v>4.9506604638527625</v>
      </c>
      <c r="N21" s="26" t="s">
        <v>363</v>
      </c>
      <c r="O21" s="26"/>
      <c r="P21" s="26" t="s">
        <v>363</v>
      </c>
      <c r="Q21" s="26">
        <v>148.62688326692287</v>
      </c>
      <c r="R21" s="26">
        <v>1132.387056915592</v>
      </c>
      <c r="S21" s="26"/>
      <c r="T21" s="26" t="s">
        <v>363</v>
      </c>
      <c r="U21" s="26" t="s">
        <v>363</v>
      </c>
      <c r="V21" s="26" t="s">
        <v>363</v>
      </c>
      <c r="W21" s="26" t="s">
        <v>363</v>
      </c>
      <c r="X21" s="26" t="s">
        <v>363</v>
      </c>
      <c r="Y21" s="26" t="s">
        <v>363</v>
      </c>
      <c r="Z21" s="26" t="s">
        <v>363</v>
      </c>
      <c r="AA21" s="26" t="s">
        <v>363</v>
      </c>
      <c r="AB21" s="26" t="s">
        <v>363</v>
      </c>
      <c r="AC21" s="26" t="s">
        <v>363</v>
      </c>
      <c r="AD21" s="26" t="s">
        <v>363</v>
      </c>
      <c r="AE21" s="26">
        <v>131.14161503440249</v>
      </c>
      <c r="AF21" s="26">
        <v>645.41480611045824</v>
      </c>
      <c r="AG21" s="26" t="s">
        <v>363</v>
      </c>
      <c r="AH21" s="26"/>
      <c r="AI21" s="26" t="s">
        <v>363</v>
      </c>
      <c r="AJ21" s="26" t="s">
        <v>363</v>
      </c>
      <c r="AK21" s="26" t="s">
        <v>363</v>
      </c>
      <c r="AL21" s="26" t="s">
        <v>363</v>
      </c>
      <c r="AM21" s="26" t="s">
        <v>363</v>
      </c>
      <c r="AN21" s="26" t="s">
        <v>363</v>
      </c>
      <c r="AO21" s="26"/>
      <c r="AP21" s="26" t="s">
        <v>363</v>
      </c>
      <c r="AQ21" s="26"/>
      <c r="AR21" s="26" t="s">
        <v>363</v>
      </c>
      <c r="AS21" s="26"/>
      <c r="AT21" s="26" t="s">
        <v>363</v>
      </c>
      <c r="AU21" s="26" t="s">
        <v>363</v>
      </c>
      <c r="AV21" s="26" t="s">
        <v>363</v>
      </c>
      <c r="AW21" s="26" t="s">
        <v>363</v>
      </c>
      <c r="AX21" s="26" t="s">
        <v>363</v>
      </c>
      <c r="AY21" s="26" t="s">
        <v>363</v>
      </c>
      <c r="AZ21" s="26" t="s">
        <v>363</v>
      </c>
      <c r="BA21" s="26"/>
      <c r="BB21" s="26" t="s">
        <v>363</v>
      </c>
      <c r="BC21" s="26" t="s">
        <v>363</v>
      </c>
      <c r="BD21" s="26" t="s">
        <v>363</v>
      </c>
      <c r="BE21" s="26" t="s">
        <v>363</v>
      </c>
      <c r="BF21" s="26" t="s">
        <v>363</v>
      </c>
      <c r="BG21" s="26" t="s">
        <v>363</v>
      </c>
      <c r="BH21" s="26" t="s">
        <v>363</v>
      </c>
      <c r="BI21" s="26" t="s">
        <v>363</v>
      </c>
      <c r="BJ21" s="26" t="s">
        <v>363</v>
      </c>
      <c r="BK21" s="26" t="s">
        <v>363</v>
      </c>
      <c r="BL21" s="26" t="s">
        <v>363</v>
      </c>
      <c r="BM21" s="26" t="s">
        <v>363</v>
      </c>
      <c r="BN21" s="26" t="s">
        <v>363</v>
      </c>
      <c r="BO21" s="26" t="s">
        <v>363</v>
      </c>
      <c r="BP21" s="26" t="s">
        <v>363</v>
      </c>
      <c r="BQ21" s="26" t="s">
        <v>363</v>
      </c>
      <c r="BR21" s="26" t="s">
        <v>363</v>
      </c>
      <c r="BS21" s="26" t="s">
        <v>363</v>
      </c>
      <c r="BT21" s="26" t="s">
        <v>363</v>
      </c>
      <c r="BU21" s="26" t="s">
        <v>363</v>
      </c>
      <c r="BV21" s="26" t="s">
        <v>363</v>
      </c>
      <c r="BW21" s="26" t="s">
        <v>363</v>
      </c>
      <c r="BX21" s="26" t="s">
        <v>363</v>
      </c>
      <c r="BY21" s="26" t="s">
        <v>363</v>
      </c>
      <c r="BZ21" s="26" t="s">
        <v>363</v>
      </c>
      <c r="CA21" s="26" t="s">
        <v>363</v>
      </c>
      <c r="CB21" s="26" t="s">
        <v>363</v>
      </c>
      <c r="CC21" s="26" t="s">
        <v>363</v>
      </c>
      <c r="CD21" s="26" t="s">
        <v>363</v>
      </c>
      <c r="CE21" s="26" t="s">
        <v>363</v>
      </c>
      <c r="CF21" s="26" t="s">
        <v>363</v>
      </c>
      <c r="CG21" s="26"/>
      <c r="CH21" s="26"/>
      <c r="CI21" s="26"/>
      <c r="CJ21" s="26"/>
      <c r="CK21" s="26"/>
      <c r="CL21" s="26"/>
      <c r="CM21" s="26"/>
      <c r="CN21" s="26"/>
      <c r="CO21" s="26"/>
      <c r="CP21" s="26"/>
      <c r="CQ21" s="26"/>
      <c r="CR21" s="26"/>
      <c r="CS21" s="26"/>
      <c r="CT21" s="26"/>
      <c r="CU21" s="26"/>
      <c r="CV21" s="26"/>
      <c r="CW21" s="26"/>
      <c r="CX21" s="26"/>
      <c r="CY21" s="26"/>
      <c r="CZ21" s="26"/>
      <c r="DA21" s="26"/>
      <c r="DB21" s="26"/>
      <c r="DC21" s="26"/>
      <c r="DD21" s="26"/>
      <c r="DE21" s="26"/>
      <c r="DF21" s="26"/>
      <c r="DG21" s="26"/>
      <c r="DH21" s="26"/>
      <c r="DI21" s="26"/>
      <c r="DJ21" s="26"/>
      <c r="DK21" s="26"/>
      <c r="DL21" s="26"/>
      <c r="DM21" s="26"/>
      <c r="DN21" s="26"/>
      <c r="DO21" s="26"/>
      <c r="DP21" s="26"/>
      <c r="DQ21" s="26"/>
      <c r="DR21" s="26"/>
      <c r="DS21" s="26"/>
      <c r="DT21" s="26"/>
      <c r="DU21" s="26"/>
      <c r="DV21" s="26"/>
      <c r="DW21" s="26"/>
      <c r="DX21" s="26"/>
      <c r="DY21" s="26"/>
      <c r="DZ21" s="26"/>
      <c r="EA21" s="26"/>
      <c r="EB21" s="26"/>
      <c r="EC21" s="26"/>
      <c r="ED21" s="26"/>
      <c r="EE21" s="26"/>
      <c r="EF21" s="26"/>
      <c r="EG21" s="26"/>
      <c r="EH21" s="26"/>
      <c r="EI21" s="26"/>
      <c r="EJ21" s="26"/>
      <c r="EK21" s="26"/>
      <c r="EL21" s="26"/>
      <c r="EM21" s="26"/>
      <c r="EN21" s="26"/>
      <c r="EO21" s="26"/>
      <c r="EP21" s="26"/>
      <c r="EQ21" s="26"/>
      <c r="ER21" s="26"/>
      <c r="ES21" s="26"/>
      <c r="ET21" s="26"/>
      <c r="EU21" s="26"/>
      <c r="EV21" s="26"/>
      <c r="EW21" s="26"/>
      <c r="EX21" s="26"/>
      <c r="EY21" s="26"/>
      <c r="EZ21" s="26"/>
    </row>
    <row r="22" spans="1:156" x14ac:dyDescent="0.2">
      <c r="A22" s="25" t="s">
        <v>372</v>
      </c>
      <c r="C22" s="26" t="s">
        <v>363</v>
      </c>
      <c r="D22" s="26"/>
      <c r="E22" s="26">
        <v>6.2627952755905509</v>
      </c>
      <c r="F22" s="26"/>
      <c r="G22" s="26">
        <v>5.404938110607592</v>
      </c>
      <c r="H22" s="26"/>
      <c r="I22" s="26">
        <v>4.5257303733788712</v>
      </c>
      <c r="J22" s="26"/>
      <c r="K22" s="26">
        <v>4.8904209465400035</v>
      </c>
      <c r="L22" s="26"/>
      <c r="M22" s="26">
        <v>4.3587301587301583</v>
      </c>
      <c r="N22" s="26" t="s">
        <v>363</v>
      </c>
      <c r="O22" s="26"/>
      <c r="P22" s="26" t="s">
        <v>363</v>
      </c>
      <c r="Q22" s="26">
        <v>175.6304973071245</v>
      </c>
      <c r="R22" s="26">
        <v>1141.1611530944804</v>
      </c>
      <c r="S22" s="26"/>
      <c r="T22" s="26" t="s">
        <v>363</v>
      </c>
      <c r="U22" s="26" t="s">
        <v>363</v>
      </c>
      <c r="V22" s="26" t="s">
        <v>363</v>
      </c>
      <c r="W22" s="26" t="s">
        <v>363</v>
      </c>
      <c r="X22" s="26" t="s">
        <v>363</v>
      </c>
      <c r="Y22" s="26" t="s">
        <v>363</v>
      </c>
      <c r="Z22" s="26" t="s">
        <v>363</v>
      </c>
      <c r="AA22" s="26" t="s">
        <v>363</v>
      </c>
      <c r="AB22" s="26" t="s">
        <v>363</v>
      </c>
      <c r="AC22" s="26" t="s">
        <v>363</v>
      </c>
      <c r="AD22" s="26" t="s">
        <v>363</v>
      </c>
      <c r="AE22" s="26">
        <v>118.87762511170688</v>
      </c>
      <c r="AF22" s="26">
        <v>745.02543490548271</v>
      </c>
      <c r="AG22" s="26" t="s">
        <v>363</v>
      </c>
      <c r="AH22" s="26"/>
      <c r="AI22" s="26" t="s">
        <v>363</v>
      </c>
      <c r="AJ22" s="26" t="s">
        <v>363</v>
      </c>
      <c r="AK22" s="26" t="s">
        <v>363</v>
      </c>
      <c r="AL22" s="26" t="s">
        <v>363</v>
      </c>
      <c r="AM22" s="26" t="s">
        <v>363</v>
      </c>
      <c r="AN22" s="26" t="s">
        <v>363</v>
      </c>
      <c r="AO22" s="26"/>
      <c r="AP22" s="26" t="s">
        <v>363</v>
      </c>
      <c r="AQ22" s="26"/>
      <c r="AR22" s="26" t="s">
        <v>363</v>
      </c>
      <c r="AS22" s="26"/>
      <c r="AT22" s="26" t="s">
        <v>363</v>
      </c>
      <c r="AU22" s="26" t="s">
        <v>363</v>
      </c>
      <c r="AV22" s="26" t="s">
        <v>363</v>
      </c>
      <c r="AW22" s="26" t="s">
        <v>363</v>
      </c>
      <c r="AX22" s="26" t="s">
        <v>363</v>
      </c>
      <c r="AY22" s="26" t="s">
        <v>363</v>
      </c>
      <c r="AZ22" s="26" t="s">
        <v>363</v>
      </c>
      <c r="BA22" s="26"/>
      <c r="BB22" s="26" t="s">
        <v>363</v>
      </c>
      <c r="BC22" s="26" t="s">
        <v>363</v>
      </c>
      <c r="BD22" s="26" t="s">
        <v>363</v>
      </c>
      <c r="BE22" s="26" t="s">
        <v>363</v>
      </c>
      <c r="BF22" s="26" t="s">
        <v>363</v>
      </c>
      <c r="BG22" s="26" t="s">
        <v>363</v>
      </c>
      <c r="BH22" s="26" t="s">
        <v>363</v>
      </c>
      <c r="BI22" s="26" t="s">
        <v>363</v>
      </c>
      <c r="BJ22" s="26" t="s">
        <v>363</v>
      </c>
      <c r="BK22" s="26" t="s">
        <v>363</v>
      </c>
      <c r="BL22" s="26" t="s">
        <v>363</v>
      </c>
      <c r="BM22" s="26" t="s">
        <v>363</v>
      </c>
      <c r="BN22" s="26" t="s">
        <v>363</v>
      </c>
      <c r="BO22" s="26" t="s">
        <v>363</v>
      </c>
      <c r="BP22" s="26" t="s">
        <v>363</v>
      </c>
      <c r="BQ22" s="26" t="s">
        <v>363</v>
      </c>
      <c r="BR22" s="26" t="s">
        <v>363</v>
      </c>
      <c r="BS22" s="26" t="s">
        <v>363</v>
      </c>
      <c r="BT22" s="26" t="s">
        <v>363</v>
      </c>
      <c r="BU22" s="26" t="s">
        <v>363</v>
      </c>
      <c r="BV22" s="26" t="s">
        <v>363</v>
      </c>
      <c r="BW22" s="26" t="s">
        <v>363</v>
      </c>
      <c r="BX22" s="26" t="s">
        <v>363</v>
      </c>
      <c r="BY22" s="26" t="s">
        <v>363</v>
      </c>
      <c r="BZ22" s="26" t="s">
        <v>363</v>
      </c>
      <c r="CA22" s="26" t="s">
        <v>363</v>
      </c>
      <c r="CB22" s="26" t="s">
        <v>363</v>
      </c>
      <c r="CC22" s="26" t="s">
        <v>363</v>
      </c>
      <c r="CD22" s="26" t="s">
        <v>363</v>
      </c>
      <c r="CE22" s="26" t="s">
        <v>363</v>
      </c>
      <c r="CF22" s="26" t="s">
        <v>363</v>
      </c>
      <c r="CG22" s="26"/>
      <c r="CH22" s="26"/>
      <c r="CI22" s="26"/>
      <c r="CJ22" s="26"/>
      <c r="CK22" s="26"/>
      <c r="CL22" s="26"/>
      <c r="CM22" s="26"/>
      <c r="CN22" s="26"/>
      <c r="CO22" s="26"/>
      <c r="CP22" s="26"/>
      <c r="CQ22" s="26"/>
      <c r="CR22" s="26"/>
      <c r="CS22" s="26"/>
      <c r="CT22" s="26"/>
      <c r="CU22" s="26"/>
      <c r="CV22" s="26"/>
      <c r="CW22" s="26"/>
      <c r="CX22" s="26"/>
      <c r="CY22" s="26"/>
      <c r="CZ22" s="26"/>
      <c r="DA22" s="26"/>
      <c r="DB22" s="26"/>
      <c r="DC22" s="26"/>
      <c r="DD22" s="26"/>
      <c r="DE22" s="26"/>
      <c r="DF22" s="26"/>
      <c r="DG22" s="26"/>
      <c r="DH22" s="26"/>
      <c r="DI22" s="26"/>
      <c r="DJ22" s="26"/>
      <c r="DK22" s="26"/>
      <c r="DL22" s="26"/>
      <c r="DM22" s="26"/>
      <c r="DN22" s="26"/>
      <c r="DO22" s="26"/>
      <c r="DP22" s="26"/>
      <c r="DQ22" s="26"/>
      <c r="DR22" s="26"/>
      <c r="DS22" s="26"/>
      <c r="DT22" s="26"/>
      <c r="DU22" s="26"/>
      <c r="DV22" s="26"/>
      <c r="DW22" s="26"/>
      <c r="DX22" s="26"/>
      <c r="DY22" s="26"/>
      <c r="DZ22" s="26"/>
      <c r="EA22" s="26"/>
      <c r="EB22" s="26"/>
      <c r="EC22" s="26"/>
      <c r="ED22" s="26"/>
      <c r="EE22" s="26"/>
      <c r="EF22" s="26"/>
      <c r="EG22" s="26"/>
      <c r="EH22" s="26"/>
      <c r="EI22" s="26"/>
      <c r="EJ22" s="26"/>
      <c r="EK22" s="26"/>
      <c r="EL22" s="26"/>
      <c r="EM22" s="26"/>
      <c r="EN22" s="26"/>
      <c r="EO22" s="26"/>
      <c r="EP22" s="26"/>
      <c r="EQ22" s="26"/>
      <c r="ER22" s="26"/>
      <c r="ES22" s="26"/>
      <c r="ET22" s="26"/>
      <c r="EU22" s="26"/>
      <c r="EV22" s="26"/>
      <c r="EW22" s="26"/>
      <c r="EX22" s="26"/>
      <c r="EY22" s="26"/>
      <c r="EZ22" s="26"/>
    </row>
    <row r="23" spans="1:156" x14ac:dyDescent="0.2">
      <c r="A23" s="25" t="s">
        <v>373</v>
      </c>
      <c r="C23" s="26" t="s">
        <v>363</v>
      </c>
      <c r="D23" s="26"/>
      <c r="E23" s="26">
        <v>6.4882621951219512</v>
      </c>
      <c r="F23" s="26"/>
      <c r="G23" s="26">
        <v>6.1636678110138057</v>
      </c>
      <c r="H23" s="26"/>
      <c r="I23" s="26">
        <v>4.9569976544175134</v>
      </c>
      <c r="J23" s="26"/>
      <c r="K23" s="26">
        <v>6.2407878334579907</v>
      </c>
      <c r="L23" s="26"/>
      <c r="M23" s="26">
        <v>5.0434782608695654</v>
      </c>
      <c r="N23" s="26">
        <v>4.7058823529411766</v>
      </c>
      <c r="O23" s="26"/>
      <c r="P23" s="26">
        <v>57.431215627657977</v>
      </c>
      <c r="Q23" s="26">
        <v>156.50219116660853</v>
      </c>
      <c r="R23" s="26">
        <v>1128.1855896607431</v>
      </c>
      <c r="S23" s="26"/>
      <c r="T23" s="26">
        <v>9.6551724137931032</v>
      </c>
      <c r="U23" s="26">
        <v>38.90625</v>
      </c>
      <c r="V23" s="26">
        <v>43.169932552684656</v>
      </c>
      <c r="W23" s="26" t="s">
        <v>363</v>
      </c>
      <c r="X23" s="26">
        <v>11.345454545454546</v>
      </c>
      <c r="Y23" s="26">
        <v>131.85840707964601</v>
      </c>
      <c r="Z23" s="26">
        <v>7.3157894736842106</v>
      </c>
      <c r="AA23" s="26" t="s">
        <v>363</v>
      </c>
      <c r="AB23" s="26">
        <v>57.777777777777779</v>
      </c>
      <c r="AC23" s="26" t="s">
        <v>363</v>
      </c>
      <c r="AD23" s="26">
        <v>442.3380726698262</v>
      </c>
      <c r="AE23" s="26">
        <v>127.56264236902049</v>
      </c>
      <c r="AF23" s="26">
        <v>751.76440617516687</v>
      </c>
      <c r="AG23" s="26" t="s">
        <v>363</v>
      </c>
      <c r="AH23" s="26"/>
      <c r="AI23" s="26" t="s">
        <v>363</v>
      </c>
      <c r="AJ23" s="26" t="s">
        <v>363</v>
      </c>
      <c r="AK23" s="26" t="s">
        <v>363</v>
      </c>
      <c r="AL23" s="26" t="s">
        <v>363</v>
      </c>
      <c r="AM23" s="26" t="s">
        <v>363</v>
      </c>
      <c r="AN23" s="26" t="s">
        <v>363</v>
      </c>
      <c r="AO23" s="26"/>
      <c r="AP23" s="26" t="s">
        <v>363</v>
      </c>
      <c r="AQ23" s="26"/>
      <c r="AR23" s="26" t="s">
        <v>363</v>
      </c>
      <c r="AS23" s="26"/>
      <c r="AT23" s="26" t="s">
        <v>363</v>
      </c>
      <c r="AU23" s="26" t="s">
        <v>363</v>
      </c>
      <c r="AV23" s="26" t="s">
        <v>363</v>
      </c>
      <c r="AW23" s="26" t="s">
        <v>363</v>
      </c>
      <c r="AX23" s="26" t="s">
        <v>363</v>
      </c>
      <c r="AY23" s="26" t="s">
        <v>363</v>
      </c>
      <c r="AZ23" s="26" t="s">
        <v>363</v>
      </c>
      <c r="BA23" s="26"/>
      <c r="BB23" s="26" t="s">
        <v>363</v>
      </c>
      <c r="BC23" s="26" t="s">
        <v>363</v>
      </c>
      <c r="BD23" s="26" t="s">
        <v>363</v>
      </c>
      <c r="BE23" s="26" t="s">
        <v>363</v>
      </c>
      <c r="BF23" s="26" t="s">
        <v>363</v>
      </c>
      <c r="BG23" s="26" t="s">
        <v>363</v>
      </c>
      <c r="BH23" s="26" t="s">
        <v>363</v>
      </c>
      <c r="BI23" s="26" t="s">
        <v>363</v>
      </c>
      <c r="BJ23" s="26" t="s">
        <v>363</v>
      </c>
      <c r="BK23" s="26" t="s">
        <v>363</v>
      </c>
      <c r="BL23" s="26" t="s">
        <v>363</v>
      </c>
      <c r="BM23" s="26" t="s">
        <v>363</v>
      </c>
      <c r="BN23" s="26" t="s">
        <v>363</v>
      </c>
      <c r="BO23" s="26" t="s">
        <v>363</v>
      </c>
      <c r="BP23" s="26" t="s">
        <v>363</v>
      </c>
      <c r="BQ23" s="26" t="s">
        <v>363</v>
      </c>
      <c r="BR23" s="26" t="s">
        <v>363</v>
      </c>
      <c r="BS23" s="26" t="s">
        <v>363</v>
      </c>
      <c r="BT23" s="26" t="s">
        <v>363</v>
      </c>
      <c r="BU23" s="26" t="s">
        <v>363</v>
      </c>
      <c r="BV23" s="26" t="s">
        <v>363</v>
      </c>
      <c r="BW23" s="26" t="s">
        <v>363</v>
      </c>
      <c r="BX23" s="26" t="s">
        <v>363</v>
      </c>
      <c r="BY23" s="26" t="s">
        <v>363</v>
      </c>
      <c r="BZ23" s="26" t="s">
        <v>363</v>
      </c>
      <c r="CA23" s="26" t="s">
        <v>363</v>
      </c>
      <c r="CB23" s="26" t="s">
        <v>363</v>
      </c>
      <c r="CC23" s="26" t="s">
        <v>363</v>
      </c>
      <c r="CD23" s="26" t="s">
        <v>363</v>
      </c>
      <c r="CE23" s="26" t="s">
        <v>363</v>
      </c>
      <c r="CF23" s="26" t="s">
        <v>363</v>
      </c>
      <c r="CG23" s="26"/>
      <c r="CH23" s="26"/>
      <c r="CI23" s="26"/>
      <c r="CJ23" s="26"/>
      <c r="CK23" s="26"/>
      <c r="CL23" s="26"/>
      <c r="CM23" s="26"/>
      <c r="CN23" s="26"/>
      <c r="CO23" s="26"/>
      <c r="CP23" s="26"/>
      <c r="CQ23" s="26"/>
      <c r="CR23" s="26"/>
      <c r="CS23" s="26"/>
      <c r="CT23" s="26"/>
      <c r="CU23" s="26"/>
      <c r="CV23" s="26"/>
      <c r="CW23" s="26"/>
      <c r="CX23" s="26"/>
      <c r="CY23" s="26"/>
      <c r="CZ23" s="26"/>
      <c r="DA23" s="26"/>
      <c r="DB23" s="26"/>
      <c r="DC23" s="26"/>
      <c r="DD23" s="26"/>
      <c r="DE23" s="26"/>
      <c r="DF23" s="26"/>
      <c r="DG23" s="26"/>
      <c r="DH23" s="26"/>
      <c r="DI23" s="26"/>
      <c r="DJ23" s="26"/>
      <c r="DK23" s="26"/>
      <c r="DL23" s="26"/>
      <c r="DM23" s="26"/>
      <c r="DN23" s="26"/>
      <c r="DO23" s="26"/>
      <c r="DP23" s="26"/>
      <c r="DQ23" s="26"/>
      <c r="DR23" s="26"/>
      <c r="DS23" s="26"/>
      <c r="DT23" s="26"/>
      <c r="DU23" s="26"/>
      <c r="DV23" s="26"/>
      <c r="DW23" s="26"/>
      <c r="DX23" s="26"/>
      <c r="DY23" s="26"/>
      <c r="DZ23" s="26"/>
      <c r="EA23" s="26"/>
      <c r="EB23" s="26"/>
      <c r="EC23" s="26"/>
      <c r="ED23" s="26"/>
      <c r="EE23" s="26"/>
      <c r="EF23" s="26"/>
      <c r="EG23" s="26"/>
      <c r="EH23" s="26"/>
      <c r="EI23" s="26"/>
      <c r="EJ23" s="26"/>
      <c r="EK23" s="26"/>
      <c r="EL23" s="26"/>
      <c r="EM23" s="26"/>
      <c r="EN23" s="26"/>
      <c r="EO23" s="26"/>
      <c r="EP23" s="26"/>
      <c r="EQ23" s="26"/>
      <c r="ER23" s="26"/>
      <c r="ES23" s="26"/>
      <c r="ET23" s="26"/>
      <c r="EU23" s="26"/>
      <c r="EV23" s="26"/>
      <c r="EW23" s="26"/>
      <c r="EX23" s="26"/>
      <c r="EY23" s="26"/>
      <c r="EZ23" s="26"/>
    </row>
    <row r="24" spans="1:156" x14ac:dyDescent="0.2">
      <c r="A24" s="25" t="s">
        <v>376</v>
      </c>
      <c r="C24" s="26" t="s">
        <v>363</v>
      </c>
      <c r="D24" s="26"/>
      <c r="E24" s="26">
        <v>5.874311023622047</v>
      </c>
      <c r="F24" s="26"/>
      <c r="G24" s="26">
        <v>5.871665875652587</v>
      </c>
      <c r="H24" s="26"/>
      <c r="I24" s="26">
        <v>5.393258426966292</v>
      </c>
      <c r="J24" s="26"/>
      <c r="K24" s="26">
        <v>6.6621231422505307</v>
      </c>
      <c r="L24" s="26"/>
      <c r="M24" s="26">
        <v>5.368126747437092</v>
      </c>
      <c r="N24" s="26">
        <v>4.4954128440366974</v>
      </c>
      <c r="O24" s="26"/>
      <c r="P24" s="26">
        <v>54.890403093780989</v>
      </c>
      <c r="Q24" s="26">
        <v>150.87226686025767</v>
      </c>
      <c r="R24" s="26">
        <v>1100.1769911504425</v>
      </c>
      <c r="S24" s="26"/>
      <c r="T24" s="26">
        <v>10.928571428571429</v>
      </c>
      <c r="U24" s="26">
        <v>27.580645161290324</v>
      </c>
      <c r="V24" s="26">
        <v>32.829177038990117</v>
      </c>
      <c r="W24" s="26" t="s">
        <v>363</v>
      </c>
      <c r="X24" s="26">
        <v>10.647482014388489</v>
      </c>
      <c r="Y24" s="26">
        <v>160</v>
      </c>
      <c r="Z24" s="26">
        <v>6.117647058823529</v>
      </c>
      <c r="AA24" s="26" t="s">
        <v>363</v>
      </c>
      <c r="AB24" s="26">
        <v>50.243902439024389</v>
      </c>
      <c r="AC24" s="26" t="s">
        <v>363</v>
      </c>
      <c r="AD24" s="26">
        <v>515.39823008849555</v>
      </c>
      <c r="AE24" s="26">
        <v>172.68722466960352</v>
      </c>
      <c r="AF24" s="26" t="s">
        <v>363</v>
      </c>
      <c r="AG24" s="26" t="s">
        <v>363</v>
      </c>
      <c r="AH24" s="26"/>
      <c r="AI24" s="26" t="s">
        <v>363</v>
      </c>
      <c r="AJ24" s="26" t="s">
        <v>363</v>
      </c>
      <c r="AK24" s="26" t="s">
        <v>363</v>
      </c>
      <c r="AL24" s="26" t="s">
        <v>363</v>
      </c>
      <c r="AM24" s="26" t="s">
        <v>363</v>
      </c>
      <c r="AN24" s="26" t="s">
        <v>363</v>
      </c>
      <c r="AO24" s="26"/>
      <c r="AP24" s="26" t="s">
        <v>363</v>
      </c>
      <c r="AQ24" s="26"/>
      <c r="AR24" s="26" t="s">
        <v>363</v>
      </c>
      <c r="AS24" s="26"/>
      <c r="AT24" s="26" t="s">
        <v>363</v>
      </c>
      <c r="AU24" s="26" t="s">
        <v>363</v>
      </c>
      <c r="AV24" s="26" t="s">
        <v>363</v>
      </c>
      <c r="AW24" s="26" t="s">
        <v>363</v>
      </c>
      <c r="AX24" s="26" t="s">
        <v>363</v>
      </c>
      <c r="AY24" s="26" t="s">
        <v>363</v>
      </c>
      <c r="AZ24" s="26" t="s">
        <v>363</v>
      </c>
      <c r="BA24" s="26"/>
      <c r="BB24" s="26" t="s">
        <v>363</v>
      </c>
      <c r="BC24" s="26" t="s">
        <v>363</v>
      </c>
      <c r="BD24" s="26" t="s">
        <v>363</v>
      </c>
      <c r="BE24" s="26" t="s">
        <v>363</v>
      </c>
      <c r="BF24" s="26" t="s">
        <v>363</v>
      </c>
      <c r="BG24" s="26" t="s">
        <v>363</v>
      </c>
      <c r="BH24" s="26" t="s">
        <v>363</v>
      </c>
      <c r="BI24" s="26" t="s">
        <v>363</v>
      </c>
      <c r="BJ24" s="26" t="s">
        <v>363</v>
      </c>
      <c r="BK24" s="26" t="s">
        <v>363</v>
      </c>
      <c r="BL24" s="26" t="s">
        <v>363</v>
      </c>
      <c r="BM24" s="26" t="s">
        <v>363</v>
      </c>
      <c r="BN24" s="26" t="s">
        <v>363</v>
      </c>
      <c r="BO24" s="26" t="s">
        <v>363</v>
      </c>
      <c r="BP24" s="26" t="s">
        <v>363</v>
      </c>
      <c r="BQ24" s="26" t="s">
        <v>363</v>
      </c>
      <c r="BR24" s="26" t="s">
        <v>363</v>
      </c>
      <c r="BS24" s="26" t="s">
        <v>363</v>
      </c>
      <c r="BT24" s="26" t="s">
        <v>363</v>
      </c>
      <c r="BU24" s="26" t="s">
        <v>363</v>
      </c>
      <c r="BV24" s="26" t="s">
        <v>363</v>
      </c>
      <c r="BW24" s="26" t="s">
        <v>363</v>
      </c>
      <c r="BX24" s="26" t="s">
        <v>363</v>
      </c>
      <c r="BY24" s="26" t="s">
        <v>363</v>
      </c>
      <c r="BZ24" s="26" t="s">
        <v>363</v>
      </c>
      <c r="CA24" s="26" t="s">
        <v>363</v>
      </c>
      <c r="CB24" s="26" t="s">
        <v>363</v>
      </c>
      <c r="CC24" s="26" t="s">
        <v>363</v>
      </c>
      <c r="CD24" s="26" t="s">
        <v>363</v>
      </c>
      <c r="CE24" s="26" t="s">
        <v>363</v>
      </c>
      <c r="CF24" s="26" t="s">
        <v>363</v>
      </c>
      <c r="CG24" s="26"/>
      <c r="CH24" s="26"/>
      <c r="CI24" s="26"/>
      <c r="CJ24" s="26"/>
      <c r="CK24" s="26"/>
      <c r="CL24" s="26"/>
      <c r="CM24" s="26"/>
      <c r="CN24" s="26"/>
      <c r="CO24" s="26"/>
      <c r="CP24" s="26"/>
      <c r="CQ24" s="26"/>
      <c r="CR24" s="26"/>
      <c r="CS24" s="26"/>
      <c r="CT24" s="26"/>
      <c r="CU24" s="26"/>
      <c r="CV24" s="26"/>
      <c r="CW24" s="26"/>
      <c r="CX24" s="26"/>
      <c r="CY24" s="26"/>
      <c r="CZ24" s="26"/>
      <c r="DA24" s="26"/>
      <c r="DB24" s="26"/>
      <c r="DC24" s="26"/>
      <c r="DD24" s="26"/>
      <c r="DE24" s="26"/>
      <c r="DF24" s="26"/>
      <c r="DG24" s="26"/>
      <c r="DH24" s="26"/>
      <c r="DI24" s="26"/>
      <c r="DJ24" s="26"/>
      <c r="DK24" s="26"/>
      <c r="DL24" s="26"/>
      <c r="DM24" s="26"/>
      <c r="DN24" s="26"/>
      <c r="DO24" s="26"/>
      <c r="DP24" s="26"/>
      <c r="DQ24" s="26"/>
      <c r="DR24" s="26"/>
      <c r="DS24" s="26"/>
      <c r="DT24" s="26"/>
      <c r="DU24" s="26"/>
      <c r="DV24" s="26"/>
      <c r="DW24" s="26"/>
      <c r="DX24" s="26"/>
      <c r="DY24" s="26"/>
      <c r="DZ24" s="26"/>
      <c r="EA24" s="26"/>
      <c r="EB24" s="26"/>
      <c r="EC24" s="26"/>
      <c r="ED24" s="26"/>
      <c r="EE24" s="26"/>
      <c r="EF24" s="26"/>
      <c r="EG24" s="26"/>
      <c r="EH24" s="26"/>
      <c r="EI24" s="26"/>
      <c r="EJ24" s="26"/>
      <c r="EK24" s="26"/>
      <c r="EL24" s="26"/>
      <c r="EM24" s="26"/>
      <c r="EN24" s="26"/>
      <c r="EO24" s="26"/>
      <c r="EP24" s="26"/>
      <c r="EQ24" s="26"/>
      <c r="ER24" s="26"/>
      <c r="ES24" s="26"/>
      <c r="ET24" s="26"/>
      <c r="EU24" s="26"/>
      <c r="EV24" s="26"/>
      <c r="EW24" s="26"/>
      <c r="EX24" s="26"/>
      <c r="EY24" s="26"/>
      <c r="EZ24" s="26"/>
    </row>
    <row r="25" spans="1:156" x14ac:dyDescent="0.2">
      <c r="A25" s="25" t="s">
        <v>377</v>
      </c>
      <c r="C25" s="26" t="s">
        <v>363</v>
      </c>
      <c r="D25" s="26"/>
      <c r="E25" s="26">
        <v>6.0509080384921496</v>
      </c>
      <c r="F25" s="26"/>
      <c r="G25" s="26">
        <v>6.3608663666161975</v>
      </c>
      <c r="H25" s="26"/>
      <c r="I25" s="26" t="s">
        <v>363</v>
      </c>
      <c r="J25" s="26"/>
      <c r="K25" s="26">
        <v>6.6466788732342419</v>
      </c>
      <c r="L25" s="26"/>
      <c r="M25" s="26" t="s">
        <v>363</v>
      </c>
      <c r="N25" s="26" t="s">
        <v>363</v>
      </c>
      <c r="O25" s="26"/>
      <c r="P25" s="26">
        <v>63.478653085846688</v>
      </c>
      <c r="Q25" s="26">
        <v>145.23189521947447</v>
      </c>
      <c r="R25" s="26" t="s">
        <v>363</v>
      </c>
      <c r="S25" s="26"/>
      <c r="T25" s="26" t="s">
        <v>363</v>
      </c>
      <c r="U25" s="26" t="s">
        <v>363</v>
      </c>
      <c r="V25" s="26">
        <v>35.251437579094599</v>
      </c>
      <c r="W25" s="26" t="s">
        <v>363</v>
      </c>
      <c r="X25" s="26" t="s">
        <v>363</v>
      </c>
      <c r="Y25" s="26" t="s">
        <v>363</v>
      </c>
      <c r="Z25" s="26" t="s">
        <v>363</v>
      </c>
      <c r="AA25" s="26" t="s">
        <v>363</v>
      </c>
      <c r="AB25" s="26" t="s">
        <v>363</v>
      </c>
      <c r="AC25" s="26" t="s">
        <v>363</v>
      </c>
      <c r="AD25" s="26" t="s">
        <v>363</v>
      </c>
      <c r="AE25" s="26" t="s">
        <v>363</v>
      </c>
      <c r="AF25" s="26" t="s">
        <v>363</v>
      </c>
      <c r="AG25" s="26" t="s">
        <v>363</v>
      </c>
      <c r="AH25" s="26"/>
      <c r="AI25" s="26" t="s">
        <v>363</v>
      </c>
      <c r="AJ25" s="26" t="s">
        <v>363</v>
      </c>
      <c r="AK25" s="26" t="s">
        <v>363</v>
      </c>
      <c r="AL25" s="26" t="s">
        <v>363</v>
      </c>
      <c r="AM25" s="26" t="s">
        <v>363</v>
      </c>
      <c r="AN25" s="26" t="s">
        <v>363</v>
      </c>
      <c r="AO25" s="26"/>
      <c r="AP25" s="26" t="s">
        <v>363</v>
      </c>
      <c r="AQ25" s="26"/>
      <c r="AR25" s="26" t="s">
        <v>363</v>
      </c>
      <c r="AS25" s="26"/>
      <c r="AT25" s="26" t="s">
        <v>363</v>
      </c>
      <c r="AU25" s="26" t="s">
        <v>363</v>
      </c>
      <c r="AV25" s="26" t="s">
        <v>363</v>
      </c>
      <c r="AW25" s="26" t="s">
        <v>363</v>
      </c>
      <c r="AX25" s="26" t="s">
        <v>363</v>
      </c>
      <c r="AY25" s="26" t="s">
        <v>363</v>
      </c>
      <c r="AZ25" s="26" t="s">
        <v>363</v>
      </c>
      <c r="BA25" s="26"/>
      <c r="BB25" s="26" t="s">
        <v>363</v>
      </c>
      <c r="BC25" s="26" t="s">
        <v>363</v>
      </c>
      <c r="BD25" s="26" t="s">
        <v>363</v>
      </c>
      <c r="BE25" s="26" t="s">
        <v>363</v>
      </c>
      <c r="BF25" s="26" t="s">
        <v>363</v>
      </c>
      <c r="BG25" s="26" t="s">
        <v>363</v>
      </c>
      <c r="BH25" s="26" t="s">
        <v>363</v>
      </c>
      <c r="BI25" s="26" t="s">
        <v>363</v>
      </c>
      <c r="BJ25" s="26" t="s">
        <v>363</v>
      </c>
      <c r="BK25" s="26" t="s">
        <v>363</v>
      </c>
      <c r="BL25" s="26" t="s">
        <v>363</v>
      </c>
      <c r="BM25" s="26" t="s">
        <v>363</v>
      </c>
      <c r="BN25" s="26" t="s">
        <v>363</v>
      </c>
      <c r="BO25" s="26" t="s">
        <v>363</v>
      </c>
      <c r="BP25" s="26" t="s">
        <v>363</v>
      </c>
      <c r="BQ25" s="26" t="s">
        <v>363</v>
      </c>
      <c r="BR25" s="26" t="s">
        <v>363</v>
      </c>
      <c r="BS25" s="26" t="s">
        <v>363</v>
      </c>
      <c r="BT25" s="26" t="s">
        <v>363</v>
      </c>
      <c r="BU25" s="26" t="s">
        <v>363</v>
      </c>
      <c r="BV25" s="26" t="s">
        <v>363</v>
      </c>
      <c r="BW25" s="26" t="s">
        <v>363</v>
      </c>
      <c r="BX25" s="26" t="s">
        <v>363</v>
      </c>
      <c r="BY25" s="26" t="s">
        <v>363</v>
      </c>
      <c r="BZ25" s="26" t="s">
        <v>363</v>
      </c>
      <c r="CA25" s="26" t="s">
        <v>363</v>
      </c>
      <c r="CB25" s="26" t="s">
        <v>363</v>
      </c>
      <c r="CC25" s="26" t="s">
        <v>363</v>
      </c>
      <c r="CD25" s="26" t="s">
        <v>363</v>
      </c>
      <c r="CE25" s="26" t="s">
        <v>363</v>
      </c>
      <c r="CF25" s="26" t="s">
        <v>363</v>
      </c>
      <c r="CG25" s="26"/>
      <c r="CH25" s="26"/>
      <c r="CI25" s="26"/>
      <c r="CJ25" s="26"/>
      <c r="CK25" s="26"/>
      <c r="CL25" s="26"/>
      <c r="CM25" s="26"/>
      <c r="CN25" s="26"/>
      <c r="CO25" s="26"/>
      <c r="CP25" s="26"/>
      <c r="CQ25" s="26"/>
      <c r="CR25" s="26"/>
      <c r="CS25" s="26"/>
      <c r="CT25" s="26"/>
      <c r="CU25" s="26"/>
      <c r="CV25" s="26"/>
      <c r="CW25" s="26"/>
      <c r="CX25" s="26"/>
      <c r="CY25" s="26"/>
      <c r="CZ25" s="26"/>
      <c r="DA25" s="26"/>
      <c r="DB25" s="26"/>
      <c r="DC25" s="26"/>
      <c r="DD25" s="26"/>
      <c r="DE25" s="26"/>
      <c r="DF25" s="26"/>
      <c r="DG25" s="26"/>
      <c r="DH25" s="26"/>
      <c r="DI25" s="26"/>
      <c r="DJ25" s="26"/>
      <c r="DK25" s="26"/>
      <c r="DL25" s="26"/>
      <c r="DM25" s="26"/>
      <c r="DN25" s="26"/>
      <c r="DO25" s="26"/>
      <c r="DP25" s="26"/>
      <c r="DQ25" s="26"/>
      <c r="DR25" s="26"/>
      <c r="DS25" s="26"/>
      <c r="DT25" s="26"/>
      <c r="DU25" s="26"/>
      <c r="DV25" s="26"/>
      <c r="DW25" s="26"/>
      <c r="DX25" s="26"/>
      <c r="DY25" s="26"/>
      <c r="DZ25" s="26"/>
      <c r="EA25" s="26"/>
      <c r="EB25" s="26"/>
      <c r="EC25" s="26"/>
      <c r="ED25" s="26"/>
      <c r="EE25" s="26"/>
      <c r="EF25" s="26"/>
      <c r="EG25" s="26"/>
      <c r="EH25" s="26"/>
      <c r="EI25" s="26"/>
      <c r="EJ25" s="26"/>
      <c r="EK25" s="26"/>
      <c r="EL25" s="26"/>
      <c r="EM25" s="26"/>
      <c r="EN25" s="26"/>
      <c r="EO25" s="26"/>
      <c r="EP25" s="26"/>
      <c r="EQ25" s="26"/>
      <c r="ER25" s="26"/>
      <c r="ES25" s="26"/>
      <c r="ET25" s="26"/>
      <c r="EU25" s="26"/>
      <c r="EV25" s="26"/>
      <c r="EW25" s="26"/>
      <c r="EX25" s="26"/>
      <c r="EY25" s="26"/>
      <c r="EZ25" s="26"/>
    </row>
    <row r="26" spans="1:156" x14ac:dyDescent="0.2">
      <c r="A26" s="25" t="s">
        <v>378</v>
      </c>
      <c r="C26" s="26" t="s">
        <v>363</v>
      </c>
      <c r="D26" s="26"/>
      <c r="E26" s="26" t="s">
        <v>363</v>
      </c>
      <c r="F26" s="26"/>
      <c r="G26" s="26" t="s">
        <v>363</v>
      </c>
      <c r="H26" s="26"/>
      <c r="I26" s="26" t="s">
        <v>363</v>
      </c>
      <c r="J26" s="26"/>
      <c r="K26" s="26" t="s">
        <v>363</v>
      </c>
      <c r="L26" s="26"/>
      <c r="M26" s="26" t="s">
        <v>363</v>
      </c>
      <c r="N26" s="26" t="s">
        <v>363</v>
      </c>
      <c r="O26" s="26"/>
      <c r="P26" s="26" t="s">
        <v>363</v>
      </c>
      <c r="Q26" s="26" t="s">
        <v>363</v>
      </c>
      <c r="R26" s="26" t="s">
        <v>363</v>
      </c>
      <c r="S26" s="26"/>
      <c r="T26" s="26" t="s">
        <v>363</v>
      </c>
      <c r="U26" s="26" t="s">
        <v>363</v>
      </c>
      <c r="V26" s="26" t="s">
        <v>363</v>
      </c>
      <c r="W26" s="26" t="s">
        <v>363</v>
      </c>
      <c r="X26" s="26" t="s">
        <v>363</v>
      </c>
      <c r="Y26" s="26" t="s">
        <v>363</v>
      </c>
      <c r="Z26" s="26" t="s">
        <v>363</v>
      </c>
      <c r="AA26" s="26" t="s">
        <v>363</v>
      </c>
      <c r="AB26" s="26" t="s">
        <v>363</v>
      </c>
      <c r="AC26" s="26" t="s">
        <v>363</v>
      </c>
      <c r="AD26" s="26" t="s">
        <v>363</v>
      </c>
      <c r="AE26" s="26" t="s">
        <v>363</v>
      </c>
      <c r="AF26" s="26" t="s">
        <v>363</v>
      </c>
      <c r="AG26" s="26" t="s">
        <v>363</v>
      </c>
      <c r="AH26" s="26"/>
      <c r="AI26" s="26" t="s">
        <v>363</v>
      </c>
      <c r="AJ26" s="26" t="s">
        <v>363</v>
      </c>
      <c r="AK26" s="26" t="s">
        <v>363</v>
      </c>
      <c r="AL26" s="26" t="s">
        <v>363</v>
      </c>
      <c r="AM26" s="26" t="s">
        <v>363</v>
      </c>
      <c r="AN26" s="26" t="s">
        <v>363</v>
      </c>
      <c r="AO26" s="26"/>
      <c r="AP26" s="26" t="s">
        <v>363</v>
      </c>
      <c r="AQ26" s="26"/>
      <c r="AR26" s="26" t="s">
        <v>363</v>
      </c>
      <c r="AS26" s="26"/>
      <c r="AT26" s="26" t="s">
        <v>363</v>
      </c>
      <c r="AU26" s="26" t="s">
        <v>363</v>
      </c>
      <c r="AV26" s="26" t="s">
        <v>363</v>
      </c>
      <c r="AW26" s="26" t="s">
        <v>363</v>
      </c>
      <c r="AX26" s="26" t="s">
        <v>363</v>
      </c>
      <c r="AY26" s="26" t="s">
        <v>363</v>
      </c>
      <c r="AZ26" s="26" t="s">
        <v>363</v>
      </c>
      <c r="BA26" s="26"/>
      <c r="BB26" s="26" t="s">
        <v>363</v>
      </c>
      <c r="BC26" s="26" t="s">
        <v>363</v>
      </c>
      <c r="BD26" s="26" t="s">
        <v>363</v>
      </c>
      <c r="BE26" s="26" t="s">
        <v>363</v>
      </c>
      <c r="BF26" s="26" t="s">
        <v>363</v>
      </c>
      <c r="BG26" s="26" t="s">
        <v>363</v>
      </c>
      <c r="BH26" s="26" t="s">
        <v>363</v>
      </c>
      <c r="BI26" s="26" t="s">
        <v>363</v>
      </c>
      <c r="BJ26" s="26" t="s">
        <v>363</v>
      </c>
      <c r="BK26" s="26" t="s">
        <v>363</v>
      </c>
      <c r="BL26" s="26" t="s">
        <v>363</v>
      </c>
      <c r="BM26" s="26" t="s">
        <v>363</v>
      </c>
      <c r="BN26" s="26" t="s">
        <v>363</v>
      </c>
      <c r="BO26" s="26" t="s">
        <v>363</v>
      </c>
      <c r="BP26" s="26" t="s">
        <v>363</v>
      </c>
      <c r="BQ26" s="26" t="s">
        <v>363</v>
      </c>
      <c r="BR26" s="26" t="s">
        <v>363</v>
      </c>
      <c r="BS26" s="26" t="s">
        <v>363</v>
      </c>
      <c r="BT26" s="26" t="s">
        <v>363</v>
      </c>
      <c r="BU26" s="26" t="s">
        <v>363</v>
      </c>
      <c r="BV26" s="26" t="s">
        <v>363</v>
      </c>
      <c r="BW26" s="26" t="s">
        <v>363</v>
      </c>
      <c r="BX26" s="26" t="s">
        <v>363</v>
      </c>
      <c r="BY26" s="26" t="s">
        <v>363</v>
      </c>
      <c r="BZ26" s="26" t="s">
        <v>363</v>
      </c>
      <c r="CA26" s="26" t="s">
        <v>363</v>
      </c>
      <c r="CB26" s="26" t="s">
        <v>363</v>
      </c>
      <c r="CC26" s="26" t="s">
        <v>363</v>
      </c>
      <c r="CD26" s="26" t="s">
        <v>363</v>
      </c>
      <c r="CE26" s="26" t="s">
        <v>363</v>
      </c>
      <c r="CF26" s="26" t="s">
        <v>363</v>
      </c>
      <c r="CG26" s="26"/>
      <c r="CH26" s="26"/>
      <c r="CI26" s="26"/>
      <c r="CJ26" s="26"/>
      <c r="CK26" s="26"/>
      <c r="CL26" s="26"/>
      <c r="CM26" s="26"/>
      <c r="CN26" s="26"/>
      <c r="CO26" s="26"/>
      <c r="CP26" s="26"/>
      <c r="CQ26" s="26"/>
      <c r="CR26" s="26"/>
      <c r="CS26" s="26"/>
      <c r="CT26" s="26"/>
      <c r="CU26" s="26"/>
      <c r="CV26" s="26"/>
      <c r="CW26" s="26"/>
      <c r="CX26" s="26"/>
      <c r="CY26" s="26"/>
      <c r="CZ26" s="26"/>
      <c r="DA26" s="26"/>
      <c r="DB26" s="26"/>
      <c r="DC26" s="26"/>
      <c r="DD26" s="26"/>
      <c r="DE26" s="26"/>
      <c r="DF26" s="26"/>
      <c r="DG26" s="26"/>
      <c r="DH26" s="26"/>
      <c r="DI26" s="26"/>
      <c r="DJ26" s="26"/>
      <c r="DK26" s="26"/>
      <c r="DL26" s="26"/>
      <c r="DM26" s="26"/>
      <c r="DN26" s="26"/>
      <c r="DO26" s="26"/>
      <c r="DP26" s="26"/>
      <c r="DQ26" s="26"/>
      <c r="DR26" s="26"/>
      <c r="DS26" s="26"/>
      <c r="DT26" s="26"/>
      <c r="DU26" s="26"/>
      <c r="DV26" s="26"/>
      <c r="DW26" s="26"/>
      <c r="DX26" s="26"/>
      <c r="DY26" s="26"/>
      <c r="DZ26" s="26"/>
      <c r="EA26" s="26"/>
      <c r="EB26" s="26"/>
      <c r="EC26" s="26"/>
      <c r="ED26" s="26"/>
      <c r="EE26" s="26"/>
      <c r="EF26" s="26"/>
      <c r="EG26" s="26"/>
      <c r="EH26" s="26"/>
      <c r="EI26" s="26"/>
      <c r="EJ26" s="26"/>
      <c r="EK26" s="26"/>
      <c r="EL26" s="26"/>
      <c r="EM26" s="26"/>
      <c r="EN26" s="26"/>
      <c r="EO26" s="26"/>
      <c r="EP26" s="26"/>
      <c r="EQ26" s="26"/>
      <c r="ER26" s="26"/>
      <c r="ES26" s="26"/>
      <c r="ET26" s="26"/>
      <c r="EU26" s="26"/>
      <c r="EV26" s="26"/>
      <c r="EW26" s="26"/>
      <c r="EX26" s="26"/>
      <c r="EY26" s="26"/>
      <c r="EZ26" s="26"/>
    </row>
    <row r="27" spans="1:156" x14ac:dyDescent="0.2">
      <c r="A27" s="25" t="s">
        <v>327</v>
      </c>
      <c r="C27" s="26" t="s">
        <v>363</v>
      </c>
      <c r="D27" s="26"/>
      <c r="E27" s="26" t="s">
        <v>363</v>
      </c>
      <c r="F27" s="26"/>
      <c r="G27" s="26" t="s">
        <v>363</v>
      </c>
      <c r="H27" s="26"/>
      <c r="I27" s="26" t="s">
        <v>363</v>
      </c>
      <c r="J27" s="26"/>
      <c r="K27" s="26" t="s">
        <v>363</v>
      </c>
      <c r="L27" s="26"/>
      <c r="M27" s="26" t="s">
        <v>363</v>
      </c>
      <c r="N27" s="26" t="s">
        <v>363</v>
      </c>
      <c r="O27" s="26"/>
      <c r="P27" s="26" t="s">
        <v>363</v>
      </c>
      <c r="Q27" s="26" t="s">
        <v>363</v>
      </c>
      <c r="R27" s="26" t="s">
        <v>363</v>
      </c>
      <c r="S27" s="26"/>
      <c r="T27" s="26" t="s">
        <v>363</v>
      </c>
      <c r="U27" s="26" t="s">
        <v>363</v>
      </c>
      <c r="V27" s="26" t="s">
        <v>363</v>
      </c>
      <c r="W27" s="26" t="s">
        <v>363</v>
      </c>
      <c r="X27" s="26" t="s">
        <v>363</v>
      </c>
      <c r="Y27" s="26" t="s">
        <v>363</v>
      </c>
      <c r="Z27" s="26" t="s">
        <v>363</v>
      </c>
      <c r="AA27" s="26" t="s">
        <v>363</v>
      </c>
      <c r="AB27" s="26" t="s">
        <v>363</v>
      </c>
      <c r="AC27" s="26" t="s">
        <v>363</v>
      </c>
      <c r="AD27" s="26" t="s">
        <v>363</v>
      </c>
      <c r="AE27" s="26" t="s">
        <v>363</v>
      </c>
      <c r="AF27" s="26" t="s">
        <v>363</v>
      </c>
      <c r="AG27" s="26" t="s">
        <v>363</v>
      </c>
      <c r="AH27" s="26"/>
      <c r="AI27" s="26" t="s">
        <v>363</v>
      </c>
      <c r="AJ27" s="26" t="s">
        <v>363</v>
      </c>
      <c r="AK27" s="26" t="s">
        <v>363</v>
      </c>
      <c r="AL27" s="26" t="s">
        <v>363</v>
      </c>
      <c r="AM27" s="26" t="s">
        <v>363</v>
      </c>
      <c r="AN27" s="26" t="s">
        <v>363</v>
      </c>
      <c r="AO27" s="26"/>
      <c r="AP27" s="26" t="s">
        <v>363</v>
      </c>
      <c r="AQ27" s="26"/>
      <c r="AR27" s="26" t="s">
        <v>363</v>
      </c>
      <c r="AS27" s="26"/>
      <c r="AT27" s="26" t="s">
        <v>363</v>
      </c>
      <c r="AU27" s="26" t="s">
        <v>363</v>
      </c>
      <c r="AV27" s="26" t="s">
        <v>363</v>
      </c>
      <c r="AW27" s="26" t="s">
        <v>363</v>
      </c>
      <c r="AX27" s="26" t="s">
        <v>363</v>
      </c>
      <c r="AY27" s="26" t="s">
        <v>363</v>
      </c>
      <c r="AZ27" s="26" t="s">
        <v>363</v>
      </c>
      <c r="BA27" s="26"/>
      <c r="BB27" s="26" t="s">
        <v>363</v>
      </c>
      <c r="BC27" s="26" t="s">
        <v>363</v>
      </c>
      <c r="BD27" s="26" t="s">
        <v>363</v>
      </c>
      <c r="BE27" s="26" t="s">
        <v>363</v>
      </c>
      <c r="BF27" s="26" t="s">
        <v>363</v>
      </c>
      <c r="BG27" s="26" t="s">
        <v>363</v>
      </c>
      <c r="BH27" s="26" t="s">
        <v>363</v>
      </c>
      <c r="BI27" s="26" t="s">
        <v>363</v>
      </c>
      <c r="BJ27" s="26" t="s">
        <v>363</v>
      </c>
      <c r="BK27" s="26" t="s">
        <v>363</v>
      </c>
      <c r="BL27" s="26" t="s">
        <v>363</v>
      </c>
      <c r="BM27" s="26" t="s">
        <v>363</v>
      </c>
      <c r="BN27" s="26" t="s">
        <v>363</v>
      </c>
      <c r="BO27" s="26" t="s">
        <v>363</v>
      </c>
      <c r="BP27" s="26" t="s">
        <v>363</v>
      </c>
      <c r="BQ27" s="26" t="s">
        <v>363</v>
      </c>
      <c r="BR27" s="26" t="s">
        <v>363</v>
      </c>
      <c r="BS27" s="26" t="s">
        <v>363</v>
      </c>
      <c r="BT27" s="26" t="s">
        <v>363</v>
      </c>
      <c r="BU27" s="26" t="s">
        <v>363</v>
      </c>
      <c r="BV27" s="26" t="s">
        <v>363</v>
      </c>
      <c r="BW27" s="26" t="s">
        <v>363</v>
      </c>
      <c r="BX27" s="26" t="s">
        <v>363</v>
      </c>
      <c r="BY27" s="26" t="s">
        <v>363</v>
      </c>
      <c r="BZ27" s="26" t="s">
        <v>363</v>
      </c>
      <c r="CA27" s="26" t="s">
        <v>363</v>
      </c>
      <c r="CB27" s="26" t="s">
        <v>363</v>
      </c>
      <c r="CC27" s="26" t="s">
        <v>363</v>
      </c>
      <c r="CD27" s="26" t="s">
        <v>363</v>
      </c>
      <c r="CE27" s="26" t="s">
        <v>363</v>
      </c>
      <c r="CF27" s="26" t="s">
        <v>363</v>
      </c>
      <c r="CG27" s="26"/>
      <c r="CH27" s="26"/>
      <c r="CI27" s="26"/>
      <c r="CJ27" s="26"/>
      <c r="CK27" s="26"/>
      <c r="CL27" s="26"/>
      <c r="CM27" s="26"/>
      <c r="CN27" s="26"/>
      <c r="CO27" s="26"/>
      <c r="CP27" s="26"/>
      <c r="CQ27" s="26"/>
      <c r="CR27" s="26"/>
      <c r="CS27" s="26"/>
      <c r="CT27" s="26"/>
      <c r="CU27" s="26"/>
      <c r="CV27" s="26"/>
      <c r="CW27" s="26"/>
      <c r="CX27" s="26"/>
      <c r="CY27" s="26"/>
      <c r="CZ27" s="26"/>
      <c r="DA27" s="26"/>
      <c r="DB27" s="26"/>
      <c r="DC27" s="26"/>
      <c r="DD27" s="26"/>
      <c r="DE27" s="26"/>
      <c r="DF27" s="26"/>
      <c r="DG27" s="26"/>
      <c r="DH27" s="26"/>
      <c r="DI27" s="26"/>
      <c r="DJ27" s="26"/>
      <c r="DK27" s="26"/>
      <c r="DL27" s="26"/>
      <c r="DM27" s="26"/>
      <c r="DN27" s="26"/>
      <c r="DO27" s="26"/>
      <c r="DP27" s="26"/>
      <c r="DQ27" s="26"/>
      <c r="DR27" s="26"/>
      <c r="DS27" s="26"/>
      <c r="DT27" s="26"/>
      <c r="DU27" s="26"/>
      <c r="DV27" s="26"/>
      <c r="DW27" s="26"/>
      <c r="DX27" s="26"/>
      <c r="DY27" s="26"/>
      <c r="DZ27" s="26"/>
      <c r="EA27" s="26"/>
      <c r="EB27" s="26"/>
      <c r="EC27" s="26"/>
      <c r="ED27" s="26"/>
      <c r="EE27" s="26"/>
      <c r="EF27" s="26"/>
      <c r="EG27" s="26"/>
      <c r="EH27" s="26"/>
      <c r="EI27" s="26"/>
      <c r="EJ27" s="26"/>
      <c r="EK27" s="26"/>
      <c r="EL27" s="26"/>
      <c r="EM27" s="26"/>
      <c r="EN27" s="26"/>
      <c r="EO27" s="26"/>
      <c r="EP27" s="26"/>
      <c r="EQ27" s="26"/>
      <c r="ER27" s="26"/>
      <c r="ES27" s="26"/>
      <c r="ET27" s="26"/>
      <c r="EU27" s="26"/>
      <c r="EV27" s="26"/>
      <c r="EW27" s="26"/>
      <c r="EX27" s="26"/>
      <c r="EY27" s="26"/>
      <c r="EZ27" s="26"/>
    </row>
    <row r="28" spans="1:156" x14ac:dyDescent="0.2">
      <c r="A28" s="25" t="s">
        <v>379</v>
      </c>
      <c r="C28" s="26" t="s">
        <v>363</v>
      </c>
      <c r="D28" s="26"/>
      <c r="E28" s="26" t="s">
        <v>363</v>
      </c>
      <c r="F28" s="26"/>
      <c r="G28" s="26" t="s">
        <v>363</v>
      </c>
      <c r="H28" s="26"/>
      <c r="I28" s="26" t="s">
        <v>363</v>
      </c>
      <c r="J28" s="26"/>
      <c r="K28" s="26" t="s">
        <v>363</v>
      </c>
      <c r="L28" s="26"/>
      <c r="M28" s="26" t="s">
        <v>363</v>
      </c>
      <c r="N28" s="26" t="s">
        <v>363</v>
      </c>
      <c r="O28" s="26"/>
      <c r="P28" s="26" t="s">
        <v>363</v>
      </c>
      <c r="Q28" s="26" t="s">
        <v>363</v>
      </c>
      <c r="R28" s="26" t="s">
        <v>363</v>
      </c>
      <c r="S28" s="26"/>
      <c r="T28" s="26" t="s">
        <v>363</v>
      </c>
      <c r="U28" s="26" t="s">
        <v>363</v>
      </c>
      <c r="V28" s="26" t="s">
        <v>363</v>
      </c>
      <c r="W28" s="26" t="s">
        <v>363</v>
      </c>
      <c r="X28" s="26" t="s">
        <v>363</v>
      </c>
      <c r="Y28" s="26" t="s">
        <v>363</v>
      </c>
      <c r="Z28" s="26" t="s">
        <v>363</v>
      </c>
      <c r="AA28" s="26" t="s">
        <v>363</v>
      </c>
      <c r="AB28" s="26" t="s">
        <v>363</v>
      </c>
      <c r="AC28" s="26" t="s">
        <v>363</v>
      </c>
      <c r="AD28" s="26" t="s">
        <v>363</v>
      </c>
      <c r="AE28" s="26" t="s">
        <v>363</v>
      </c>
      <c r="AF28" s="26" t="s">
        <v>363</v>
      </c>
      <c r="AG28" s="26" t="s">
        <v>363</v>
      </c>
      <c r="AH28" s="26"/>
      <c r="AI28" s="26" t="s">
        <v>363</v>
      </c>
      <c r="AJ28" s="26" t="s">
        <v>363</v>
      </c>
      <c r="AK28" s="26" t="s">
        <v>363</v>
      </c>
      <c r="AL28" s="26" t="s">
        <v>363</v>
      </c>
      <c r="AM28" s="26" t="s">
        <v>363</v>
      </c>
      <c r="AN28" s="26" t="s">
        <v>363</v>
      </c>
      <c r="AO28" s="26"/>
      <c r="AP28" s="26" t="s">
        <v>363</v>
      </c>
      <c r="AQ28" s="26"/>
      <c r="AR28" s="26" t="s">
        <v>363</v>
      </c>
      <c r="AS28" s="26"/>
      <c r="AT28" s="26" t="s">
        <v>363</v>
      </c>
      <c r="AU28" s="26" t="s">
        <v>363</v>
      </c>
      <c r="AV28" s="26" t="s">
        <v>363</v>
      </c>
      <c r="AW28" s="26" t="s">
        <v>363</v>
      </c>
      <c r="AX28" s="26" t="s">
        <v>363</v>
      </c>
      <c r="AY28" s="26" t="s">
        <v>363</v>
      </c>
      <c r="AZ28" s="26" t="s">
        <v>363</v>
      </c>
      <c r="BA28" s="26"/>
      <c r="BB28" s="26" t="s">
        <v>363</v>
      </c>
      <c r="BC28" s="26" t="s">
        <v>363</v>
      </c>
      <c r="BD28" s="26" t="s">
        <v>363</v>
      </c>
      <c r="BE28" s="26" t="s">
        <v>363</v>
      </c>
      <c r="BF28" s="26" t="s">
        <v>363</v>
      </c>
      <c r="BG28" s="26" t="s">
        <v>363</v>
      </c>
      <c r="BH28" s="26" t="s">
        <v>363</v>
      </c>
      <c r="BI28" s="26" t="s">
        <v>363</v>
      </c>
      <c r="BJ28" s="26" t="s">
        <v>363</v>
      </c>
      <c r="BK28" s="26" t="s">
        <v>363</v>
      </c>
      <c r="BL28" s="26" t="s">
        <v>363</v>
      </c>
      <c r="BM28" s="26" t="s">
        <v>363</v>
      </c>
      <c r="BN28" s="26" t="s">
        <v>363</v>
      </c>
      <c r="BO28" s="26" t="s">
        <v>363</v>
      </c>
      <c r="BP28" s="26" t="s">
        <v>363</v>
      </c>
      <c r="BQ28" s="26" t="s">
        <v>363</v>
      </c>
      <c r="BR28" s="26" t="s">
        <v>363</v>
      </c>
      <c r="BS28" s="26" t="s">
        <v>363</v>
      </c>
      <c r="BT28" s="26" t="s">
        <v>363</v>
      </c>
      <c r="BU28" s="26" t="s">
        <v>363</v>
      </c>
      <c r="BV28" s="26" t="s">
        <v>363</v>
      </c>
      <c r="BW28" s="26" t="s">
        <v>363</v>
      </c>
      <c r="BX28" s="26" t="s">
        <v>363</v>
      </c>
      <c r="BY28" s="26" t="s">
        <v>363</v>
      </c>
      <c r="BZ28" s="26" t="s">
        <v>363</v>
      </c>
      <c r="CA28" s="26" t="s">
        <v>363</v>
      </c>
      <c r="CB28" s="26" t="s">
        <v>363</v>
      </c>
      <c r="CC28" s="26" t="s">
        <v>363</v>
      </c>
      <c r="CD28" s="26" t="s">
        <v>363</v>
      </c>
      <c r="CE28" s="26" t="s">
        <v>363</v>
      </c>
      <c r="CF28" s="26" t="s">
        <v>363</v>
      </c>
      <c r="CG28" s="26"/>
      <c r="CH28" s="26"/>
      <c r="CI28" s="26"/>
      <c r="CJ28" s="26"/>
      <c r="CK28" s="26"/>
      <c r="CL28" s="26"/>
      <c r="CM28" s="26"/>
      <c r="CN28" s="26"/>
      <c r="CO28" s="26"/>
      <c r="CP28" s="26"/>
      <c r="CQ28" s="26"/>
      <c r="CR28" s="26"/>
      <c r="CS28" s="26"/>
      <c r="CT28" s="26"/>
      <c r="CU28" s="26"/>
      <c r="CV28" s="26"/>
      <c r="CW28" s="26"/>
      <c r="CX28" s="26"/>
      <c r="CY28" s="26"/>
      <c r="CZ28" s="26"/>
      <c r="DA28" s="26"/>
      <c r="DB28" s="26"/>
      <c r="DC28" s="26"/>
      <c r="DD28" s="26"/>
      <c r="DE28" s="26"/>
      <c r="DF28" s="26"/>
      <c r="DG28" s="26"/>
      <c r="DH28" s="26"/>
      <c r="DI28" s="26"/>
      <c r="DJ28" s="26"/>
      <c r="DK28" s="26"/>
      <c r="DL28" s="26"/>
      <c r="DM28" s="26"/>
      <c r="DN28" s="26"/>
      <c r="DO28" s="26"/>
      <c r="DP28" s="26"/>
      <c r="DQ28" s="26"/>
      <c r="DR28" s="26"/>
      <c r="DS28" s="26"/>
      <c r="DT28" s="26"/>
      <c r="DU28" s="26"/>
      <c r="DV28" s="26"/>
      <c r="DW28" s="26"/>
      <c r="DX28" s="26"/>
      <c r="DY28" s="26"/>
      <c r="DZ28" s="26"/>
      <c r="EA28" s="26"/>
      <c r="EB28" s="26"/>
      <c r="EC28" s="26"/>
      <c r="ED28" s="26"/>
      <c r="EE28" s="26"/>
      <c r="EF28" s="26"/>
      <c r="EG28" s="26"/>
      <c r="EH28" s="26"/>
      <c r="EI28" s="26"/>
      <c r="EJ28" s="26"/>
      <c r="EK28" s="26"/>
      <c r="EL28" s="26"/>
      <c r="EM28" s="26"/>
      <c r="EN28" s="26"/>
      <c r="EO28" s="26"/>
      <c r="EP28" s="26"/>
      <c r="EQ28" s="26"/>
      <c r="ER28" s="26"/>
      <c r="ES28" s="26"/>
      <c r="ET28" s="26"/>
      <c r="EU28" s="26"/>
      <c r="EV28" s="26"/>
      <c r="EW28" s="26"/>
      <c r="EX28" s="26"/>
      <c r="EY28" s="26"/>
      <c r="EZ28" s="26"/>
    </row>
    <row r="29" spans="1:156" x14ac:dyDescent="0.2">
      <c r="A29" s="25" t="s">
        <v>380</v>
      </c>
      <c r="C29" s="26" t="s">
        <v>363</v>
      </c>
      <c r="D29" s="26"/>
      <c r="E29" s="26" t="s">
        <v>363</v>
      </c>
      <c r="F29" s="26"/>
      <c r="G29" s="26" t="s">
        <v>363</v>
      </c>
      <c r="H29" s="26"/>
      <c r="I29" s="26" t="s">
        <v>363</v>
      </c>
      <c r="J29" s="26"/>
      <c r="K29" s="26" t="s">
        <v>363</v>
      </c>
      <c r="L29" s="26"/>
      <c r="M29" s="26" t="s">
        <v>363</v>
      </c>
      <c r="N29" s="26" t="s">
        <v>363</v>
      </c>
      <c r="O29" s="26"/>
      <c r="P29" s="26" t="s">
        <v>363</v>
      </c>
      <c r="Q29" s="26" t="s">
        <v>363</v>
      </c>
      <c r="R29" s="26" t="s">
        <v>363</v>
      </c>
      <c r="S29" s="26"/>
      <c r="T29" s="26" t="s">
        <v>363</v>
      </c>
      <c r="U29" s="26" t="s">
        <v>363</v>
      </c>
      <c r="V29" s="26" t="s">
        <v>363</v>
      </c>
      <c r="W29" s="26" t="s">
        <v>363</v>
      </c>
      <c r="X29" s="26" t="s">
        <v>363</v>
      </c>
      <c r="Y29" s="26" t="s">
        <v>363</v>
      </c>
      <c r="Z29" s="26" t="s">
        <v>363</v>
      </c>
      <c r="AA29" s="26" t="s">
        <v>363</v>
      </c>
      <c r="AB29" s="26" t="s">
        <v>363</v>
      </c>
      <c r="AC29" s="26" t="s">
        <v>363</v>
      </c>
      <c r="AD29" s="26" t="s">
        <v>363</v>
      </c>
      <c r="AE29" s="26" t="s">
        <v>363</v>
      </c>
      <c r="AF29" s="26" t="s">
        <v>363</v>
      </c>
      <c r="AG29" s="26" t="s">
        <v>363</v>
      </c>
      <c r="AH29" s="26"/>
      <c r="AI29" s="26" t="s">
        <v>363</v>
      </c>
      <c r="AJ29" s="26" t="s">
        <v>363</v>
      </c>
      <c r="AK29" s="26" t="s">
        <v>363</v>
      </c>
      <c r="AL29" s="26" t="s">
        <v>363</v>
      </c>
      <c r="AM29" s="26" t="s">
        <v>363</v>
      </c>
      <c r="AN29" s="26" t="s">
        <v>363</v>
      </c>
      <c r="AO29" s="26"/>
      <c r="AP29" s="26" t="s">
        <v>363</v>
      </c>
      <c r="AQ29" s="26"/>
      <c r="AR29" s="26" t="s">
        <v>363</v>
      </c>
      <c r="AS29" s="26"/>
      <c r="AT29" s="26" t="s">
        <v>363</v>
      </c>
      <c r="AU29" s="26" t="s">
        <v>363</v>
      </c>
      <c r="AV29" s="26" t="s">
        <v>363</v>
      </c>
      <c r="AW29" s="26" t="s">
        <v>363</v>
      </c>
      <c r="AX29" s="26" t="s">
        <v>363</v>
      </c>
      <c r="AY29" s="26" t="s">
        <v>363</v>
      </c>
      <c r="AZ29" s="26" t="s">
        <v>363</v>
      </c>
      <c r="BA29" s="26"/>
      <c r="BB29" s="26" t="s">
        <v>363</v>
      </c>
      <c r="BC29" s="26" t="s">
        <v>363</v>
      </c>
      <c r="BD29" s="26" t="s">
        <v>363</v>
      </c>
      <c r="BE29" s="26" t="s">
        <v>363</v>
      </c>
      <c r="BF29" s="26" t="s">
        <v>363</v>
      </c>
      <c r="BG29" s="26" t="s">
        <v>363</v>
      </c>
      <c r="BH29" s="26" t="s">
        <v>363</v>
      </c>
      <c r="BI29" s="26" t="s">
        <v>363</v>
      </c>
      <c r="BJ29" s="26" t="s">
        <v>363</v>
      </c>
      <c r="BK29" s="26" t="s">
        <v>363</v>
      </c>
      <c r="BL29" s="26" t="s">
        <v>363</v>
      </c>
      <c r="BM29" s="26" t="s">
        <v>363</v>
      </c>
      <c r="BN29" s="26" t="s">
        <v>363</v>
      </c>
      <c r="BO29" s="26" t="s">
        <v>363</v>
      </c>
      <c r="BP29" s="26" t="s">
        <v>363</v>
      </c>
      <c r="BQ29" s="26" t="s">
        <v>363</v>
      </c>
      <c r="BR29" s="26" t="s">
        <v>363</v>
      </c>
      <c r="BS29" s="26" t="s">
        <v>363</v>
      </c>
      <c r="BT29" s="26" t="s">
        <v>363</v>
      </c>
      <c r="BU29" s="26" t="s">
        <v>363</v>
      </c>
      <c r="BV29" s="26" t="s">
        <v>363</v>
      </c>
      <c r="BW29" s="26" t="s">
        <v>363</v>
      </c>
      <c r="BX29" s="26" t="s">
        <v>363</v>
      </c>
      <c r="BY29" s="26" t="s">
        <v>363</v>
      </c>
      <c r="BZ29" s="26" t="s">
        <v>363</v>
      </c>
      <c r="CA29" s="26" t="s">
        <v>363</v>
      </c>
      <c r="CB29" s="26" t="s">
        <v>363</v>
      </c>
      <c r="CC29" s="26" t="s">
        <v>363</v>
      </c>
      <c r="CD29" s="26" t="s">
        <v>363</v>
      </c>
      <c r="CE29" s="26" t="s">
        <v>363</v>
      </c>
      <c r="CF29" s="26" t="s">
        <v>363</v>
      </c>
      <c r="CG29" s="26"/>
      <c r="CH29" s="26"/>
      <c r="CI29" s="26"/>
      <c r="CJ29" s="26"/>
      <c r="CK29" s="26"/>
      <c r="CL29" s="26"/>
      <c r="CM29" s="26"/>
      <c r="CN29" s="26"/>
      <c r="CO29" s="26"/>
      <c r="CP29" s="26"/>
      <c r="CQ29" s="26"/>
      <c r="CR29" s="26"/>
      <c r="CS29" s="26"/>
      <c r="CT29" s="26"/>
      <c r="CU29" s="26"/>
      <c r="CV29" s="26"/>
      <c r="CW29" s="26"/>
      <c r="CX29" s="26"/>
      <c r="CY29" s="26"/>
      <c r="CZ29" s="26"/>
      <c r="DA29" s="26"/>
      <c r="DB29" s="26"/>
      <c r="DC29" s="26"/>
      <c r="DD29" s="26"/>
      <c r="DE29" s="26"/>
      <c r="DF29" s="26"/>
      <c r="DG29" s="26"/>
      <c r="DH29" s="26"/>
      <c r="DI29" s="26"/>
      <c r="DJ29" s="26"/>
      <c r="DK29" s="26"/>
      <c r="DL29" s="26"/>
      <c r="DM29" s="26"/>
      <c r="DN29" s="26"/>
      <c r="DO29" s="26"/>
      <c r="DP29" s="26"/>
      <c r="DQ29" s="26"/>
      <c r="DR29" s="26"/>
      <c r="DS29" s="26"/>
      <c r="DT29" s="26"/>
      <c r="DU29" s="26"/>
      <c r="DV29" s="26"/>
      <c r="DW29" s="26"/>
      <c r="DX29" s="26"/>
      <c r="DY29" s="26"/>
      <c r="DZ29" s="26"/>
      <c r="EA29" s="26"/>
      <c r="EB29" s="26"/>
      <c r="EC29" s="26"/>
      <c r="ED29" s="26"/>
      <c r="EE29" s="26"/>
      <c r="EF29" s="26"/>
      <c r="EG29" s="26"/>
      <c r="EH29" s="26"/>
      <c r="EI29" s="26"/>
      <c r="EJ29" s="26"/>
      <c r="EK29" s="26"/>
      <c r="EL29" s="26"/>
      <c r="EM29" s="26"/>
      <c r="EN29" s="26"/>
      <c r="EO29" s="26"/>
      <c r="EP29" s="26"/>
      <c r="EQ29" s="26"/>
      <c r="ER29" s="26"/>
      <c r="ES29" s="26"/>
      <c r="ET29" s="26"/>
      <c r="EU29" s="26"/>
      <c r="EV29" s="26"/>
      <c r="EW29" s="26"/>
      <c r="EX29" s="26"/>
      <c r="EY29" s="26"/>
      <c r="EZ29" s="26"/>
    </row>
    <row r="30" spans="1:156" x14ac:dyDescent="0.2">
      <c r="A30" s="25" t="s">
        <v>381</v>
      </c>
      <c r="C30" s="26" t="s">
        <v>363</v>
      </c>
      <c r="D30" s="26"/>
      <c r="E30" s="26" t="s">
        <v>363</v>
      </c>
      <c r="F30" s="26"/>
      <c r="G30" s="26" t="s">
        <v>363</v>
      </c>
      <c r="H30" s="26"/>
      <c r="I30" s="26" t="s">
        <v>363</v>
      </c>
      <c r="J30" s="26"/>
      <c r="K30" s="26" t="s">
        <v>363</v>
      </c>
      <c r="L30" s="26"/>
      <c r="M30" s="26" t="s">
        <v>363</v>
      </c>
      <c r="N30" s="26" t="s">
        <v>363</v>
      </c>
      <c r="O30" s="26"/>
      <c r="P30" s="26" t="s">
        <v>363</v>
      </c>
      <c r="Q30" s="26" t="s">
        <v>363</v>
      </c>
      <c r="R30" s="26" t="s">
        <v>363</v>
      </c>
      <c r="S30" s="26"/>
      <c r="T30" s="26" t="s">
        <v>363</v>
      </c>
      <c r="U30" s="26" t="s">
        <v>363</v>
      </c>
      <c r="V30" s="26" t="s">
        <v>363</v>
      </c>
      <c r="W30" s="26" t="s">
        <v>363</v>
      </c>
      <c r="X30" s="26" t="s">
        <v>363</v>
      </c>
      <c r="Y30" s="26" t="s">
        <v>363</v>
      </c>
      <c r="Z30" s="26" t="s">
        <v>363</v>
      </c>
      <c r="AA30" s="26" t="s">
        <v>363</v>
      </c>
      <c r="AB30" s="26" t="s">
        <v>363</v>
      </c>
      <c r="AC30" s="26" t="s">
        <v>363</v>
      </c>
      <c r="AD30" s="26" t="s">
        <v>363</v>
      </c>
      <c r="AE30" s="26" t="s">
        <v>363</v>
      </c>
      <c r="AF30" s="26" t="s">
        <v>363</v>
      </c>
      <c r="AG30" s="26" t="s">
        <v>363</v>
      </c>
      <c r="AH30" s="26"/>
      <c r="AI30" s="26" t="s">
        <v>363</v>
      </c>
      <c r="AJ30" s="26" t="s">
        <v>363</v>
      </c>
      <c r="AK30" s="26" t="s">
        <v>363</v>
      </c>
      <c r="AL30" s="26" t="s">
        <v>363</v>
      </c>
      <c r="AM30" s="26" t="s">
        <v>363</v>
      </c>
      <c r="AN30" s="26" t="s">
        <v>363</v>
      </c>
      <c r="AO30" s="26"/>
      <c r="AP30" s="26" t="s">
        <v>363</v>
      </c>
      <c r="AQ30" s="26"/>
      <c r="AR30" s="26" t="s">
        <v>363</v>
      </c>
      <c r="AS30" s="26"/>
      <c r="AT30" s="26" t="s">
        <v>363</v>
      </c>
      <c r="AU30" s="26" t="s">
        <v>363</v>
      </c>
      <c r="AV30" s="26" t="s">
        <v>363</v>
      </c>
      <c r="AW30" s="26" t="s">
        <v>363</v>
      </c>
      <c r="AX30" s="26" t="s">
        <v>363</v>
      </c>
      <c r="AY30" s="26" t="s">
        <v>363</v>
      </c>
      <c r="AZ30" s="26" t="s">
        <v>363</v>
      </c>
      <c r="BA30" s="26"/>
      <c r="BB30" s="26" t="s">
        <v>363</v>
      </c>
      <c r="BC30" s="26" t="s">
        <v>363</v>
      </c>
      <c r="BD30" s="26" t="s">
        <v>363</v>
      </c>
      <c r="BE30" s="26" t="s">
        <v>363</v>
      </c>
      <c r="BF30" s="26" t="s">
        <v>363</v>
      </c>
      <c r="BG30" s="26" t="s">
        <v>363</v>
      </c>
      <c r="BH30" s="26" t="s">
        <v>363</v>
      </c>
      <c r="BI30" s="26" t="s">
        <v>363</v>
      </c>
      <c r="BJ30" s="26" t="s">
        <v>363</v>
      </c>
      <c r="BK30" s="26" t="s">
        <v>363</v>
      </c>
      <c r="BL30" s="26" t="s">
        <v>363</v>
      </c>
      <c r="BM30" s="26" t="s">
        <v>363</v>
      </c>
      <c r="BN30" s="26" t="s">
        <v>363</v>
      </c>
      <c r="BO30" s="26" t="s">
        <v>363</v>
      </c>
      <c r="BP30" s="26" t="s">
        <v>363</v>
      </c>
      <c r="BQ30" s="26" t="s">
        <v>363</v>
      </c>
      <c r="BR30" s="26" t="s">
        <v>363</v>
      </c>
      <c r="BS30" s="26" t="s">
        <v>363</v>
      </c>
      <c r="BT30" s="26" t="s">
        <v>363</v>
      </c>
      <c r="BU30" s="26" t="s">
        <v>363</v>
      </c>
      <c r="BV30" s="26" t="s">
        <v>363</v>
      </c>
      <c r="BW30" s="26" t="s">
        <v>363</v>
      </c>
      <c r="BX30" s="26" t="s">
        <v>363</v>
      </c>
      <c r="BY30" s="26" t="s">
        <v>363</v>
      </c>
      <c r="BZ30" s="26" t="s">
        <v>363</v>
      </c>
      <c r="CA30" s="26" t="s">
        <v>363</v>
      </c>
      <c r="CB30" s="26" t="s">
        <v>363</v>
      </c>
      <c r="CC30" s="26" t="s">
        <v>363</v>
      </c>
      <c r="CD30" s="26" t="s">
        <v>363</v>
      </c>
      <c r="CE30" s="26" t="s">
        <v>363</v>
      </c>
      <c r="CF30" s="26" t="s">
        <v>363</v>
      </c>
      <c r="CG30" s="26"/>
      <c r="CH30" s="26"/>
      <c r="CI30" s="26"/>
      <c r="CJ30" s="26"/>
      <c r="CK30" s="26"/>
      <c r="CL30" s="26"/>
      <c r="CM30" s="26"/>
      <c r="CN30" s="26"/>
      <c r="CO30" s="26"/>
      <c r="CP30" s="26"/>
      <c r="CQ30" s="26"/>
      <c r="CR30" s="26"/>
      <c r="CS30" s="26"/>
      <c r="CT30" s="26"/>
      <c r="CU30" s="26"/>
      <c r="CV30" s="26"/>
      <c r="CW30" s="26"/>
      <c r="CX30" s="26"/>
      <c r="CY30" s="26"/>
      <c r="CZ30" s="26"/>
      <c r="DA30" s="26"/>
      <c r="DB30" s="26"/>
      <c r="DC30" s="26"/>
      <c r="DD30" s="26"/>
      <c r="DE30" s="26"/>
      <c r="DF30" s="26"/>
      <c r="DG30" s="26"/>
      <c r="DH30" s="26"/>
      <c r="DI30" s="26"/>
      <c r="DJ30" s="26"/>
      <c r="DK30" s="26"/>
      <c r="DL30" s="26"/>
      <c r="DM30" s="26"/>
      <c r="DN30" s="26"/>
      <c r="DO30" s="26"/>
      <c r="DP30" s="26"/>
      <c r="DQ30" s="26"/>
      <c r="DR30" s="26"/>
      <c r="DS30" s="26"/>
      <c r="DT30" s="26"/>
      <c r="DU30" s="26"/>
      <c r="DV30" s="26"/>
      <c r="DW30" s="26"/>
      <c r="DX30" s="26"/>
      <c r="DY30" s="26"/>
      <c r="DZ30" s="26"/>
      <c r="EA30" s="26"/>
      <c r="EB30" s="26"/>
      <c r="EC30" s="26"/>
      <c r="ED30" s="26"/>
      <c r="EE30" s="26"/>
      <c r="EF30" s="26"/>
      <c r="EG30" s="26"/>
      <c r="EH30" s="26"/>
      <c r="EI30" s="26"/>
      <c r="EJ30" s="26"/>
      <c r="EK30" s="26"/>
      <c r="EL30" s="26"/>
      <c r="EM30" s="26"/>
      <c r="EN30" s="26"/>
      <c r="EO30" s="26"/>
      <c r="EP30" s="26"/>
      <c r="EQ30" s="26"/>
      <c r="ER30" s="26"/>
      <c r="ES30" s="26"/>
      <c r="ET30" s="26"/>
      <c r="EU30" s="26"/>
      <c r="EV30" s="26"/>
      <c r="EW30" s="26"/>
      <c r="EX30" s="26"/>
      <c r="EY30" s="26"/>
      <c r="EZ30" s="26"/>
    </row>
    <row r="31" spans="1:156" x14ac:dyDescent="0.2">
      <c r="A31" s="25" t="s">
        <v>382</v>
      </c>
      <c r="C31" s="26" t="s">
        <v>363</v>
      </c>
      <c r="D31" s="26"/>
      <c r="E31" s="26" t="s">
        <v>363</v>
      </c>
      <c r="F31" s="26"/>
      <c r="G31" s="26" t="s">
        <v>363</v>
      </c>
      <c r="H31" s="26"/>
      <c r="I31" s="26" t="s">
        <v>363</v>
      </c>
      <c r="J31" s="26"/>
      <c r="K31" s="26" t="s">
        <v>363</v>
      </c>
      <c r="L31" s="26"/>
      <c r="M31" s="26" t="s">
        <v>363</v>
      </c>
      <c r="N31" s="26" t="s">
        <v>363</v>
      </c>
      <c r="O31" s="26"/>
      <c r="P31" s="26" t="s">
        <v>363</v>
      </c>
      <c r="Q31" s="26" t="s">
        <v>363</v>
      </c>
      <c r="R31" s="26" t="s">
        <v>363</v>
      </c>
      <c r="S31" s="26"/>
      <c r="T31" s="26" t="s">
        <v>363</v>
      </c>
      <c r="U31" s="26" t="s">
        <v>363</v>
      </c>
      <c r="V31" s="26" t="s">
        <v>363</v>
      </c>
      <c r="W31" s="26" t="s">
        <v>363</v>
      </c>
      <c r="X31" s="26" t="s">
        <v>363</v>
      </c>
      <c r="Y31" s="26" t="s">
        <v>363</v>
      </c>
      <c r="Z31" s="26" t="s">
        <v>363</v>
      </c>
      <c r="AA31" s="26" t="s">
        <v>363</v>
      </c>
      <c r="AB31" s="26" t="s">
        <v>363</v>
      </c>
      <c r="AC31" s="26" t="s">
        <v>363</v>
      </c>
      <c r="AD31" s="26" t="s">
        <v>363</v>
      </c>
      <c r="AE31" s="26" t="s">
        <v>363</v>
      </c>
      <c r="AF31" s="26" t="s">
        <v>363</v>
      </c>
      <c r="AG31" s="26" t="s">
        <v>363</v>
      </c>
      <c r="AH31" s="26"/>
      <c r="AI31" s="26" t="s">
        <v>363</v>
      </c>
      <c r="AJ31" s="26" t="s">
        <v>363</v>
      </c>
      <c r="AK31" s="26" t="s">
        <v>363</v>
      </c>
      <c r="AL31" s="26" t="s">
        <v>363</v>
      </c>
      <c r="AM31" s="26" t="s">
        <v>363</v>
      </c>
      <c r="AN31" s="26" t="s">
        <v>363</v>
      </c>
      <c r="AO31" s="26"/>
      <c r="AP31" s="26" t="s">
        <v>363</v>
      </c>
      <c r="AQ31" s="26"/>
      <c r="AR31" s="26" t="s">
        <v>363</v>
      </c>
      <c r="AS31" s="26"/>
      <c r="AT31" s="26" t="s">
        <v>363</v>
      </c>
      <c r="AU31" s="26" t="s">
        <v>363</v>
      </c>
      <c r="AV31" s="26" t="s">
        <v>363</v>
      </c>
      <c r="AW31" s="26" t="s">
        <v>363</v>
      </c>
      <c r="AX31" s="26" t="s">
        <v>363</v>
      </c>
      <c r="AY31" s="26" t="s">
        <v>363</v>
      </c>
      <c r="AZ31" s="26" t="s">
        <v>363</v>
      </c>
      <c r="BA31" s="26"/>
      <c r="BB31" s="26" t="s">
        <v>363</v>
      </c>
      <c r="BC31" s="26" t="s">
        <v>363</v>
      </c>
      <c r="BD31" s="26" t="s">
        <v>363</v>
      </c>
      <c r="BE31" s="26" t="s">
        <v>363</v>
      </c>
      <c r="BF31" s="26" t="s">
        <v>363</v>
      </c>
      <c r="BG31" s="26" t="s">
        <v>363</v>
      </c>
      <c r="BH31" s="26" t="s">
        <v>363</v>
      </c>
      <c r="BI31" s="26" t="s">
        <v>363</v>
      </c>
      <c r="BJ31" s="26" t="s">
        <v>363</v>
      </c>
      <c r="BK31" s="26" t="s">
        <v>363</v>
      </c>
      <c r="BL31" s="26" t="s">
        <v>363</v>
      </c>
      <c r="BM31" s="26" t="s">
        <v>363</v>
      </c>
      <c r="BN31" s="26" t="s">
        <v>363</v>
      </c>
      <c r="BO31" s="26" t="s">
        <v>363</v>
      </c>
      <c r="BP31" s="26" t="s">
        <v>363</v>
      </c>
      <c r="BQ31" s="26" t="s">
        <v>363</v>
      </c>
      <c r="BR31" s="26" t="s">
        <v>363</v>
      </c>
      <c r="BS31" s="26" t="s">
        <v>363</v>
      </c>
      <c r="BT31" s="26" t="s">
        <v>363</v>
      </c>
      <c r="BU31" s="26" t="s">
        <v>363</v>
      </c>
      <c r="BV31" s="26" t="s">
        <v>363</v>
      </c>
      <c r="BW31" s="26" t="s">
        <v>363</v>
      </c>
      <c r="BX31" s="26" t="s">
        <v>363</v>
      </c>
      <c r="BY31" s="26" t="s">
        <v>363</v>
      </c>
      <c r="BZ31" s="26" t="s">
        <v>363</v>
      </c>
      <c r="CA31" s="26" t="s">
        <v>363</v>
      </c>
      <c r="CB31" s="26" t="s">
        <v>363</v>
      </c>
      <c r="CC31" s="26" t="s">
        <v>363</v>
      </c>
      <c r="CD31" s="26" t="s">
        <v>363</v>
      </c>
      <c r="CE31" s="26" t="s">
        <v>363</v>
      </c>
      <c r="CF31" s="26" t="s">
        <v>363</v>
      </c>
      <c r="CG31" s="26"/>
      <c r="CH31" s="26"/>
      <c r="CI31" s="26"/>
      <c r="CJ31" s="26"/>
      <c r="CK31" s="26"/>
      <c r="CL31" s="26"/>
      <c r="CM31" s="26"/>
      <c r="CN31" s="26"/>
      <c r="CO31" s="26"/>
      <c r="CP31" s="26"/>
      <c r="CQ31" s="26"/>
      <c r="CR31" s="26"/>
      <c r="CS31" s="26"/>
      <c r="CT31" s="26"/>
      <c r="CU31" s="26"/>
      <c r="CV31" s="26"/>
      <c r="CW31" s="26"/>
      <c r="CX31" s="26"/>
      <c r="CY31" s="26"/>
      <c r="CZ31" s="26"/>
      <c r="DA31" s="26"/>
      <c r="DB31" s="26"/>
      <c r="DC31" s="26"/>
      <c r="DD31" s="26"/>
      <c r="DE31" s="26"/>
      <c r="DF31" s="26"/>
      <c r="DG31" s="26"/>
      <c r="DH31" s="26"/>
      <c r="DI31" s="26"/>
      <c r="DJ31" s="26"/>
      <c r="DK31" s="26"/>
      <c r="DL31" s="26"/>
      <c r="DM31" s="26"/>
      <c r="DN31" s="26"/>
      <c r="DO31" s="26"/>
      <c r="DP31" s="26"/>
      <c r="DQ31" s="26"/>
      <c r="DR31" s="26"/>
      <c r="DS31" s="26"/>
      <c r="DT31" s="26"/>
      <c r="DU31" s="26"/>
      <c r="DV31" s="26"/>
      <c r="DW31" s="26"/>
      <c r="DX31" s="26"/>
      <c r="DY31" s="26"/>
      <c r="DZ31" s="26"/>
      <c r="EA31" s="26"/>
      <c r="EB31" s="26"/>
      <c r="EC31" s="26"/>
      <c r="ED31" s="26"/>
      <c r="EE31" s="26"/>
      <c r="EF31" s="26"/>
      <c r="EG31" s="26"/>
      <c r="EH31" s="26"/>
      <c r="EI31" s="26"/>
      <c r="EJ31" s="26"/>
      <c r="EK31" s="26"/>
      <c r="EL31" s="26"/>
      <c r="EM31" s="26"/>
      <c r="EN31" s="26"/>
      <c r="EO31" s="26"/>
      <c r="EP31" s="26"/>
      <c r="EQ31" s="26"/>
      <c r="ER31" s="26"/>
      <c r="ES31" s="26"/>
      <c r="ET31" s="26"/>
      <c r="EU31" s="26"/>
      <c r="EV31" s="26"/>
      <c r="EW31" s="26"/>
      <c r="EX31" s="26"/>
      <c r="EY31" s="26"/>
      <c r="EZ31" s="26"/>
    </row>
    <row r="32" spans="1:156" x14ac:dyDescent="0.2">
      <c r="A32" s="25" t="s">
        <v>383</v>
      </c>
      <c r="C32" s="26" t="s">
        <v>363</v>
      </c>
      <c r="D32" s="26"/>
      <c r="E32" s="26" t="s">
        <v>363</v>
      </c>
      <c r="F32" s="26"/>
      <c r="G32" s="26" t="s">
        <v>363</v>
      </c>
      <c r="H32" s="26"/>
      <c r="I32" s="26" t="s">
        <v>363</v>
      </c>
      <c r="J32" s="26"/>
      <c r="K32" s="26" t="s">
        <v>363</v>
      </c>
      <c r="L32" s="26"/>
      <c r="M32" s="26" t="s">
        <v>363</v>
      </c>
      <c r="N32" s="26" t="s">
        <v>363</v>
      </c>
      <c r="O32" s="26"/>
      <c r="P32" s="26" t="s">
        <v>363</v>
      </c>
      <c r="Q32" s="26" t="s">
        <v>363</v>
      </c>
      <c r="R32" s="26" t="s">
        <v>363</v>
      </c>
      <c r="S32" s="26"/>
      <c r="T32" s="26" t="s">
        <v>363</v>
      </c>
      <c r="U32" s="26" t="s">
        <v>363</v>
      </c>
      <c r="V32" s="26" t="s">
        <v>363</v>
      </c>
      <c r="W32" s="26" t="s">
        <v>363</v>
      </c>
      <c r="X32" s="26" t="s">
        <v>363</v>
      </c>
      <c r="Y32" s="26" t="s">
        <v>363</v>
      </c>
      <c r="Z32" s="26" t="s">
        <v>363</v>
      </c>
      <c r="AA32" s="26" t="s">
        <v>363</v>
      </c>
      <c r="AB32" s="26" t="s">
        <v>363</v>
      </c>
      <c r="AC32" s="26" t="s">
        <v>363</v>
      </c>
      <c r="AD32" s="26" t="s">
        <v>363</v>
      </c>
      <c r="AE32" s="26" t="s">
        <v>363</v>
      </c>
      <c r="AF32" s="26" t="s">
        <v>363</v>
      </c>
      <c r="AG32" s="26" t="s">
        <v>363</v>
      </c>
      <c r="AH32" s="26"/>
      <c r="AI32" s="26" t="s">
        <v>363</v>
      </c>
      <c r="AJ32" s="26" t="s">
        <v>363</v>
      </c>
      <c r="AK32" s="26" t="s">
        <v>363</v>
      </c>
      <c r="AL32" s="26" t="s">
        <v>363</v>
      </c>
      <c r="AM32" s="26" t="s">
        <v>363</v>
      </c>
      <c r="AN32" s="26" t="s">
        <v>363</v>
      </c>
      <c r="AO32" s="26"/>
      <c r="AP32" s="26" t="s">
        <v>363</v>
      </c>
      <c r="AQ32" s="26"/>
      <c r="AR32" s="26" t="s">
        <v>363</v>
      </c>
      <c r="AS32" s="26"/>
      <c r="AT32" s="26" t="s">
        <v>363</v>
      </c>
      <c r="AU32" s="26" t="s">
        <v>363</v>
      </c>
      <c r="AV32" s="26" t="s">
        <v>363</v>
      </c>
      <c r="AW32" s="26" t="s">
        <v>363</v>
      </c>
      <c r="AX32" s="26" t="s">
        <v>363</v>
      </c>
      <c r="AY32" s="26" t="s">
        <v>363</v>
      </c>
      <c r="AZ32" s="26" t="s">
        <v>363</v>
      </c>
      <c r="BA32" s="26"/>
      <c r="BB32" s="26" t="s">
        <v>363</v>
      </c>
      <c r="BC32" s="26" t="s">
        <v>363</v>
      </c>
      <c r="BD32" s="26" t="s">
        <v>363</v>
      </c>
      <c r="BE32" s="26" t="s">
        <v>363</v>
      </c>
      <c r="BF32" s="26" t="s">
        <v>363</v>
      </c>
      <c r="BG32" s="26" t="s">
        <v>363</v>
      </c>
      <c r="BH32" s="26" t="s">
        <v>363</v>
      </c>
      <c r="BI32" s="26" t="s">
        <v>363</v>
      </c>
      <c r="BJ32" s="26" t="s">
        <v>363</v>
      </c>
      <c r="BK32" s="26" t="s">
        <v>363</v>
      </c>
      <c r="BL32" s="26" t="s">
        <v>363</v>
      </c>
      <c r="BM32" s="26" t="s">
        <v>363</v>
      </c>
      <c r="BN32" s="26" t="s">
        <v>363</v>
      </c>
      <c r="BO32" s="26" t="s">
        <v>363</v>
      </c>
      <c r="BP32" s="26" t="s">
        <v>363</v>
      </c>
      <c r="BQ32" s="26" t="s">
        <v>363</v>
      </c>
      <c r="BR32" s="26" t="s">
        <v>363</v>
      </c>
      <c r="BS32" s="26" t="s">
        <v>363</v>
      </c>
      <c r="BT32" s="26" t="s">
        <v>363</v>
      </c>
      <c r="BU32" s="26" t="s">
        <v>363</v>
      </c>
      <c r="BV32" s="26" t="s">
        <v>363</v>
      </c>
      <c r="BW32" s="26" t="s">
        <v>363</v>
      </c>
      <c r="BX32" s="26" t="s">
        <v>363</v>
      </c>
      <c r="BY32" s="26" t="s">
        <v>363</v>
      </c>
      <c r="BZ32" s="26" t="s">
        <v>363</v>
      </c>
      <c r="CA32" s="26" t="s">
        <v>363</v>
      </c>
      <c r="CB32" s="26" t="s">
        <v>363</v>
      </c>
      <c r="CC32" s="26" t="s">
        <v>363</v>
      </c>
      <c r="CD32" s="26" t="s">
        <v>363</v>
      </c>
      <c r="CE32" s="26" t="s">
        <v>363</v>
      </c>
      <c r="CF32" s="26" t="s">
        <v>363</v>
      </c>
      <c r="CG32" s="26"/>
      <c r="CH32" s="26"/>
      <c r="CI32" s="26"/>
      <c r="CJ32" s="26"/>
      <c r="CK32" s="26"/>
      <c r="CL32" s="26"/>
      <c r="CM32" s="26"/>
      <c r="CN32" s="26"/>
      <c r="CO32" s="26"/>
      <c r="CP32" s="26"/>
      <c r="CQ32" s="26"/>
      <c r="CR32" s="26"/>
      <c r="CS32" s="26"/>
      <c r="CT32" s="26"/>
      <c r="CU32" s="26"/>
      <c r="CV32" s="26"/>
      <c r="CW32" s="26"/>
      <c r="CX32" s="26"/>
      <c r="CY32" s="26"/>
      <c r="CZ32" s="26"/>
      <c r="DA32" s="26"/>
      <c r="DB32" s="26"/>
      <c r="DC32" s="26"/>
      <c r="DD32" s="26"/>
      <c r="DE32" s="26"/>
      <c r="DF32" s="26"/>
      <c r="DG32" s="26"/>
      <c r="DH32" s="26"/>
      <c r="DI32" s="26"/>
      <c r="DJ32" s="26"/>
      <c r="DK32" s="26"/>
      <c r="DL32" s="26"/>
      <c r="DM32" s="26"/>
      <c r="DN32" s="26"/>
      <c r="DO32" s="26"/>
      <c r="DP32" s="26"/>
      <c r="DQ32" s="26"/>
      <c r="DR32" s="26"/>
      <c r="DS32" s="26"/>
      <c r="DT32" s="26"/>
      <c r="DU32" s="26"/>
      <c r="DV32" s="26"/>
      <c r="DW32" s="26"/>
      <c r="DX32" s="26"/>
      <c r="DY32" s="26"/>
      <c r="DZ32" s="26"/>
      <c r="EA32" s="26"/>
      <c r="EB32" s="26"/>
      <c r="EC32" s="26"/>
      <c r="ED32" s="26"/>
      <c r="EE32" s="26"/>
      <c r="EF32" s="26"/>
      <c r="EG32" s="26"/>
      <c r="EH32" s="26"/>
      <c r="EI32" s="26"/>
      <c r="EJ32" s="26"/>
      <c r="EK32" s="26"/>
      <c r="EL32" s="26"/>
      <c r="EM32" s="26"/>
      <c r="EN32" s="26"/>
      <c r="EO32" s="26"/>
      <c r="EP32" s="26"/>
      <c r="EQ32" s="26"/>
      <c r="ER32" s="26"/>
      <c r="ES32" s="26"/>
      <c r="ET32" s="26"/>
      <c r="EU32" s="26"/>
      <c r="EV32" s="26"/>
      <c r="EW32" s="26"/>
      <c r="EX32" s="26"/>
      <c r="EY32" s="26"/>
      <c r="EZ32" s="26"/>
    </row>
    <row r="33" spans="1:156" x14ac:dyDescent="0.2">
      <c r="A33" s="25" t="s">
        <v>384</v>
      </c>
      <c r="C33" s="26" t="s">
        <v>363</v>
      </c>
      <c r="D33" s="26"/>
      <c r="E33" s="26" t="s">
        <v>363</v>
      </c>
      <c r="F33" s="26"/>
      <c r="G33" s="26" t="s">
        <v>363</v>
      </c>
      <c r="H33" s="26"/>
      <c r="I33" s="26" t="s">
        <v>363</v>
      </c>
      <c r="J33" s="26"/>
      <c r="K33" s="26" t="s">
        <v>363</v>
      </c>
      <c r="L33" s="26"/>
      <c r="M33" s="26" t="s">
        <v>363</v>
      </c>
      <c r="N33" s="26" t="s">
        <v>363</v>
      </c>
      <c r="O33" s="26"/>
      <c r="P33" s="26" t="s">
        <v>363</v>
      </c>
      <c r="Q33" s="26" t="s">
        <v>363</v>
      </c>
      <c r="R33" s="26" t="s">
        <v>363</v>
      </c>
      <c r="S33" s="26"/>
      <c r="T33" s="26" t="s">
        <v>363</v>
      </c>
      <c r="U33" s="26" t="s">
        <v>363</v>
      </c>
      <c r="V33" s="26" t="s">
        <v>363</v>
      </c>
      <c r="W33" s="26" t="s">
        <v>363</v>
      </c>
      <c r="X33" s="26" t="s">
        <v>363</v>
      </c>
      <c r="Y33" s="26" t="s">
        <v>363</v>
      </c>
      <c r="Z33" s="26" t="s">
        <v>363</v>
      </c>
      <c r="AA33" s="26" t="s">
        <v>363</v>
      </c>
      <c r="AB33" s="26" t="s">
        <v>363</v>
      </c>
      <c r="AC33" s="26" t="s">
        <v>363</v>
      </c>
      <c r="AD33" s="26" t="s">
        <v>363</v>
      </c>
      <c r="AE33" s="26" t="s">
        <v>363</v>
      </c>
      <c r="AF33" s="26" t="s">
        <v>363</v>
      </c>
      <c r="AG33" s="26" t="s">
        <v>363</v>
      </c>
      <c r="AH33" s="26"/>
      <c r="AI33" s="26" t="s">
        <v>363</v>
      </c>
      <c r="AJ33" s="26" t="s">
        <v>363</v>
      </c>
      <c r="AK33" s="26" t="s">
        <v>363</v>
      </c>
      <c r="AL33" s="26" t="s">
        <v>363</v>
      </c>
      <c r="AM33" s="26" t="s">
        <v>363</v>
      </c>
      <c r="AN33" s="26" t="s">
        <v>363</v>
      </c>
      <c r="AO33" s="26"/>
      <c r="AP33" s="26" t="s">
        <v>363</v>
      </c>
      <c r="AQ33" s="26"/>
      <c r="AR33" s="26" t="s">
        <v>363</v>
      </c>
      <c r="AS33" s="26"/>
      <c r="AT33" s="26" t="s">
        <v>363</v>
      </c>
      <c r="AU33" s="26" t="s">
        <v>363</v>
      </c>
      <c r="AV33" s="26" t="s">
        <v>363</v>
      </c>
      <c r="AW33" s="26" t="s">
        <v>363</v>
      </c>
      <c r="AX33" s="26" t="s">
        <v>363</v>
      </c>
      <c r="AY33" s="26" t="s">
        <v>363</v>
      </c>
      <c r="AZ33" s="26" t="s">
        <v>363</v>
      </c>
      <c r="BA33" s="26"/>
      <c r="BB33" s="26" t="s">
        <v>363</v>
      </c>
      <c r="BC33" s="26" t="s">
        <v>363</v>
      </c>
      <c r="BD33" s="26" t="s">
        <v>363</v>
      </c>
      <c r="BE33" s="26" t="s">
        <v>363</v>
      </c>
      <c r="BF33" s="26" t="s">
        <v>363</v>
      </c>
      <c r="BG33" s="26" t="s">
        <v>363</v>
      </c>
      <c r="BH33" s="26" t="s">
        <v>363</v>
      </c>
      <c r="BI33" s="26" t="s">
        <v>363</v>
      </c>
      <c r="BJ33" s="26" t="s">
        <v>363</v>
      </c>
      <c r="BK33" s="26" t="s">
        <v>363</v>
      </c>
      <c r="BL33" s="26" t="s">
        <v>363</v>
      </c>
      <c r="BM33" s="26" t="s">
        <v>363</v>
      </c>
      <c r="BN33" s="26" t="s">
        <v>363</v>
      </c>
      <c r="BO33" s="26" t="s">
        <v>363</v>
      </c>
      <c r="BP33" s="26" t="s">
        <v>363</v>
      </c>
      <c r="BQ33" s="26" t="s">
        <v>363</v>
      </c>
      <c r="BR33" s="26" t="s">
        <v>363</v>
      </c>
      <c r="BS33" s="26" t="s">
        <v>363</v>
      </c>
      <c r="BT33" s="26" t="s">
        <v>363</v>
      </c>
      <c r="BU33" s="26" t="s">
        <v>363</v>
      </c>
      <c r="BV33" s="26" t="s">
        <v>363</v>
      </c>
      <c r="BW33" s="26" t="s">
        <v>363</v>
      </c>
      <c r="BX33" s="26" t="s">
        <v>363</v>
      </c>
      <c r="BY33" s="26" t="s">
        <v>363</v>
      </c>
      <c r="BZ33" s="26" t="s">
        <v>363</v>
      </c>
      <c r="CA33" s="26" t="s">
        <v>363</v>
      </c>
      <c r="CB33" s="26" t="s">
        <v>363</v>
      </c>
      <c r="CC33" s="26" t="s">
        <v>363</v>
      </c>
      <c r="CD33" s="26" t="s">
        <v>363</v>
      </c>
      <c r="CE33" s="26" t="s">
        <v>363</v>
      </c>
      <c r="CF33" s="26" t="s">
        <v>363</v>
      </c>
      <c r="CG33" s="26"/>
      <c r="CH33" s="26"/>
      <c r="CI33" s="26"/>
      <c r="CJ33" s="26"/>
      <c r="CK33" s="26"/>
      <c r="CL33" s="26"/>
      <c r="CM33" s="26"/>
      <c r="CN33" s="26"/>
      <c r="CO33" s="26"/>
      <c r="CP33" s="26"/>
      <c r="CQ33" s="26"/>
      <c r="CR33" s="26"/>
      <c r="CS33" s="26"/>
      <c r="CT33" s="26"/>
      <c r="CU33" s="26"/>
      <c r="CV33" s="26"/>
      <c r="CW33" s="26"/>
      <c r="CX33" s="26"/>
      <c r="CY33" s="26"/>
      <c r="CZ33" s="26"/>
      <c r="DA33" s="26"/>
      <c r="DB33" s="26"/>
      <c r="DC33" s="26"/>
      <c r="DD33" s="26"/>
      <c r="DE33" s="26"/>
      <c r="DF33" s="26"/>
      <c r="DG33" s="26"/>
      <c r="DH33" s="26"/>
      <c r="DI33" s="26"/>
      <c r="DJ33" s="26"/>
      <c r="DK33" s="26"/>
      <c r="DL33" s="26"/>
      <c r="DM33" s="26"/>
      <c r="DN33" s="26"/>
      <c r="DO33" s="26"/>
      <c r="DP33" s="26"/>
      <c r="DQ33" s="26"/>
      <c r="DR33" s="26"/>
      <c r="DS33" s="26"/>
      <c r="DT33" s="26"/>
      <c r="DU33" s="26"/>
      <c r="DV33" s="26"/>
      <c r="DW33" s="26"/>
      <c r="DX33" s="26"/>
      <c r="DY33" s="26"/>
      <c r="DZ33" s="26"/>
      <c r="EA33" s="26"/>
      <c r="EB33" s="26"/>
      <c r="EC33" s="26"/>
      <c r="ED33" s="26"/>
      <c r="EE33" s="26"/>
      <c r="EF33" s="26"/>
      <c r="EG33" s="26"/>
      <c r="EH33" s="26"/>
      <c r="EI33" s="26"/>
      <c r="EJ33" s="26"/>
      <c r="EK33" s="26"/>
      <c r="EL33" s="26"/>
      <c r="EM33" s="26"/>
      <c r="EN33" s="26"/>
      <c r="EO33" s="26"/>
      <c r="EP33" s="26"/>
      <c r="EQ33" s="26"/>
      <c r="ER33" s="26"/>
      <c r="ES33" s="26"/>
      <c r="ET33" s="26"/>
      <c r="EU33" s="26"/>
      <c r="EV33" s="26"/>
      <c r="EW33" s="26"/>
      <c r="EX33" s="26"/>
      <c r="EY33" s="26"/>
      <c r="EZ33" s="26"/>
    </row>
    <row r="34" spans="1:156" x14ac:dyDescent="0.2">
      <c r="A34" s="25" t="s">
        <v>385</v>
      </c>
      <c r="C34" s="26" t="s">
        <v>363</v>
      </c>
      <c r="D34" s="26"/>
      <c r="E34" s="26" t="s">
        <v>363</v>
      </c>
      <c r="F34" s="26"/>
      <c r="G34" s="26" t="s">
        <v>363</v>
      </c>
      <c r="H34" s="26"/>
      <c r="I34" s="26" t="s">
        <v>363</v>
      </c>
      <c r="J34" s="26"/>
      <c r="K34" s="26" t="s">
        <v>363</v>
      </c>
      <c r="L34" s="26"/>
      <c r="M34" s="26" t="s">
        <v>363</v>
      </c>
      <c r="N34" s="26" t="s">
        <v>363</v>
      </c>
      <c r="O34" s="26"/>
      <c r="P34" s="26" t="s">
        <v>363</v>
      </c>
      <c r="Q34" s="26" t="s">
        <v>363</v>
      </c>
      <c r="R34" s="26" t="s">
        <v>363</v>
      </c>
      <c r="S34" s="26"/>
      <c r="T34" s="26" t="s">
        <v>363</v>
      </c>
      <c r="U34" s="26" t="s">
        <v>363</v>
      </c>
      <c r="V34" s="26" t="s">
        <v>363</v>
      </c>
      <c r="W34" s="26" t="s">
        <v>363</v>
      </c>
      <c r="X34" s="26" t="s">
        <v>363</v>
      </c>
      <c r="Y34" s="26" t="s">
        <v>363</v>
      </c>
      <c r="Z34" s="26" t="s">
        <v>363</v>
      </c>
      <c r="AA34" s="26" t="s">
        <v>363</v>
      </c>
      <c r="AB34" s="26" t="s">
        <v>363</v>
      </c>
      <c r="AC34" s="26" t="s">
        <v>363</v>
      </c>
      <c r="AD34" s="26" t="s">
        <v>363</v>
      </c>
      <c r="AE34" s="26" t="s">
        <v>363</v>
      </c>
      <c r="AF34" s="26" t="s">
        <v>363</v>
      </c>
      <c r="AG34" s="26" t="s">
        <v>363</v>
      </c>
      <c r="AH34" s="26"/>
      <c r="AI34" s="26" t="s">
        <v>363</v>
      </c>
      <c r="AJ34" s="26" t="s">
        <v>363</v>
      </c>
      <c r="AK34" s="26" t="s">
        <v>363</v>
      </c>
      <c r="AL34" s="26" t="s">
        <v>363</v>
      </c>
      <c r="AM34" s="26" t="s">
        <v>363</v>
      </c>
      <c r="AN34" s="26" t="s">
        <v>363</v>
      </c>
      <c r="AO34" s="26"/>
      <c r="AP34" s="26" t="s">
        <v>363</v>
      </c>
      <c r="AQ34" s="26"/>
      <c r="AR34" s="26" t="s">
        <v>363</v>
      </c>
      <c r="AS34" s="26"/>
      <c r="AT34" s="26" t="s">
        <v>363</v>
      </c>
      <c r="AU34" s="26" t="s">
        <v>363</v>
      </c>
      <c r="AV34" s="26" t="s">
        <v>363</v>
      </c>
      <c r="AW34" s="26" t="s">
        <v>363</v>
      </c>
      <c r="AX34" s="26">
        <v>2.3982201161547576</v>
      </c>
      <c r="AY34" s="26" t="s">
        <v>363</v>
      </c>
      <c r="AZ34" s="26" t="s">
        <v>363</v>
      </c>
      <c r="BA34" s="26"/>
      <c r="BB34" s="26" t="s">
        <v>363</v>
      </c>
      <c r="BC34" s="26" t="s">
        <v>363</v>
      </c>
      <c r="BD34" s="26" t="s">
        <v>363</v>
      </c>
      <c r="BE34" s="26" t="s">
        <v>363</v>
      </c>
      <c r="BF34" s="26" t="s">
        <v>363</v>
      </c>
      <c r="BG34" s="26" t="s">
        <v>363</v>
      </c>
      <c r="BH34" s="26" t="s">
        <v>363</v>
      </c>
      <c r="BI34" s="26">
        <v>39.086730690183479</v>
      </c>
      <c r="BJ34" s="26">
        <v>6.1094505376376196</v>
      </c>
      <c r="BK34" s="26">
        <v>17.051257042536346</v>
      </c>
      <c r="BL34" s="26">
        <v>5.7995337995337994</v>
      </c>
      <c r="BM34" s="26">
        <v>43.022820800598581</v>
      </c>
      <c r="BN34" s="26">
        <v>27.545233594382932</v>
      </c>
      <c r="BO34" s="26">
        <v>23.423423423423422</v>
      </c>
      <c r="BP34" s="26">
        <v>41.858445505861923</v>
      </c>
      <c r="BQ34" s="26">
        <v>2.2612987950005059</v>
      </c>
      <c r="BR34" s="26">
        <v>9.2533421947291732</v>
      </c>
      <c r="BS34" s="26">
        <v>27.327087141986592</v>
      </c>
      <c r="BT34" s="26">
        <v>13.859275053304904</v>
      </c>
      <c r="BU34" s="26">
        <v>1000</v>
      </c>
      <c r="BV34" s="26">
        <v>2.9586482675727526</v>
      </c>
      <c r="BW34" s="26">
        <v>3.0531176818191765</v>
      </c>
      <c r="BX34" s="26">
        <v>12.461059190031152</v>
      </c>
      <c r="BY34" s="26">
        <v>55.760529063696481</v>
      </c>
      <c r="BZ34" s="26">
        <v>144.58861005360887</v>
      </c>
      <c r="CA34" s="26">
        <v>28.07017543859649</v>
      </c>
      <c r="CB34" s="26">
        <v>58.823529411764703</v>
      </c>
      <c r="CC34" s="26">
        <v>210.52631578947367</v>
      </c>
      <c r="CD34" s="26">
        <v>333.33333333333331</v>
      </c>
      <c r="CE34" s="26">
        <v>375</v>
      </c>
      <c r="CF34" s="26">
        <v>242.42424242424244</v>
      </c>
      <c r="CG34" s="26"/>
      <c r="CH34" s="26"/>
      <c r="CI34" s="26"/>
      <c r="CJ34" s="26"/>
      <c r="CK34" s="26"/>
      <c r="CL34" s="26"/>
      <c r="CM34" s="26"/>
      <c r="CN34" s="26"/>
      <c r="CO34" s="26"/>
      <c r="CP34" s="26"/>
      <c r="CQ34" s="26"/>
      <c r="CR34" s="26"/>
      <c r="CS34" s="26"/>
      <c r="CT34" s="26"/>
      <c r="CU34" s="26"/>
      <c r="CV34" s="26"/>
      <c r="CW34" s="26"/>
      <c r="CX34" s="26"/>
      <c r="CY34" s="26"/>
      <c r="CZ34" s="26"/>
      <c r="DA34" s="26"/>
      <c r="DB34" s="26"/>
      <c r="DC34" s="26"/>
      <c r="DD34" s="26"/>
      <c r="DE34" s="26"/>
      <c r="DF34" s="26"/>
      <c r="DG34" s="26"/>
      <c r="DH34" s="26"/>
      <c r="DI34" s="26"/>
      <c r="DJ34" s="26"/>
      <c r="DK34" s="26"/>
      <c r="DL34" s="26"/>
      <c r="DM34" s="26"/>
      <c r="DN34" s="26"/>
      <c r="DO34" s="26"/>
      <c r="DP34" s="26"/>
      <c r="DQ34" s="26"/>
      <c r="DR34" s="26"/>
      <c r="DS34" s="26"/>
      <c r="DT34" s="26"/>
      <c r="DU34" s="26"/>
      <c r="DV34" s="26"/>
      <c r="DW34" s="26"/>
      <c r="DX34" s="26"/>
      <c r="DY34" s="26"/>
      <c r="DZ34" s="26"/>
      <c r="EA34" s="26"/>
      <c r="EB34" s="26"/>
      <c r="EC34" s="26"/>
      <c r="ED34" s="26"/>
      <c r="EE34" s="26"/>
      <c r="EF34" s="26"/>
      <c r="EG34" s="26"/>
      <c r="EH34" s="26"/>
      <c r="EI34" s="26"/>
      <c r="EJ34" s="26"/>
      <c r="EK34" s="26"/>
      <c r="EL34" s="26"/>
      <c r="EM34" s="26"/>
      <c r="EN34" s="26"/>
      <c r="EO34" s="26"/>
      <c r="EP34" s="26"/>
      <c r="EQ34" s="26"/>
      <c r="ER34" s="26"/>
      <c r="ES34" s="26"/>
      <c r="ET34" s="26"/>
      <c r="EU34" s="26"/>
      <c r="EV34" s="26"/>
      <c r="EW34" s="26"/>
      <c r="EX34" s="26"/>
      <c r="EY34" s="26"/>
      <c r="EZ34" s="26"/>
    </row>
    <row r="35" spans="1:156" x14ac:dyDescent="0.2">
      <c r="A35" s="25" t="s">
        <v>386</v>
      </c>
      <c r="C35" s="26" t="s">
        <v>363</v>
      </c>
      <c r="D35" s="26"/>
      <c r="E35" s="26">
        <v>7.2535101808196467</v>
      </c>
      <c r="F35" s="26"/>
      <c r="G35" s="26">
        <v>5.3859479229763148</v>
      </c>
      <c r="H35" s="26"/>
      <c r="I35" s="26">
        <v>4.9236418259200532</v>
      </c>
      <c r="J35" s="26"/>
      <c r="K35" s="26">
        <v>6.9655646031590308</v>
      </c>
      <c r="L35" s="26"/>
      <c r="M35" s="26">
        <v>5.6914151428361608</v>
      </c>
      <c r="N35" s="26" t="s">
        <v>363</v>
      </c>
      <c r="O35" s="26"/>
      <c r="P35" s="26">
        <v>55.551500109497042</v>
      </c>
      <c r="Q35" s="26">
        <v>135.75176819530003</v>
      </c>
      <c r="R35" s="26">
        <v>2261.4379084967322</v>
      </c>
      <c r="S35" s="26"/>
      <c r="T35" s="26">
        <v>8.8484819019374292</v>
      </c>
      <c r="U35" s="26">
        <v>19.53097407642862</v>
      </c>
      <c r="V35" s="26">
        <v>42.751842751842752</v>
      </c>
      <c r="W35" s="26">
        <v>7.0983300723483644</v>
      </c>
      <c r="X35" s="26" t="s">
        <v>363</v>
      </c>
      <c r="Y35" s="26">
        <v>88.774761555392516</v>
      </c>
      <c r="Z35" s="26" t="s">
        <v>363</v>
      </c>
      <c r="AA35" s="26">
        <v>44.422147222475601</v>
      </c>
      <c r="AB35" s="26">
        <v>44.543429844097993</v>
      </c>
      <c r="AC35" s="26" t="s">
        <v>363</v>
      </c>
      <c r="AD35" s="26">
        <v>468.57142857142856</v>
      </c>
      <c r="AE35" s="26" t="s">
        <v>363</v>
      </c>
      <c r="AF35" s="26" t="s">
        <v>363</v>
      </c>
      <c r="AG35" s="26">
        <v>3.4770514603616132</v>
      </c>
      <c r="AH35" s="26"/>
      <c r="AI35" s="26">
        <v>11.266201395812562</v>
      </c>
      <c r="AJ35" s="26">
        <v>6.7019501812115285</v>
      </c>
      <c r="AK35" s="26">
        <v>3.7991104521868051</v>
      </c>
      <c r="AL35" s="26">
        <v>5.9876210979547899</v>
      </c>
      <c r="AM35" s="26">
        <v>1.4487228364468165</v>
      </c>
      <c r="AN35" s="26">
        <v>12.459807073954984</v>
      </c>
      <c r="AO35" s="26"/>
      <c r="AP35" s="26">
        <v>4.2240995998221429</v>
      </c>
      <c r="AQ35" s="26"/>
      <c r="AR35" s="26" t="s">
        <v>363</v>
      </c>
      <c r="AS35" s="26"/>
      <c r="AT35" s="26" t="s">
        <v>363</v>
      </c>
      <c r="AU35" s="26" t="s">
        <v>363</v>
      </c>
      <c r="AV35" s="26">
        <v>7.6136610833152059</v>
      </c>
      <c r="AW35" s="26">
        <v>3.5429300989466963</v>
      </c>
      <c r="AX35" s="26" t="s">
        <v>363</v>
      </c>
      <c r="AY35" s="26">
        <v>13.681276919179123</v>
      </c>
      <c r="AZ35" s="26">
        <v>1.6059454149404178</v>
      </c>
      <c r="BA35" s="26"/>
      <c r="BB35" s="26">
        <v>75.781968721251147</v>
      </c>
      <c r="BC35" s="26">
        <v>148.84979702300407</v>
      </c>
      <c r="BD35" s="26">
        <v>49.634710835982375</v>
      </c>
      <c r="BE35" s="26">
        <v>459.49288806431662</v>
      </c>
      <c r="BF35" s="26">
        <v>393.52554375316134</v>
      </c>
      <c r="BG35" s="26">
        <v>397.24137931034483</v>
      </c>
      <c r="BH35" s="26" t="s">
        <v>363</v>
      </c>
      <c r="BI35" s="26" t="s">
        <v>363</v>
      </c>
      <c r="BJ35" s="26" t="s">
        <v>363</v>
      </c>
      <c r="BK35" s="26" t="s">
        <v>363</v>
      </c>
      <c r="BL35" s="26" t="s">
        <v>363</v>
      </c>
      <c r="BM35" s="26" t="s">
        <v>363</v>
      </c>
      <c r="BN35" s="26" t="s">
        <v>363</v>
      </c>
      <c r="BO35" s="26" t="s">
        <v>363</v>
      </c>
      <c r="BP35" s="26" t="s">
        <v>363</v>
      </c>
      <c r="BQ35" s="26" t="s">
        <v>363</v>
      </c>
      <c r="BR35" s="26" t="s">
        <v>363</v>
      </c>
      <c r="BS35" s="26" t="s">
        <v>363</v>
      </c>
      <c r="BT35" s="26" t="s">
        <v>363</v>
      </c>
      <c r="BU35" s="26" t="s">
        <v>363</v>
      </c>
      <c r="BV35" s="26" t="s">
        <v>363</v>
      </c>
      <c r="BW35" s="26" t="s">
        <v>363</v>
      </c>
      <c r="BX35" s="26" t="s">
        <v>363</v>
      </c>
      <c r="BY35" s="26" t="s">
        <v>363</v>
      </c>
      <c r="BZ35" s="26" t="s">
        <v>363</v>
      </c>
      <c r="CA35" s="26" t="s">
        <v>363</v>
      </c>
      <c r="CB35" s="26" t="s">
        <v>363</v>
      </c>
      <c r="CC35" s="26" t="s">
        <v>363</v>
      </c>
      <c r="CD35" s="26" t="s">
        <v>363</v>
      </c>
      <c r="CE35" s="26" t="s">
        <v>363</v>
      </c>
      <c r="CF35" s="26" t="s">
        <v>363</v>
      </c>
      <c r="CG35" s="26"/>
      <c r="CH35" s="26"/>
      <c r="CI35" s="26"/>
      <c r="CJ35" s="26"/>
      <c r="CK35" s="26"/>
      <c r="CL35" s="26"/>
      <c r="CM35" s="26"/>
      <c r="CN35" s="26"/>
      <c r="CO35" s="26"/>
      <c r="CP35" s="26"/>
      <c r="CQ35" s="26"/>
      <c r="CR35" s="26"/>
      <c r="CS35" s="26"/>
      <c r="CT35" s="26"/>
      <c r="CU35" s="26"/>
      <c r="CV35" s="26"/>
      <c r="CW35" s="26"/>
      <c r="CX35" s="26"/>
      <c r="CY35" s="26"/>
      <c r="CZ35" s="26"/>
      <c r="DA35" s="26"/>
      <c r="DB35" s="26"/>
      <c r="DC35" s="26"/>
      <c r="DD35" s="26"/>
      <c r="DE35" s="26"/>
      <c r="DF35" s="26"/>
      <c r="DG35" s="26"/>
      <c r="DH35" s="26"/>
      <c r="DI35" s="26"/>
      <c r="DJ35" s="26"/>
      <c r="DK35" s="26"/>
      <c r="DL35" s="26"/>
      <c r="DM35" s="26"/>
      <c r="DN35" s="26"/>
      <c r="DO35" s="26"/>
      <c r="DP35" s="26"/>
      <c r="DQ35" s="26"/>
      <c r="DR35" s="26"/>
      <c r="DS35" s="26"/>
      <c r="DT35" s="26"/>
      <c r="DU35" s="26"/>
      <c r="DV35" s="26"/>
      <c r="DW35" s="26"/>
      <c r="DX35" s="26"/>
      <c r="DY35" s="26"/>
      <c r="DZ35" s="26"/>
      <c r="EA35" s="26"/>
      <c r="EB35" s="26"/>
      <c r="EC35" s="26"/>
      <c r="ED35" s="26"/>
      <c r="EE35" s="26"/>
      <c r="EF35" s="26"/>
      <c r="EG35" s="26"/>
      <c r="EH35" s="26"/>
      <c r="EI35" s="26"/>
      <c r="EJ35" s="26"/>
      <c r="EK35" s="26"/>
      <c r="EL35" s="26"/>
      <c r="EM35" s="26"/>
      <c r="EN35" s="26"/>
      <c r="EO35" s="26"/>
      <c r="EP35" s="26"/>
      <c r="EQ35" s="26"/>
      <c r="ER35" s="26"/>
      <c r="ES35" s="26"/>
      <c r="ET35" s="26"/>
      <c r="EU35" s="26"/>
      <c r="EV35" s="26"/>
      <c r="EW35" s="26"/>
      <c r="EX35" s="26"/>
      <c r="EY35" s="26"/>
      <c r="EZ35" s="26"/>
    </row>
    <row r="42" spans="1:156" x14ac:dyDescent="0.2">
      <c r="E42" s="10" t="s">
        <v>363</v>
      </c>
      <c r="F42" s="10" t="s">
        <v>363</v>
      </c>
    </row>
    <row r="43" spans="1:156" x14ac:dyDescent="0.2">
      <c r="E43" s="10" t="s">
        <v>363</v>
      </c>
      <c r="F43" s="10" t="s">
        <v>363</v>
      </c>
    </row>
    <row r="45" spans="1:156" x14ac:dyDescent="0.2">
      <c r="E45" s="10" t="s">
        <v>363</v>
      </c>
      <c r="F45" s="10" t="s">
        <v>363</v>
      </c>
    </row>
    <row r="46" spans="1:156" x14ac:dyDescent="0.2">
      <c r="E46" s="10" t="s">
        <v>363</v>
      </c>
      <c r="F46" s="10" t="s">
        <v>363</v>
      </c>
    </row>
    <row r="47" spans="1:156" x14ac:dyDescent="0.2">
      <c r="E47" s="10" t="s">
        <v>363</v>
      </c>
      <c r="F47" s="10" t="s">
        <v>363</v>
      </c>
    </row>
    <row r="48" spans="1:156" x14ac:dyDescent="0.2">
      <c r="E48" s="10" t="s">
        <v>363</v>
      </c>
      <c r="F48" s="10" t="s">
        <v>363</v>
      </c>
    </row>
    <row r="49" spans="5:6" x14ac:dyDescent="0.2">
      <c r="E49" s="10" t="s">
        <v>363</v>
      </c>
      <c r="F49" s="10" t="s">
        <v>363</v>
      </c>
    </row>
    <row r="50" spans="5:6" x14ac:dyDescent="0.2">
      <c r="E50" s="10" t="s">
        <v>363</v>
      </c>
      <c r="F50" s="10" t="s">
        <v>363</v>
      </c>
    </row>
    <row r="51" spans="5:6" x14ac:dyDescent="0.2">
      <c r="E51" s="10" t="s">
        <v>363</v>
      </c>
      <c r="F51" s="10" t="s">
        <v>363</v>
      </c>
    </row>
    <row r="52" spans="5:6" x14ac:dyDescent="0.2">
      <c r="E52" s="10" t="s">
        <v>363</v>
      </c>
      <c r="F52" s="10" t="s">
        <v>363</v>
      </c>
    </row>
    <row r="53" spans="5:6" x14ac:dyDescent="0.2">
      <c r="E53" s="10" t="s">
        <v>363</v>
      </c>
      <c r="F53" s="10" t="s">
        <v>363</v>
      </c>
    </row>
    <row r="54" spans="5:6" x14ac:dyDescent="0.2">
      <c r="E54" s="10" t="s">
        <v>363</v>
      </c>
      <c r="F54" s="10" t="s">
        <v>363</v>
      </c>
    </row>
    <row r="55" spans="5:6" x14ac:dyDescent="0.2">
      <c r="E55" s="10" t="s">
        <v>363</v>
      </c>
      <c r="F55" s="10" t="s">
        <v>363</v>
      </c>
    </row>
    <row r="56" spans="5:6" x14ac:dyDescent="0.2">
      <c r="E56" s="10" t="s">
        <v>363</v>
      </c>
      <c r="F56" s="10" t="s">
        <v>363</v>
      </c>
    </row>
    <row r="57" spans="5:6" x14ac:dyDescent="0.2">
      <c r="E57" s="10" t="s">
        <v>363</v>
      </c>
      <c r="F57" s="10" t="s">
        <v>363</v>
      </c>
    </row>
    <row r="58" spans="5:6" x14ac:dyDescent="0.2">
      <c r="E58" s="10" t="s">
        <v>363</v>
      </c>
      <c r="F58" s="10" t="s">
        <v>363</v>
      </c>
    </row>
    <row r="59" spans="5:6" x14ac:dyDescent="0.2">
      <c r="E59" s="10" t="s">
        <v>363</v>
      </c>
      <c r="F59" s="10" t="s">
        <v>363</v>
      </c>
    </row>
    <row r="60" spans="5:6" x14ac:dyDescent="0.2">
      <c r="E60" s="10" t="s">
        <v>363</v>
      </c>
      <c r="F60" s="10" t="s">
        <v>363</v>
      </c>
    </row>
    <row r="61" spans="5:6" x14ac:dyDescent="0.2">
      <c r="E61" s="10" t="s">
        <v>363</v>
      </c>
      <c r="F61" s="10" t="s">
        <v>363</v>
      </c>
    </row>
    <row r="62" spans="5:6" x14ac:dyDescent="0.2">
      <c r="E62" s="10" t="s">
        <v>363</v>
      </c>
      <c r="F62" s="10" t="s">
        <v>363</v>
      </c>
    </row>
  </sheetData>
  <pageMargins left="0.75" right="0.75" top="1" bottom="1" header="0.5" footer="0.5"/>
  <pageSetup paperSize="9" orientation="portrait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W281"/>
  <sheetViews>
    <sheetView zoomScale="70" zoomScaleNormal="70" workbookViewId="0">
      <pane xSplit="3" ySplit="2" topLeftCell="AF3" activePane="bottomRight" state="frozen"/>
      <selection pane="topRight" activeCell="D1" sqref="D1"/>
      <selection pane="bottomLeft" activeCell="A3" sqref="A3"/>
      <selection pane="bottomRight" activeCell="A22" sqref="A22"/>
    </sheetView>
  </sheetViews>
  <sheetFormatPr defaultRowHeight="14.4" x14ac:dyDescent="0.3"/>
  <cols>
    <col min="1" max="1" width="38.5546875" style="31" customWidth="1"/>
    <col min="2" max="2" width="16.77734375" style="31" customWidth="1"/>
    <col min="3" max="3" width="9.109375" style="31" bestFit="1" customWidth="1"/>
    <col min="4" max="6" width="14.33203125" style="31" customWidth="1"/>
    <col min="7" max="9" width="14.33203125" style="1" customWidth="1"/>
    <col min="10" max="10" width="14.33203125" style="31" customWidth="1"/>
    <col min="11" max="93" width="14.33203125" style="1" customWidth="1"/>
    <col min="94" max="94" width="8.88671875" style="1" customWidth="1"/>
    <col min="95" max="16384" width="8.88671875" style="1"/>
  </cols>
  <sheetData>
    <row r="1" spans="1:95" x14ac:dyDescent="0.3">
      <c r="A1" s="32"/>
      <c r="B1" s="32"/>
      <c r="C1" s="30"/>
      <c r="D1" s="32"/>
      <c r="E1" s="148" t="s">
        <v>339</v>
      </c>
      <c r="F1" s="148"/>
      <c r="G1" s="148"/>
      <c r="H1" s="148" t="s">
        <v>340</v>
      </c>
      <c r="I1" s="148"/>
      <c r="J1" s="148"/>
      <c r="K1" s="148" t="s">
        <v>329</v>
      </c>
      <c r="L1" s="148"/>
      <c r="M1" s="148"/>
      <c r="N1" s="148" t="s">
        <v>330</v>
      </c>
      <c r="O1" s="148"/>
      <c r="P1" s="148"/>
      <c r="Q1" s="148" t="s">
        <v>321</v>
      </c>
      <c r="R1" s="148"/>
      <c r="S1" s="148"/>
      <c r="T1" s="148" t="s">
        <v>320</v>
      </c>
      <c r="U1" s="148"/>
      <c r="V1" s="148"/>
      <c r="W1" s="148" t="s">
        <v>315</v>
      </c>
      <c r="X1" s="148"/>
      <c r="Y1" s="148"/>
      <c r="Z1" s="148" t="s">
        <v>314</v>
      </c>
      <c r="AA1" s="148"/>
      <c r="AB1" s="148"/>
      <c r="AC1" s="148" t="s">
        <v>335</v>
      </c>
      <c r="AD1" s="148"/>
      <c r="AE1" s="148"/>
      <c r="AF1" s="148" t="s">
        <v>331</v>
      </c>
      <c r="AG1" s="148"/>
      <c r="AH1" s="148"/>
      <c r="AI1" s="148" t="s">
        <v>332</v>
      </c>
      <c r="AJ1" s="148"/>
      <c r="AK1" s="148"/>
      <c r="AL1" s="148" t="s">
        <v>311</v>
      </c>
      <c r="AM1" s="148"/>
      <c r="AN1" s="148"/>
      <c r="AO1" s="148" t="s">
        <v>310</v>
      </c>
      <c r="AP1" s="148"/>
      <c r="AQ1" s="148"/>
      <c r="AR1" s="148" t="s">
        <v>304</v>
      </c>
      <c r="AS1" s="148"/>
      <c r="AT1" s="148"/>
      <c r="AU1" s="148" t="s">
        <v>299</v>
      </c>
      <c r="AV1" s="148"/>
      <c r="AW1" s="148"/>
      <c r="AX1" s="148" t="s">
        <v>298</v>
      </c>
      <c r="AY1" s="148"/>
      <c r="AZ1" s="148"/>
      <c r="BA1" s="148" t="s">
        <v>297</v>
      </c>
      <c r="BB1" s="148"/>
      <c r="BC1" s="148"/>
      <c r="BD1" s="148" t="s">
        <v>292</v>
      </c>
      <c r="BE1" s="148"/>
      <c r="BF1" s="148"/>
      <c r="BG1" s="148" t="s">
        <v>291</v>
      </c>
      <c r="BH1" s="148"/>
      <c r="BI1" s="148"/>
      <c r="BJ1" s="148" t="s">
        <v>287</v>
      </c>
      <c r="BK1" s="148"/>
      <c r="BL1" s="148"/>
      <c r="BM1" s="148" t="s">
        <v>273</v>
      </c>
      <c r="BN1" s="148"/>
      <c r="BO1" s="148"/>
      <c r="BP1" s="148" t="s">
        <v>271</v>
      </c>
      <c r="BQ1" s="148"/>
      <c r="BR1" s="148"/>
      <c r="BS1" s="148" t="s">
        <v>272</v>
      </c>
      <c r="BT1" s="148"/>
      <c r="BU1" s="148"/>
      <c r="BV1" s="32"/>
      <c r="BW1" s="147" t="s">
        <v>270</v>
      </c>
      <c r="BX1" s="147"/>
      <c r="BY1" s="147"/>
      <c r="BZ1" s="147" t="s">
        <v>266</v>
      </c>
      <c r="CA1" s="147"/>
      <c r="CB1" s="147"/>
      <c r="CC1" s="147" t="s">
        <v>263</v>
      </c>
      <c r="CD1" s="147"/>
      <c r="CE1" s="147"/>
      <c r="CF1" s="147" t="s">
        <v>264</v>
      </c>
      <c r="CG1" s="147"/>
      <c r="CH1" s="147"/>
      <c r="CI1" s="147" t="s">
        <v>218</v>
      </c>
      <c r="CJ1" s="147"/>
      <c r="CK1" s="147"/>
      <c r="CL1" s="147" t="s">
        <v>217</v>
      </c>
      <c r="CM1" s="147"/>
      <c r="CN1" s="147"/>
      <c r="CO1" s="147" t="s">
        <v>239</v>
      </c>
      <c r="CP1" s="147"/>
      <c r="CQ1" s="147"/>
    </row>
    <row r="2" spans="1:95" s="36" customFormat="1" ht="28.8" customHeight="1" x14ac:dyDescent="0.3">
      <c r="A2" s="78" t="s">
        <v>0</v>
      </c>
      <c r="B2" s="35" t="s">
        <v>226</v>
      </c>
      <c r="C2" s="35" t="s">
        <v>94</v>
      </c>
      <c r="D2" s="35" t="s">
        <v>27</v>
      </c>
      <c r="E2" s="79" t="s">
        <v>26</v>
      </c>
      <c r="F2" s="79" t="s">
        <v>2</v>
      </c>
      <c r="G2" s="79" t="s">
        <v>86</v>
      </c>
      <c r="H2" s="79" t="s">
        <v>26</v>
      </c>
      <c r="I2" s="79" t="s">
        <v>2</v>
      </c>
      <c r="J2" s="79" t="s">
        <v>86</v>
      </c>
      <c r="K2" s="79" t="s">
        <v>26</v>
      </c>
      <c r="L2" s="79" t="s">
        <v>2</v>
      </c>
      <c r="M2" s="79" t="s">
        <v>86</v>
      </c>
      <c r="N2" s="79" t="s">
        <v>26</v>
      </c>
      <c r="O2" s="79" t="s">
        <v>2</v>
      </c>
      <c r="P2" s="79" t="s">
        <v>86</v>
      </c>
      <c r="Q2" s="79" t="s">
        <v>26</v>
      </c>
      <c r="R2" s="79" t="s">
        <v>2</v>
      </c>
      <c r="S2" s="79" t="s">
        <v>86</v>
      </c>
      <c r="T2" s="79" t="s">
        <v>26</v>
      </c>
      <c r="U2" s="79" t="s">
        <v>2</v>
      </c>
      <c r="V2" s="79" t="s">
        <v>86</v>
      </c>
      <c r="W2" s="79" t="s">
        <v>26</v>
      </c>
      <c r="X2" s="79" t="s">
        <v>2</v>
      </c>
      <c r="Y2" s="79" t="s">
        <v>86</v>
      </c>
      <c r="Z2" s="79" t="s">
        <v>26</v>
      </c>
      <c r="AA2" s="79" t="s">
        <v>2</v>
      </c>
      <c r="AB2" s="79" t="s">
        <v>86</v>
      </c>
      <c r="AC2" s="79" t="s">
        <v>26</v>
      </c>
      <c r="AD2" s="79" t="s">
        <v>2</v>
      </c>
      <c r="AE2" s="79" t="s">
        <v>86</v>
      </c>
      <c r="AF2" s="79" t="s">
        <v>26</v>
      </c>
      <c r="AG2" s="79" t="s">
        <v>2</v>
      </c>
      <c r="AH2" s="79" t="s">
        <v>86</v>
      </c>
      <c r="AI2" s="79" t="s">
        <v>26</v>
      </c>
      <c r="AJ2" s="79" t="s">
        <v>2</v>
      </c>
      <c r="AK2" s="79" t="s">
        <v>86</v>
      </c>
      <c r="AL2" s="79" t="s">
        <v>26</v>
      </c>
      <c r="AM2" s="79" t="s">
        <v>2</v>
      </c>
      <c r="AN2" s="79" t="s">
        <v>86</v>
      </c>
      <c r="AO2" s="79" t="s">
        <v>26</v>
      </c>
      <c r="AP2" s="79" t="s">
        <v>2</v>
      </c>
      <c r="AQ2" s="79" t="s">
        <v>86</v>
      </c>
      <c r="AR2" s="79" t="s">
        <v>26</v>
      </c>
      <c r="AS2" s="79" t="s">
        <v>2</v>
      </c>
      <c r="AT2" s="79" t="s">
        <v>86</v>
      </c>
      <c r="AU2" s="79" t="s">
        <v>26</v>
      </c>
      <c r="AV2" s="79" t="s">
        <v>2</v>
      </c>
      <c r="AW2" s="79" t="s">
        <v>86</v>
      </c>
      <c r="AX2" s="79" t="s">
        <v>26</v>
      </c>
      <c r="AY2" s="79" t="s">
        <v>2</v>
      </c>
      <c r="AZ2" s="79" t="s">
        <v>86</v>
      </c>
      <c r="BA2" s="79" t="s">
        <v>26</v>
      </c>
      <c r="BB2" s="79" t="s">
        <v>2</v>
      </c>
      <c r="BC2" s="79" t="s">
        <v>86</v>
      </c>
      <c r="BD2" s="79" t="s">
        <v>26</v>
      </c>
      <c r="BE2" s="79" t="s">
        <v>2</v>
      </c>
      <c r="BF2" s="79" t="s">
        <v>86</v>
      </c>
      <c r="BG2" s="79" t="s">
        <v>26</v>
      </c>
      <c r="BH2" s="79" t="s">
        <v>2</v>
      </c>
      <c r="BI2" s="79" t="s">
        <v>86</v>
      </c>
      <c r="BJ2" s="79" t="s">
        <v>26</v>
      </c>
      <c r="BK2" s="79" t="s">
        <v>2</v>
      </c>
      <c r="BL2" s="79" t="s">
        <v>86</v>
      </c>
      <c r="BM2" s="79" t="s">
        <v>26</v>
      </c>
      <c r="BN2" s="79" t="s">
        <v>2</v>
      </c>
      <c r="BO2" s="79" t="s">
        <v>86</v>
      </c>
      <c r="BP2" s="79" t="s">
        <v>26</v>
      </c>
      <c r="BQ2" s="79" t="s">
        <v>2</v>
      </c>
      <c r="BR2" s="79" t="s">
        <v>86</v>
      </c>
      <c r="BS2" s="79" t="s">
        <v>26</v>
      </c>
      <c r="BT2" s="79" t="s">
        <v>2</v>
      </c>
      <c r="BU2" s="79" t="s">
        <v>86</v>
      </c>
      <c r="BV2" s="35" t="s">
        <v>27</v>
      </c>
      <c r="BW2" s="35" t="s">
        <v>26</v>
      </c>
      <c r="BX2" s="35" t="s">
        <v>2</v>
      </c>
      <c r="BY2" s="79" t="s">
        <v>86</v>
      </c>
      <c r="BZ2" s="35" t="s">
        <v>26</v>
      </c>
      <c r="CA2" s="35" t="s">
        <v>2</v>
      </c>
      <c r="CB2" s="79" t="s">
        <v>86</v>
      </c>
      <c r="CC2" s="35" t="s">
        <v>26</v>
      </c>
      <c r="CD2" s="35" t="s">
        <v>2</v>
      </c>
      <c r="CE2" s="79" t="s">
        <v>86</v>
      </c>
      <c r="CF2" s="35" t="s">
        <v>26</v>
      </c>
      <c r="CG2" s="35" t="s">
        <v>2</v>
      </c>
      <c r="CH2" s="79" t="s">
        <v>86</v>
      </c>
      <c r="CI2" s="35" t="s">
        <v>26</v>
      </c>
      <c r="CJ2" s="35" t="s">
        <v>2</v>
      </c>
      <c r="CK2" s="79" t="s">
        <v>86</v>
      </c>
      <c r="CL2" s="35" t="s">
        <v>26</v>
      </c>
      <c r="CM2" s="35" t="s">
        <v>2</v>
      </c>
      <c r="CN2" s="79" t="s">
        <v>86</v>
      </c>
      <c r="CO2" s="35" t="s">
        <v>26</v>
      </c>
      <c r="CP2" s="35" t="s">
        <v>2</v>
      </c>
      <c r="CQ2" s="79" t="s">
        <v>86</v>
      </c>
    </row>
    <row r="3" spans="1:95" x14ac:dyDescent="0.3">
      <c r="A3" s="31" t="s">
        <v>137</v>
      </c>
      <c r="B3" s="30"/>
      <c r="C3" s="30" t="s">
        <v>75</v>
      </c>
      <c r="D3" s="31" t="s">
        <v>1</v>
      </c>
      <c r="G3" s="85" t="str">
        <f t="shared" ref="G3:G67" si="0">IFERROR(F3/E3,"")</f>
        <v/>
      </c>
      <c r="H3" s="31"/>
      <c r="I3" s="31"/>
      <c r="J3" s="85" t="str">
        <f t="shared" ref="J3:J66" si="1">IFERROR(I3/H3,"")</f>
        <v/>
      </c>
      <c r="K3" s="31"/>
      <c r="L3" s="31"/>
      <c r="M3" s="85" t="str">
        <f t="shared" ref="M3:M66" si="2">IFERROR(L3/K3,"")</f>
        <v/>
      </c>
      <c r="N3" s="31"/>
      <c r="O3" s="31"/>
      <c r="P3" s="85" t="str">
        <f t="shared" ref="P3:P66" si="3">IFERROR(O3/N3,"")</f>
        <v/>
      </c>
      <c r="Q3" s="31"/>
      <c r="R3" s="31"/>
      <c r="S3" s="85" t="str">
        <f t="shared" ref="S3:S66" si="4">IFERROR(R3/Q3,"")</f>
        <v/>
      </c>
      <c r="T3" s="31"/>
      <c r="U3" s="31"/>
      <c r="V3" s="85" t="str">
        <f t="shared" ref="V3:V66" si="5">IFERROR(U3/T3,"")</f>
        <v/>
      </c>
      <c r="W3" s="31"/>
      <c r="X3" s="31"/>
      <c r="Y3" s="85" t="str">
        <f t="shared" ref="Y3:Y66" si="6">IFERROR(X3/W3,"")</f>
        <v/>
      </c>
      <c r="Z3" s="31"/>
      <c r="AA3" s="31"/>
      <c r="AB3" s="85" t="str">
        <f t="shared" ref="AB3:AB66" si="7">IFERROR(AA3/Z3,"")</f>
        <v/>
      </c>
      <c r="AC3" s="31"/>
      <c r="AD3" s="31"/>
      <c r="AE3" s="85" t="str">
        <f t="shared" ref="AE3:AE66" si="8">IFERROR(AD3/AC3,"")</f>
        <v/>
      </c>
      <c r="AF3" s="31"/>
      <c r="AG3" s="31"/>
      <c r="AH3" s="85" t="str">
        <f t="shared" ref="AH3:AH66" si="9">IFERROR(AG3/AF3,"")</f>
        <v/>
      </c>
      <c r="AI3" s="31"/>
      <c r="AJ3" s="31"/>
      <c r="AK3" s="85" t="str">
        <f t="shared" ref="AK3:AK66" si="10">IFERROR(AJ3/AI3,"")</f>
        <v/>
      </c>
      <c r="AL3" s="31"/>
      <c r="AM3" s="31"/>
      <c r="AN3" s="85" t="str">
        <f t="shared" ref="AN3:AN66" si="11">IFERROR(AM3/AL3,"")</f>
        <v/>
      </c>
      <c r="AO3" s="31"/>
      <c r="AP3" s="31"/>
      <c r="AQ3" s="85" t="str">
        <f t="shared" ref="AQ3:AQ66" si="12">IFERROR(AP3/AO3,"")</f>
        <v/>
      </c>
      <c r="AR3" s="31"/>
      <c r="AS3" s="31"/>
      <c r="AT3" s="85" t="str">
        <f t="shared" ref="AT3:AT66" si="13">IFERROR(AS3/AR3,"")</f>
        <v/>
      </c>
      <c r="AU3" s="31"/>
      <c r="AV3" s="31"/>
      <c r="AW3" s="85" t="str">
        <f t="shared" ref="AW3:AW66" si="14">IFERROR(AV3/AU3,"")</f>
        <v/>
      </c>
      <c r="AX3" s="33"/>
      <c r="AY3" s="31"/>
      <c r="AZ3" s="85" t="str">
        <f t="shared" ref="AZ3:AZ66" si="15">IFERROR(AY3/AX3,"")</f>
        <v/>
      </c>
      <c r="BA3" s="33"/>
      <c r="BB3" s="31"/>
      <c r="BC3" s="85" t="str">
        <f t="shared" ref="BC3:BC66" si="16">IFERROR(BB3/BA3,"")</f>
        <v/>
      </c>
      <c r="BD3" s="33"/>
      <c r="BE3" s="31"/>
      <c r="BF3" s="85" t="str">
        <f t="shared" ref="BF3:BF66" si="17">IFERROR(BE3/BD3,"")</f>
        <v/>
      </c>
      <c r="BG3" s="33"/>
      <c r="BH3" s="31"/>
      <c r="BI3" s="85" t="str">
        <f t="shared" ref="BI3:BI66" si="18">IFERROR(BH3/BG3,"")</f>
        <v/>
      </c>
      <c r="BJ3" s="33"/>
      <c r="BK3" s="33"/>
      <c r="BL3" s="85" t="str">
        <f t="shared" ref="BL3:BL66" si="19">IFERROR(BK3/BJ3,"")</f>
        <v/>
      </c>
      <c r="BM3" s="33"/>
      <c r="BN3" s="33"/>
      <c r="BO3" s="85" t="str">
        <f t="shared" ref="BO3:BO66" si="20">IFERROR(BN3/BM3,"")</f>
        <v/>
      </c>
      <c r="BP3" s="33"/>
      <c r="BQ3" s="33"/>
      <c r="BR3" s="85" t="str">
        <f t="shared" ref="BR3:BR66" si="21">IFERROR(BQ3/BP3,"")</f>
        <v/>
      </c>
      <c r="BS3" s="33"/>
      <c r="BT3" s="33"/>
      <c r="BU3" s="85" t="str">
        <f t="shared" ref="BU3:BU66" si="22">IFERROR(BT3/BS3,"")</f>
        <v/>
      </c>
      <c r="BV3" s="31" t="s">
        <v>1</v>
      </c>
      <c r="BW3" s="31"/>
      <c r="BX3" s="31"/>
      <c r="BY3" s="85" t="str">
        <f t="shared" ref="BY3:BY66" si="23">IFERROR(BX3/BW3,"")</f>
        <v/>
      </c>
      <c r="BZ3" s="31"/>
      <c r="CA3" s="31"/>
      <c r="CB3" s="85" t="str">
        <f t="shared" ref="CB3:CB66" si="24">IFERROR(CA3/BZ3,"")</f>
        <v/>
      </c>
      <c r="CC3" s="31"/>
      <c r="CD3" s="31"/>
      <c r="CE3" s="85" t="str">
        <f t="shared" ref="CE3:CE66" si="25">IFERROR(CD3/CC3,"")</f>
        <v/>
      </c>
      <c r="CF3" s="31"/>
      <c r="CG3" s="31"/>
      <c r="CH3" s="85" t="str">
        <f t="shared" ref="CH3:CH66" si="26">IFERROR(CG3/CF3,"")</f>
        <v/>
      </c>
      <c r="CI3" s="66">
        <v>2670</v>
      </c>
      <c r="CJ3" s="66">
        <v>128000</v>
      </c>
      <c r="CK3" s="85">
        <f t="shared" ref="CK3:CK66" si="27">IFERROR(CJ3/CI3,"")</f>
        <v>47.940074906367045</v>
      </c>
      <c r="CL3" s="66">
        <v>6714</v>
      </c>
      <c r="CM3" s="66">
        <v>311000</v>
      </c>
      <c r="CN3" s="85">
        <f t="shared" ref="CN3:CN66" si="28">IFERROR(CM3/CL3,"")</f>
        <v>46.321120047661601</v>
      </c>
      <c r="CQ3" s="85" t="str">
        <f t="shared" ref="CQ3:CQ66" si="29">IFERROR(CP3/CO3,"")</f>
        <v/>
      </c>
    </row>
    <row r="4" spans="1:95" x14ac:dyDescent="0.3">
      <c r="A4" s="31" t="s">
        <v>134</v>
      </c>
      <c r="C4" s="30" t="s">
        <v>75</v>
      </c>
      <c r="D4" s="31" t="s">
        <v>1</v>
      </c>
      <c r="G4" s="85" t="str">
        <f t="shared" si="0"/>
        <v/>
      </c>
      <c r="H4" s="31"/>
      <c r="I4" s="31"/>
      <c r="J4" s="85" t="str">
        <f t="shared" si="1"/>
        <v/>
      </c>
      <c r="K4" s="31"/>
      <c r="L4" s="31"/>
      <c r="M4" s="85" t="str">
        <f t="shared" si="2"/>
        <v/>
      </c>
      <c r="N4" s="31"/>
      <c r="O4" s="31"/>
      <c r="P4" s="85" t="str">
        <f t="shared" si="3"/>
        <v/>
      </c>
      <c r="Q4" s="31"/>
      <c r="R4" s="31"/>
      <c r="S4" s="85" t="str">
        <f t="shared" si="4"/>
        <v/>
      </c>
      <c r="T4" s="31"/>
      <c r="U4" s="31"/>
      <c r="V4" s="85" t="str">
        <f t="shared" si="5"/>
        <v/>
      </c>
      <c r="W4" s="31"/>
      <c r="X4" s="31"/>
      <c r="Y4" s="85" t="str">
        <f t="shared" si="6"/>
        <v/>
      </c>
      <c r="Z4" s="31"/>
      <c r="AA4" s="31"/>
      <c r="AB4" s="85" t="str">
        <f t="shared" si="7"/>
        <v/>
      </c>
      <c r="AC4" s="31"/>
      <c r="AD4" s="31"/>
      <c r="AE4" s="85" t="str">
        <f t="shared" si="8"/>
        <v/>
      </c>
      <c r="AF4" s="31"/>
      <c r="AG4" s="31"/>
      <c r="AH4" s="85" t="str">
        <f t="shared" si="9"/>
        <v/>
      </c>
      <c r="AI4" s="31"/>
      <c r="AJ4" s="31"/>
      <c r="AK4" s="85" t="str">
        <f t="shared" si="10"/>
        <v/>
      </c>
      <c r="AL4" s="31"/>
      <c r="AM4" s="31"/>
      <c r="AN4" s="85" t="str">
        <f t="shared" si="11"/>
        <v/>
      </c>
      <c r="AO4" s="31"/>
      <c r="AP4" s="31"/>
      <c r="AQ4" s="85" t="str">
        <f t="shared" si="12"/>
        <v/>
      </c>
      <c r="AR4" s="31"/>
      <c r="AS4" s="31"/>
      <c r="AT4" s="85" t="str">
        <f t="shared" si="13"/>
        <v/>
      </c>
      <c r="AU4" s="31"/>
      <c r="AV4" s="31"/>
      <c r="AW4" s="85" t="str">
        <f t="shared" si="14"/>
        <v/>
      </c>
      <c r="AX4" s="33"/>
      <c r="AY4" s="31"/>
      <c r="AZ4" s="85" t="str">
        <f t="shared" si="15"/>
        <v/>
      </c>
      <c r="BA4" s="33"/>
      <c r="BB4" s="31"/>
      <c r="BC4" s="85" t="str">
        <f t="shared" si="16"/>
        <v/>
      </c>
      <c r="BD4" s="33"/>
      <c r="BE4" s="31"/>
      <c r="BF4" s="85" t="str">
        <f t="shared" si="17"/>
        <v/>
      </c>
      <c r="BG4" s="33"/>
      <c r="BH4" s="31"/>
      <c r="BI4" s="85" t="str">
        <f t="shared" si="18"/>
        <v/>
      </c>
      <c r="BJ4" s="33"/>
      <c r="BK4" s="33"/>
      <c r="BL4" s="85" t="str">
        <f t="shared" si="19"/>
        <v/>
      </c>
      <c r="BM4" s="33"/>
      <c r="BN4" s="33"/>
      <c r="BO4" s="85" t="str">
        <f t="shared" si="20"/>
        <v/>
      </c>
      <c r="BP4" s="33"/>
      <c r="BQ4" s="33"/>
      <c r="BR4" s="85" t="str">
        <f t="shared" si="21"/>
        <v/>
      </c>
      <c r="BS4" s="33">
        <f>9281/$D$193</f>
        <v>464.05</v>
      </c>
      <c r="BT4" s="33">
        <v>9635</v>
      </c>
      <c r="BU4" s="85">
        <f t="shared" si="22"/>
        <v>20.762848830944939</v>
      </c>
      <c r="BV4" s="31" t="s">
        <v>1</v>
      </c>
      <c r="BW4" s="31"/>
      <c r="BX4" s="31"/>
      <c r="BY4" s="85" t="str">
        <f t="shared" si="23"/>
        <v/>
      </c>
      <c r="BZ4" s="31"/>
      <c r="CA4" s="31"/>
      <c r="CB4" s="85" t="str">
        <f t="shared" si="24"/>
        <v/>
      </c>
      <c r="CC4" s="31"/>
      <c r="CD4" s="31"/>
      <c r="CE4" s="85" t="str">
        <f t="shared" si="25"/>
        <v/>
      </c>
      <c r="CF4" s="31"/>
      <c r="CG4" s="31"/>
      <c r="CH4" s="85" t="str">
        <f t="shared" si="26"/>
        <v/>
      </c>
      <c r="CI4" s="66">
        <v>1597</v>
      </c>
      <c r="CJ4" s="66">
        <v>40000</v>
      </c>
      <c r="CK4" s="85">
        <f t="shared" si="27"/>
        <v>25.046963055729492</v>
      </c>
      <c r="CL4" s="66">
        <v>1584</v>
      </c>
      <c r="CM4" s="66">
        <v>50000</v>
      </c>
      <c r="CN4" s="85">
        <f t="shared" si="28"/>
        <v>31.565656565656564</v>
      </c>
      <c r="CQ4" s="85" t="str">
        <f t="shared" si="29"/>
        <v/>
      </c>
    </row>
    <row r="5" spans="1:95" x14ac:dyDescent="0.3">
      <c r="A5" s="31" t="s">
        <v>138</v>
      </c>
      <c r="C5" s="30" t="s">
        <v>75</v>
      </c>
      <c r="D5" s="31" t="s">
        <v>1</v>
      </c>
      <c r="G5" s="85" t="str">
        <f t="shared" si="0"/>
        <v/>
      </c>
      <c r="H5" s="31"/>
      <c r="I5" s="31"/>
      <c r="J5" s="85" t="str">
        <f t="shared" si="1"/>
        <v/>
      </c>
      <c r="K5" s="31"/>
      <c r="L5" s="31"/>
      <c r="M5" s="85" t="str">
        <f t="shared" si="2"/>
        <v/>
      </c>
      <c r="N5" s="31"/>
      <c r="O5" s="31"/>
      <c r="P5" s="85" t="str">
        <f t="shared" si="3"/>
        <v/>
      </c>
      <c r="Q5" s="31"/>
      <c r="R5" s="31"/>
      <c r="S5" s="85" t="str">
        <f t="shared" si="4"/>
        <v/>
      </c>
      <c r="T5" s="31"/>
      <c r="U5" s="31"/>
      <c r="V5" s="85" t="str">
        <f t="shared" si="5"/>
        <v/>
      </c>
      <c r="W5" s="31"/>
      <c r="X5" s="31"/>
      <c r="Y5" s="85" t="str">
        <f t="shared" si="6"/>
        <v/>
      </c>
      <c r="Z5" s="31"/>
      <c r="AA5" s="31"/>
      <c r="AB5" s="85" t="str">
        <f t="shared" si="7"/>
        <v/>
      </c>
      <c r="AC5" s="31"/>
      <c r="AD5" s="31"/>
      <c r="AE5" s="85" t="str">
        <f t="shared" si="8"/>
        <v/>
      </c>
      <c r="AF5" s="31"/>
      <c r="AG5" s="31"/>
      <c r="AH5" s="85" t="str">
        <f t="shared" si="9"/>
        <v/>
      </c>
      <c r="AI5" s="31"/>
      <c r="AJ5" s="31"/>
      <c r="AK5" s="85" t="str">
        <f t="shared" si="10"/>
        <v/>
      </c>
      <c r="AL5" s="31"/>
      <c r="AM5" s="31"/>
      <c r="AN5" s="85" t="str">
        <f t="shared" si="11"/>
        <v/>
      </c>
      <c r="AO5" s="31"/>
      <c r="AP5" s="31"/>
      <c r="AQ5" s="85" t="str">
        <f t="shared" si="12"/>
        <v/>
      </c>
      <c r="AR5" s="31"/>
      <c r="AS5" s="31"/>
      <c r="AT5" s="85" t="str">
        <f t="shared" si="13"/>
        <v/>
      </c>
      <c r="AU5" s="31"/>
      <c r="AV5" s="31"/>
      <c r="AW5" s="85" t="str">
        <f t="shared" si="14"/>
        <v/>
      </c>
      <c r="AX5" s="33"/>
      <c r="AY5" s="31"/>
      <c r="AZ5" s="85" t="str">
        <f t="shared" si="15"/>
        <v/>
      </c>
      <c r="BA5" s="33"/>
      <c r="BB5" s="31"/>
      <c r="BC5" s="85" t="str">
        <f t="shared" si="16"/>
        <v/>
      </c>
      <c r="BD5" s="33"/>
      <c r="BE5" s="31"/>
      <c r="BF5" s="85" t="str">
        <f t="shared" si="17"/>
        <v/>
      </c>
      <c r="BG5" s="33"/>
      <c r="BH5" s="31"/>
      <c r="BI5" s="85" t="str">
        <f t="shared" si="18"/>
        <v/>
      </c>
      <c r="BJ5" s="33"/>
      <c r="BK5" s="33"/>
      <c r="BL5" s="85" t="str">
        <f t="shared" si="19"/>
        <v/>
      </c>
      <c r="BM5" s="33"/>
      <c r="BN5" s="33"/>
      <c r="BO5" s="85" t="str">
        <f t="shared" si="20"/>
        <v/>
      </c>
      <c r="BP5" s="33"/>
      <c r="BQ5" s="33"/>
      <c r="BR5" s="85" t="str">
        <f t="shared" si="21"/>
        <v/>
      </c>
      <c r="BS5" s="33"/>
      <c r="BT5" s="33"/>
      <c r="BU5" s="85" t="str">
        <f t="shared" si="22"/>
        <v/>
      </c>
      <c r="BV5" s="31" t="s">
        <v>1</v>
      </c>
      <c r="BW5" s="31"/>
      <c r="BX5" s="31"/>
      <c r="BY5" s="85" t="str">
        <f t="shared" si="23"/>
        <v/>
      </c>
      <c r="BZ5" s="31"/>
      <c r="CA5" s="31"/>
      <c r="CB5" s="85" t="str">
        <f t="shared" si="24"/>
        <v/>
      </c>
      <c r="CC5" s="31"/>
      <c r="CD5" s="31"/>
      <c r="CE5" s="85" t="str">
        <f t="shared" si="25"/>
        <v/>
      </c>
      <c r="CF5" s="31"/>
      <c r="CG5" s="31"/>
      <c r="CH5" s="85" t="str">
        <f t="shared" si="26"/>
        <v/>
      </c>
      <c r="CI5" s="31"/>
      <c r="CJ5" s="31"/>
      <c r="CK5" s="85" t="str">
        <f t="shared" si="27"/>
        <v/>
      </c>
      <c r="CL5" s="66">
        <v>1386</v>
      </c>
      <c r="CM5" s="66">
        <v>66000</v>
      </c>
      <c r="CN5" s="85">
        <f t="shared" si="28"/>
        <v>47.61904761904762</v>
      </c>
      <c r="CQ5" s="85" t="str">
        <f t="shared" si="29"/>
        <v/>
      </c>
    </row>
    <row r="6" spans="1:95" x14ac:dyDescent="0.3">
      <c r="A6" s="31" t="s">
        <v>55</v>
      </c>
      <c r="C6" s="30" t="s">
        <v>75</v>
      </c>
      <c r="D6" s="31" t="s">
        <v>1</v>
      </c>
      <c r="G6" s="85" t="str">
        <f t="shared" si="0"/>
        <v/>
      </c>
      <c r="H6" s="31"/>
      <c r="I6" s="31"/>
      <c r="J6" s="85" t="str">
        <f t="shared" si="1"/>
        <v/>
      </c>
      <c r="K6" s="31"/>
      <c r="L6" s="31"/>
      <c r="M6" s="85" t="str">
        <f t="shared" si="2"/>
        <v/>
      </c>
      <c r="N6" s="31"/>
      <c r="O6" s="31"/>
      <c r="P6" s="85" t="str">
        <f t="shared" si="3"/>
        <v/>
      </c>
      <c r="Q6" s="31"/>
      <c r="R6" s="31"/>
      <c r="S6" s="85" t="str">
        <f t="shared" si="4"/>
        <v/>
      </c>
      <c r="T6" s="31"/>
      <c r="U6" s="31"/>
      <c r="V6" s="85" t="str">
        <f t="shared" si="5"/>
        <v/>
      </c>
      <c r="W6" s="31"/>
      <c r="X6" s="31"/>
      <c r="Y6" s="85" t="str">
        <f t="shared" si="6"/>
        <v/>
      </c>
      <c r="Z6" s="31"/>
      <c r="AA6" s="31"/>
      <c r="AB6" s="85" t="str">
        <f t="shared" si="7"/>
        <v/>
      </c>
      <c r="AC6" s="31"/>
      <c r="AD6" s="31"/>
      <c r="AE6" s="85" t="str">
        <f t="shared" si="8"/>
        <v/>
      </c>
      <c r="AF6" s="31"/>
      <c r="AG6" s="31"/>
      <c r="AH6" s="85" t="str">
        <f t="shared" si="9"/>
        <v/>
      </c>
      <c r="AI6" s="31"/>
      <c r="AJ6" s="31"/>
      <c r="AK6" s="85" t="str">
        <f t="shared" si="10"/>
        <v/>
      </c>
      <c r="AL6" s="31"/>
      <c r="AM6" s="31"/>
      <c r="AN6" s="85" t="str">
        <f t="shared" si="11"/>
        <v/>
      </c>
      <c r="AO6" s="31"/>
      <c r="AP6" s="31"/>
      <c r="AQ6" s="85" t="str">
        <f t="shared" si="12"/>
        <v/>
      </c>
      <c r="AR6" s="31"/>
      <c r="AS6" s="31"/>
      <c r="AT6" s="85" t="str">
        <f t="shared" si="13"/>
        <v/>
      </c>
      <c r="AU6" s="31"/>
      <c r="AV6" s="31"/>
      <c r="AW6" s="85" t="str">
        <f t="shared" si="14"/>
        <v/>
      </c>
      <c r="AX6" s="33"/>
      <c r="AY6" s="31"/>
      <c r="AZ6" s="85" t="str">
        <f t="shared" si="15"/>
        <v/>
      </c>
      <c r="BA6" s="33"/>
      <c r="BB6" s="31"/>
      <c r="BC6" s="85" t="str">
        <f t="shared" si="16"/>
        <v/>
      </c>
      <c r="BD6" s="33"/>
      <c r="BE6" s="31"/>
      <c r="BF6" s="85" t="str">
        <f t="shared" si="17"/>
        <v/>
      </c>
      <c r="BG6" s="33"/>
      <c r="BH6" s="31"/>
      <c r="BI6" s="85" t="str">
        <f t="shared" si="18"/>
        <v/>
      </c>
      <c r="BJ6" s="33"/>
      <c r="BK6" s="33"/>
      <c r="BL6" s="85" t="str">
        <f t="shared" si="19"/>
        <v/>
      </c>
      <c r="BM6" s="33"/>
      <c r="BN6" s="33"/>
      <c r="BO6" s="85" t="str">
        <f t="shared" si="20"/>
        <v/>
      </c>
      <c r="BP6" s="33"/>
      <c r="BQ6" s="33"/>
      <c r="BR6" s="85" t="str">
        <f t="shared" si="21"/>
        <v/>
      </c>
      <c r="BS6" s="33"/>
      <c r="BT6" s="33"/>
      <c r="BU6" s="85" t="str">
        <f t="shared" si="22"/>
        <v/>
      </c>
      <c r="BV6" s="31" t="s">
        <v>1</v>
      </c>
      <c r="BW6" s="31"/>
      <c r="BX6" s="31"/>
      <c r="BY6" s="85" t="str">
        <f t="shared" si="23"/>
        <v/>
      </c>
      <c r="BZ6" s="31"/>
      <c r="CA6" s="31"/>
      <c r="CB6" s="85" t="str">
        <f t="shared" si="24"/>
        <v/>
      </c>
      <c r="CC6" s="31"/>
      <c r="CD6" s="31"/>
      <c r="CE6" s="85" t="str">
        <f t="shared" si="25"/>
        <v/>
      </c>
      <c r="CF6" s="31"/>
      <c r="CG6" s="31"/>
      <c r="CH6" s="85" t="str">
        <f t="shared" si="26"/>
        <v/>
      </c>
      <c r="CI6" s="66">
        <v>121369</v>
      </c>
      <c r="CJ6" s="66">
        <v>896000</v>
      </c>
      <c r="CK6" s="85">
        <f t="shared" si="27"/>
        <v>7.3824452702090317</v>
      </c>
      <c r="CL6" s="66">
        <v>63870</v>
      </c>
      <c r="CM6" s="66">
        <v>447000</v>
      </c>
      <c r="CN6" s="85">
        <f t="shared" si="28"/>
        <v>6.9985908877407237</v>
      </c>
      <c r="CQ6" s="85" t="str">
        <f t="shared" si="29"/>
        <v/>
      </c>
    </row>
    <row r="7" spans="1:95" x14ac:dyDescent="0.3">
      <c r="A7" s="31" t="s">
        <v>8</v>
      </c>
      <c r="C7" s="30" t="s">
        <v>75</v>
      </c>
      <c r="D7" s="31" t="s">
        <v>1</v>
      </c>
      <c r="G7" s="85" t="str">
        <f t="shared" si="0"/>
        <v/>
      </c>
      <c r="H7" s="31"/>
      <c r="I7" s="31"/>
      <c r="J7" s="85" t="str">
        <f t="shared" si="1"/>
        <v/>
      </c>
      <c r="K7" s="31"/>
      <c r="L7" s="31"/>
      <c r="M7" s="85" t="str">
        <f t="shared" si="2"/>
        <v/>
      </c>
      <c r="N7" s="31"/>
      <c r="O7" s="31"/>
      <c r="P7" s="85" t="str">
        <f t="shared" si="3"/>
        <v/>
      </c>
      <c r="Q7" s="31"/>
      <c r="R7" s="31"/>
      <c r="S7" s="85" t="str">
        <f t="shared" si="4"/>
        <v/>
      </c>
      <c r="T7" s="31"/>
      <c r="U7" s="31"/>
      <c r="V7" s="85" t="str">
        <f t="shared" si="5"/>
        <v/>
      </c>
      <c r="W7" s="31"/>
      <c r="X7" s="31"/>
      <c r="Y7" s="85" t="str">
        <f t="shared" si="6"/>
        <v/>
      </c>
      <c r="Z7" s="31"/>
      <c r="AA7" s="31"/>
      <c r="AB7" s="85" t="str">
        <f t="shared" si="7"/>
        <v/>
      </c>
      <c r="AC7" s="31"/>
      <c r="AD7" s="31"/>
      <c r="AE7" s="85" t="str">
        <f t="shared" si="8"/>
        <v/>
      </c>
      <c r="AF7" s="31"/>
      <c r="AG7" s="31"/>
      <c r="AH7" s="85" t="str">
        <f t="shared" si="9"/>
        <v/>
      </c>
      <c r="AI7" s="31"/>
      <c r="AJ7" s="31"/>
      <c r="AK7" s="85" t="str">
        <f t="shared" si="10"/>
        <v/>
      </c>
      <c r="AL7" s="31"/>
      <c r="AM7" s="31"/>
      <c r="AN7" s="85" t="str">
        <f t="shared" si="11"/>
        <v/>
      </c>
      <c r="AO7" s="31"/>
      <c r="AP7" s="31"/>
      <c r="AQ7" s="85" t="str">
        <f t="shared" si="12"/>
        <v/>
      </c>
      <c r="AR7" s="31"/>
      <c r="AS7" s="31"/>
      <c r="AT7" s="85" t="str">
        <f t="shared" si="13"/>
        <v/>
      </c>
      <c r="AU7" s="31"/>
      <c r="AV7" s="31"/>
      <c r="AW7" s="85" t="str">
        <f t="shared" si="14"/>
        <v/>
      </c>
      <c r="AX7" s="33"/>
      <c r="AY7" s="31"/>
      <c r="AZ7" s="85" t="str">
        <f t="shared" si="15"/>
        <v/>
      </c>
      <c r="BA7" s="33"/>
      <c r="BB7" s="31"/>
      <c r="BC7" s="85" t="str">
        <f t="shared" si="16"/>
        <v/>
      </c>
      <c r="BD7" s="33"/>
      <c r="BE7" s="31"/>
      <c r="BF7" s="85" t="str">
        <f t="shared" si="17"/>
        <v/>
      </c>
      <c r="BG7" s="33"/>
      <c r="BH7" s="31"/>
      <c r="BI7" s="85" t="str">
        <f t="shared" si="18"/>
        <v/>
      </c>
      <c r="BJ7" s="33"/>
      <c r="BK7" s="33"/>
      <c r="BL7" s="85" t="str">
        <f t="shared" si="19"/>
        <v/>
      </c>
      <c r="BM7" s="33"/>
      <c r="BN7" s="33"/>
      <c r="BO7" s="85" t="str">
        <f t="shared" si="20"/>
        <v/>
      </c>
      <c r="BP7" s="33"/>
      <c r="BQ7" s="33"/>
      <c r="BR7" s="85" t="str">
        <f t="shared" si="21"/>
        <v/>
      </c>
      <c r="BS7" s="33"/>
      <c r="BT7" s="33"/>
      <c r="BU7" s="85" t="str">
        <f t="shared" si="22"/>
        <v/>
      </c>
      <c r="BV7" s="31" t="s">
        <v>1</v>
      </c>
      <c r="BW7" s="31"/>
      <c r="BX7" s="31"/>
      <c r="BY7" s="85" t="str">
        <f t="shared" si="23"/>
        <v/>
      </c>
      <c r="BZ7" s="31"/>
      <c r="CA7" s="31"/>
      <c r="CB7" s="85" t="str">
        <f t="shared" si="24"/>
        <v/>
      </c>
      <c r="CC7" s="31"/>
      <c r="CD7" s="31"/>
      <c r="CE7" s="85" t="str">
        <f t="shared" si="25"/>
        <v/>
      </c>
      <c r="CF7" s="31"/>
      <c r="CG7" s="31"/>
      <c r="CH7" s="85" t="str">
        <f t="shared" si="26"/>
        <v/>
      </c>
      <c r="CI7" s="66">
        <v>110231</v>
      </c>
      <c r="CJ7" s="66">
        <v>1104000</v>
      </c>
      <c r="CK7" s="85">
        <f t="shared" si="27"/>
        <v>10.015331440338924</v>
      </c>
      <c r="CL7" s="66">
        <v>100991</v>
      </c>
      <c r="CM7" s="66">
        <v>1069000</v>
      </c>
      <c r="CN7" s="85">
        <f t="shared" si="28"/>
        <v>10.585101642720639</v>
      </c>
      <c r="CQ7" s="85" t="str">
        <f t="shared" si="29"/>
        <v/>
      </c>
    </row>
    <row r="8" spans="1:95" x14ac:dyDescent="0.3">
      <c r="A8" s="31" t="s">
        <v>139</v>
      </c>
      <c r="C8" s="30" t="s">
        <v>75</v>
      </c>
      <c r="D8" s="31" t="s">
        <v>1</v>
      </c>
      <c r="G8" s="85" t="str">
        <f t="shared" si="0"/>
        <v/>
      </c>
      <c r="H8" s="31"/>
      <c r="I8" s="31"/>
      <c r="J8" s="85" t="str">
        <f t="shared" si="1"/>
        <v/>
      </c>
      <c r="K8" s="31"/>
      <c r="L8" s="31"/>
      <c r="M8" s="85" t="str">
        <f t="shared" si="2"/>
        <v/>
      </c>
      <c r="N8" s="31"/>
      <c r="O8" s="31"/>
      <c r="P8" s="85" t="str">
        <f t="shared" si="3"/>
        <v/>
      </c>
      <c r="Q8" s="31"/>
      <c r="R8" s="31"/>
      <c r="S8" s="85" t="str">
        <f t="shared" si="4"/>
        <v/>
      </c>
      <c r="T8" s="31"/>
      <c r="U8" s="31"/>
      <c r="V8" s="85" t="str">
        <f t="shared" si="5"/>
        <v/>
      </c>
      <c r="W8" s="31"/>
      <c r="X8" s="31"/>
      <c r="Y8" s="85" t="str">
        <f t="shared" si="6"/>
        <v/>
      </c>
      <c r="Z8" s="31"/>
      <c r="AA8" s="31"/>
      <c r="AB8" s="85" t="str">
        <f t="shared" si="7"/>
        <v/>
      </c>
      <c r="AC8" s="31"/>
      <c r="AD8" s="31"/>
      <c r="AE8" s="85" t="str">
        <f t="shared" si="8"/>
        <v/>
      </c>
      <c r="AF8" s="31"/>
      <c r="AG8" s="31"/>
      <c r="AH8" s="85" t="str">
        <f t="shared" si="9"/>
        <v/>
      </c>
      <c r="AI8" s="31"/>
      <c r="AJ8" s="31"/>
      <c r="AK8" s="85" t="str">
        <f t="shared" si="10"/>
        <v/>
      </c>
      <c r="AL8" s="31"/>
      <c r="AM8" s="31"/>
      <c r="AN8" s="85" t="str">
        <f t="shared" si="11"/>
        <v/>
      </c>
      <c r="AO8" s="31"/>
      <c r="AP8" s="31"/>
      <c r="AQ8" s="85" t="str">
        <f t="shared" si="12"/>
        <v/>
      </c>
      <c r="AR8" s="31"/>
      <c r="AS8" s="31"/>
      <c r="AT8" s="85" t="str">
        <f t="shared" si="13"/>
        <v/>
      </c>
      <c r="AU8" s="31"/>
      <c r="AV8" s="31"/>
      <c r="AW8" s="85" t="str">
        <f t="shared" si="14"/>
        <v/>
      </c>
      <c r="AX8" s="33"/>
      <c r="AY8" s="31"/>
      <c r="AZ8" s="85" t="str">
        <f t="shared" si="15"/>
        <v/>
      </c>
      <c r="BA8" s="33"/>
      <c r="BB8" s="31"/>
      <c r="BC8" s="85" t="str">
        <f t="shared" si="16"/>
        <v/>
      </c>
      <c r="BD8" s="33"/>
      <c r="BE8" s="31"/>
      <c r="BF8" s="85" t="str">
        <f t="shared" si="17"/>
        <v/>
      </c>
      <c r="BG8" s="33"/>
      <c r="BH8" s="31"/>
      <c r="BI8" s="85" t="str">
        <f t="shared" si="18"/>
        <v/>
      </c>
      <c r="BJ8" s="33"/>
      <c r="BK8" s="33"/>
      <c r="BL8" s="85" t="str">
        <f t="shared" si="19"/>
        <v/>
      </c>
      <c r="BM8" s="33"/>
      <c r="BN8" s="33"/>
      <c r="BO8" s="85" t="str">
        <f t="shared" si="20"/>
        <v/>
      </c>
      <c r="BP8" s="33"/>
      <c r="BQ8" s="33"/>
      <c r="BR8" s="85" t="str">
        <f t="shared" si="21"/>
        <v/>
      </c>
      <c r="BS8" s="33"/>
      <c r="BT8" s="33"/>
      <c r="BU8" s="85" t="str">
        <f t="shared" si="22"/>
        <v/>
      </c>
      <c r="BV8" s="31" t="s">
        <v>1</v>
      </c>
      <c r="BW8" s="31"/>
      <c r="BX8" s="31"/>
      <c r="BY8" s="85" t="str">
        <f t="shared" si="23"/>
        <v/>
      </c>
      <c r="BZ8" s="31"/>
      <c r="CA8" s="31"/>
      <c r="CB8" s="85" t="str">
        <f t="shared" si="24"/>
        <v/>
      </c>
      <c r="CC8" s="31"/>
      <c r="CD8" s="31"/>
      <c r="CE8" s="85" t="str">
        <f t="shared" si="25"/>
        <v/>
      </c>
      <c r="CF8" s="31"/>
      <c r="CG8" s="31"/>
      <c r="CH8" s="85" t="str">
        <f t="shared" si="26"/>
        <v/>
      </c>
      <c r="CI8" s="66">
        <v>5810</v>
      </c>
      <c r="CJ8" s="66">
        <v>59000</v>
      </c>
      <c r="CK8" s="85">
        <f t="shared" si="27"/>
        <v>10.154905335628227</v>
      </c>
      <c r="CL8" s="66">
        <v>5016</v>
      </c>
      <c r="CM8" s="66">
        <v>55000</v>
      </c>
      <c r="CN8" s="85">
        <f t="shared" si="28"/>
        <v>10.964912280701755</v>
      </c>
      <c r="CQ8" s="85" t="str">
        <f t="shared" si="29"/>
        <v/>
      </c>
    </row>
    <row r="9" spans="1:95" x14ac:dyDescent="0.3">
      <c r="A9" s="31" t="s">
        <v>395</v>
      </c>
      <c r="C9" s="30" t="s">
        <v>75</v>
      </c>
      <c r="D9" s="31" t="s">
        <v>1</v>
      </c>
      <c r="G9" s="85" t="str">
        <f t="shared" si="0"/>
        <v/>
      </c>
      <c r="H9" s="31"/>
      <c r="I9" s="31"/>
      <c r="J9" s="85" t="str">
        <f t="shared" si="1"/>
        <v/>
      </c>
      <c r="K9" s="31"/>
      <c r="L9" s="31"/>
      <c r="M9" s="85" t="str">
        <f t="shared" si="2"/>
        <v/>
      </c>
      <c r="N9" s="31"/>
      <c r="O9" s="31"/>
      <c r="P9" s="85" t="str">
        <f t="shared" si="3"/>
        <v/>
      </c>
      <c r="Q9" s="31"/>
      <c r="R9" s="31"/>
      <c r="S9" s="85" t="str">
        <f t="shared" si="4"/>
        <v/>
      </c>
      <c r="T9" s="31"/>
      <c r="U9" s="31"/>
      <c r="V9" s="85" t="str">
        <f t="shared" si="5"/>
        <v/>
      </c>
      <c r="W9" s="31"/>
      <c r="X9" s="31"/>
      <c r="Y9" s="85" t="str">
        <f t="shared" si="6"/>
        <v/>
      </c>
      <c r="Z9" s="31"/>
      <c r="AA9" s="31"/>
      <c r="AB9" s="85" t="str">
        <f t="shared" si="7"/>
        <v/>
      </c>
      <c r="AC9" s="31"/>
      <c r="AD9" s="31"/>
      <c r="AE9" s="85" t="str">
        <f t="shared" si="8"/>
        <v/>
      </c>
      <c r="AF9" s="31"/>
      <c r="AG9" s="31"/>
      <c r="AH9" s="85" t="str">
        <f t="shared" si="9"/>
        <v/>
      </c>
      <c r="AI9" s="31"/>
      <c r="AJ9" s="31"/>
      <c r="AK9" s="85" t="str">
        <f t="shared" si="10"/>
        <v/>
      </c>
      <c r="AL9" s="31"/>
      <c r="AM9" s="31"/>
      <c r="AN9" s="85" t="str">
        <f t="shared" si="11"/>
        <v/>
      </c>
      <c r="AO9" s="31"/>
      <c r="AP9" s="31"/>
      <c r="AQ9" s="85" t="str">
        <f t="shared" si="12"/>
        <v/>
      </c>
      <c r="AR9" s="31"/>
      <c r="AS9" s="31"/>
      <c r="AT9" s="85" t="str">
        <f t="shared" si="13"/>
        <v/>
      </c>
      <c r="AU9" s="31"/>
      <c r="AV9" s="31"/>
      <c r="AW9" s="85" t="str">
        <f t="shared" si="14"/>
        <v/>
      </c>
      <c r="AX9" s="33"/>
      <c r="AY9" s="31"/>
      <c r="AZ9" s="85" t="str">
        <f t="shared" si="15"/>
        <v/>
      </c>
      <c r="BA9" s="33"/>
      <c r="BB9" s="31"/>
      <c r="BC9" s="85" t="str">
        <f t="shared" si="16"/>
        <v/>
      </c>
      <c r="BD9" s="33"/>
      <c r="BE9" s="31"/>
      <c r="BF9" s="85" t="str">
        <f t="shared" si="17"/>
        <v/>
      </c>
      <c r="BG9" s="33"/>
      <c r="BH9" s="31"/>
      <c r="BI9" s="85" t="str">
        <f t="shared" si="18"/>
        <v/>
      </c>
      <c r="BJ9" s="33"/>
      <c r="BK9" s="33"/>
      <c r="BL9" s="85" t="str">
        <f t="shared" si="19"/>
        <v/>
      </c>
      <c r="BM9" s="33"/>
      <c r="BN9" s="33"/>
      <c r="BO9" s="85" t="str">
        <f t="shared" si="20"/>
        <v/>
      </c>
      <c r="BP9" s="33"/>
      <c r="BQ9" s="33"/>
      <c r="BR9" s="85" t="str">
        <f t="shared" si="21"/>
        <v/>
      </c>
      <c r="BS9" s="33"/>
      <c r="BT9" s="33"/>
      <c r="BU9" s="85" t="str">
        <f t="shared" si="22"/>
        <v/>
      </c>
      <c r="BV9" s="31" t="s">
        <v>1</v>
      </c>
      <c r="BW9" s="31"/>
      <c r="BX9" s="31"/>
      <c r="BY9" s="85" t="str">
        <f t="shared" si="23"/>
        <v/>
      </c>
      <c r="BZ9" s="31"/>
      <c r="CA9" s="31"/>
      <c r="CB9" s="85" t="str">
        <f t="shared" si="24"/>
        <v/>
      </c>
      <c r="CC9" s="31"/>
      <c r="CD9" s="31"/>
      <c r="CE9" s="85" t="str">
        <f t="shared" si="25"/>
        <v/>
      </c>
      <c r="CF9" s="31"/>
      <c r="CG9" s="31"/>
      <c r="CH9" s="85" t="str">
        <f t="shared" si="26"/>
        <v/>
      </c>
      <c r="CI9" s="66">
        <v>209332</v>
      </c>
      <c r="CJ9" s="66">
        <v>2009000</v>
      </c>
      <c r="CK9" s="85">
        <f t="shared" si="27"/>
        <v>9.5971948865916339</v>
      </c>
      <c r="CL9" s="66">
        <v>174687</v>
      </c>
      <c r="CM9" s="66">
        <v>1694000</v>
      </c>
      <c r="CN9" s="85">
        <f t="shared" si="28"/>
        <v>9.6973443931145429</v>
      </c>
      <c r="CQ9" s="85" t="str">
        <f t="shared" si="29"/>
        <v/>
      </c>
    </row>
    <row r="10" spans="1:95" x14ac:dyDescent="0.3">
      <c r="A10" s="31" t="s">
        <v>140</v>
      </c>
      <c r="C10" s="30" t="s">
        <v>75</v>
      </c>
      <c r="D10" s="31" t="s">
        <v>1</v>
      </c>
      <c r="G10" s="85" t="str">
        <f t="shared" si="0"/>
        <v/>
      </c>
      <c r="H10" s="31"/>
      <c r="I10" s="31"/>
      <c r="J10" s="85" t="str">
        <f t="shared" si="1"/>
        <v/>
      </c>
      <c r="K10" s="31"/>
      <c r="L10" s="31"/>
      <c r="M10" s="85" t="str">
        <f t="shared" si="2"/>
        <v/>
      </c>
      <c r="N10" s="31"/>
      <c r="O10" s="31"/>
      <c r="P10" s="85" t="str">
        <f t="shared" si="3"/>
        <v/>
      </c>
      <c r="Q10" s="31"/>
      <c r="R10" s="31"/>
      <c r="S10" s="85" t="str">
        <f t="shared" si="4"/>
        <v/>
      </c>
      <c r="T10" s="31"/>
      <c r="U10" s="31"/>
      <c r="V10" s="85" t="str">
        <f t="shared" si="5"/>
        <v/>
      </c>
      <c r="W10" s="31"/>
      <c r="X10" s="31"/>
      <c r="Y10" s="85" t="str">
        <f t="shared" si="6"/>
        <v/>
      </c>
      <c r="Z10" s="31"/>
      <c r="AA10" s="31"/>
      <c r="AB10" s="85" t="str">
        <f t="shared" si="7"/>
        <v/>
      </c>
      <c r="AC10" s="31"/>
      <c r="AD10" s="31"/>
      <c r="AE10" s="85" t="str">
        <f t="shared" si="8"/>
        <v/>
      </c>
      <c r="AF10" s="31"/>
      <c r="AG10" s="31"/>
      <c r="AH10" s="85" t="str">
        <f t="shared" si="9"/>
        <v/>
      </c>
      <c r="AI10" s="31"/>
      <c r="AJ10" s="31"/>
      <c r="AK10" s="85" t="str">
        <f t="shared" si="10"/>
        <v/>
      </c>
      <c r="AL10" s="31"/>
      <c r="AM10" s="31"/>
      <c r="AN10" s="85" t="str">
        <f t="shared" si="11"/>
        <v/>
      </c>
      <c r="AO10" s="31"/>
      <c r="AP10" s="31"/>
      <c r="AQ10" s="85" t="str">
        <f t="shared" si="12"/>
        <v/>
      </c>
      <c r="AR10" s="31"/>
      <c r="AS10" s="31"/>
      <c r="AT10" s="85" t="str">
        <f t="shared" si="13"/>
        <v/>
      </c>
      <c r="AU10" s="31"/>
      <c r="AV10" s="31"/>
      <c r="AW10" s="85" t="str">
        <f t="shared" si="14"/>
        <v/>
      </c>
      <c r="AX10" s="33"/>
      <c r="AY10" s="31"/>
      <c r="AZ10" s="85" t="str">
        <f t="shared" si="15"/>
        <v/>
      </c>
      <c r="BA10" s="33"/>
      <c r="BB10" s="31"/>
      <c r="BC10" s="85" t="str">
        <f t="shared" si="16"/>
        <v/>
      </c>
      <c r="BD10" s="33"/>
      <c r="BE10" s="31"/>
      <c r="BF10" s="85" t="str">
        <f t="shared" si="17"/>
        <v/>
      </c>
      <c r="BG10" s="33"/>
      <c r="BH10" s="31"/>
      <c r="BI10" s="85" t="str">
        <f t="shared" si="18"/>
        <v/>
      </c>
      <c r="BJ10" s="33"/>
      <c r="BK10" s="33"/>
      <c r="BL10" s="85" t="str">
        <f t="shared" si="19"/>
        <v/>
      </c>
      <c r="BM10" s="33">
        <f>3291/$D$193</f>
        <v>164.55</v>
      </c>
      <c r="BN10" s="33">
        <v>9708</v>
      </c>
      <c r="BO10" s="85">
        <f t="shared" si="20"/>
        <v>58.997265268915221</v>
      </c>
      <c r="BP10" s="33">
        <f>3474/$D$193</f>
        <v>173.7</v>
      </c>
      <c r="BQ10" s="33">
        <v>10591</v>
      </c>
      <c r="BR10" s="85">
        <f t="shared" si="21"/>
        <v>60.972941853770877</v>
      </c>
      <c r="BS10" s="33">
        <f>3830/$D$193</f>
        <v>191.5</v>
      </c>
      <c r="BT10" s="33">
        <v>11703</v>
      </c>
      <c r="BU10" s="85">
        <f t="shared" si="22"/>
        <v>61.112271540469976</v>
      </c>
      <c r="BV10" s="31" t="s">
        <v>1</v>
      </c>
      <c r="BW10" s="31">
        <f>3830/$D$193</f>
        <v>191.5</v>
      </c>
      <c r="BX10" s="31">
        <v>11703</v>
      </c>
      <c r="BY10" s="85">
        <f t="shared" si="23"/>
        <v>61.112271540469976</v>
      </c>
      <c r="BZ10" s="31"/>
      <c r="CA10" s="31"/>
      <c r="CB10" s="85" t="str">
        <f t="shared" si="24"/>
        <v/>
      </c>
      <c r="CC10" s="31"/>
      <c r="CD10" s="31"/>
      <c r="CE10" s="85" t="str">
        <f t="shared" si="25"/>
        <v/>
      </c>
      <c r="CF10" s="31"/>
      <c r="CG10" s="31"/>
      <c r="CH10" s="85" t="str">
        <f t="shared" si="26"/>
        <v/>
      </c>
      <c r="CI10" s="66">
        <v>880</v>
      </c>
      <c r="CJ10" s="66">
        <v>40000</v>
      </c>
      <c r="CK10" s="85">
        <f t="shared" si="27"/>
        <v>45.454545454545453</v>
      </c>
      <c r="CL10" s="66">
        <v>907</v>
      </c>
      <c r="CM10" s="66">
        <v>48000</v>
      </c>
      <c r="CN10" s="85">
        <f t="shared" si="28"/>
        <v>52.921719955898567</v>
      </c>
      <c r="CQ10" s="85" t="str">
        <f t="shared" si="29"/>
        <v/>
      </c>
    </row>
    <row r="11" spans="1:95" x14ac:dyDescent="0.3">
      <c r="A11" s="31" t="s">
        <v>4</v>
      </c>
      <c r="C11" s="30" t="s">
        <v>75</v>
      </c>
      <c r="D11" s="31" t="s">
        <v>1</v>
      </c>
      <c r="G11" s="85" t="str">
        <f t="shared" si="0"/>
        <v/>
      </c>
      <c r="H11" s="31"/>
      <c r="I11" s="31"/>
      <c r="J11" s="85" t="str">
        <f t="shared" si="1"/>
        <v/>
      </c>
      <c r="K11" s="31"/>
      <c r="L11" s="31"/>
      <c r="M11" s="85" t="str">
        <f t="shared" si="2"/>
        <v/>
      </c>
      <c r="N11" s="31"/>
      <c r="O11" s="31"/>
      <c r="P11" s="85" t="str">
        <f t="shared" si="3"/>
        <v/>
      </c>
      <c r="Q11" s="31"/>
      <c r="R11" s="31"/>
      <c r="S11" s="85" t="str">
        <f t="shared" si="4"/>
        <v/>
      </c>
      <c r="T11" s="31"/>
      <c r="U11" s="31"/>
      <c r="V11" s="85" t="str">
        <f t="shared" si="5"/>
        <v/>
      </c>
      <c r="W11" s="31"/>
      <c r="X11" s="31"/>
      <c r="Y11" s="85" t="str">
        <f t="shared" si="6"/>
        <v/>
      </c>
      <c r="Z11" s="31"/>
      <c r="AA11" s="31"/>
      <c r="AB11" s="85" t="str">
        <f t="shared" si="7"/>
        <v/>
      </c>
      <c r="AC11" s="31"/>
      <c r="AD11" s="31"/>
      <c r="AE11" s="85" t="str">
        <f t="shared" si="8"/>
        <v/>
      </c>
      <c r="AF11" s="31"/>
      <c r="AG11" s="31"/>
      <c r="AH11" s="85" t="str">
        <f t="shared" si="9"/>
        <v/>
      </c>
      <c r="AI11" s="31"/>
      <c r="AJ11" s="31"/>
      <c r="AK11" s="85" t="str">
        <f t="shared" si="10"/>
        <v/>
      </c>
      <c r="AL11" s="31"/>
      <c r="AM11" s="31"/>
      <c r="AN11" s="85" t="str">
        <f t="shared" si="11"/>
        <v/>
      </c>
      <c r="AO11" s="31"/>
      <c r="AP11" s="31"/>
      <c r="AQ11" s="85" t="str">
        <f t="shared" si="12"/>
        <v/>
      </c>
      <c r="AR11" s="31"/>
      <c r="AS11" s="31"/>
      <c r="AT11" s="85" t="str">
        <f t="shared" si="13"/>
        <v/>
      </c>
      <c r="AU11" s="31"/>
      <c r="AV11" s="31"/>
      <c r="AW11" s="85" t="str">
        <f t="shared" si="14"/>
        <v/>
      </c>
      <c r="AX11" s="33"/>
      <c r="AY11" s="31"/>
      <c r="AZ11" s="85" t="str">
        <f t="shared" si="15"/>
        <v/>
      </c>
      <c r="BA11" s="33"/>
      <c r="BB11" s="31"/>
      <c r="BC11" s="85" t="str">
        <f t="shared" si="16"/>
        <v/>
      </c>
      <c r="BD11" s="33"/>
      <c r="BE11" s="31"/>
      <c r="BF11" s="85" t="str">
        <f t="shared" si="17"/>
        <v/>
      </c>
      <c r="BG11" s="33"/>
      <c r="BH11" s="31"/>
      <c r="BI11" s="85" t="str">
        <f t="shared" si="18"/>
        <v/>
      </c>
      <c r="BJ11" s="33"/>
      <c r="BK11" s="33"/>
      <c r="BL11" s="85" t="str">
        <f t="shared" si="19"/>
        <v/>
      </c>
      <c r="BM11" s="33"/>
      <c r="BN11" s="33"/>
      <c r="BO11" s="85" t="str">
        <f t="shared" si="20"/>
        <v/>
      </c>
      <c r="BP11" s="33"/>
      <c r="BQ11" s="33"/>
      <c r="BR11" s="85" t="str">
        <f t="shared" si="21"/>
        <v/>
      </c>
      <c r="BS11" s="33"/>
      <c r="BT11" s="33"/>
      <c r="BU11" s="85" t="str">
        <f t="shared" si="22"/>
        <v/>
      </c>
      <c r="BV11" s="31" t="s">
        <v>1</v>
      </c>
      <c r="BW11" s="31"/>
      <c r="BX11" s="31"/>
      <c r="BY11" s="85" t="str">
        <f t="shared" si="23"/>
        <v/>
      </c>
      <c r="BZ11" s="31"/>
      <c r="CA11" s="31"/>
      <c r="CB11" s="85" t="str">
        <f t="shared" si="24"/>
        <v/>
      </c>
      <c r="CC11" s="31"/>
      <c r="CD11" s="31"/>
      <c r="CE11" s="85" t="str">
        <f t="shared" si="25"/>
        <v/>
      </c>
      <c r="CF11" s="31"/>
      <c r="CG11" s="31"/>
      <c r="CH11" s="85" t="str">
        <f t="shared" si="26"/>
        <v/>
      </c>
      <c r="CI11" s="66">
        <v>16186</v>
      </c>
      <c r="CJ11" s="66">
        <v>805000</v>
      </c>
      <c r="CK11" s="85">
        <f t="shared" si="27"/>
        <v>49.734338317064129</v>
      </c>
      <c r="CL11" s="66">
        <v>14410</v>
      </c>
      <c r="CM11" s="66">
        <v>984000</v>
      </c>
      <c r="CN11" s="85">
        <f t="shared" si="28"/>
        <v>68.285912560721727</v>
      </c>
      <c r="CQ11" s="85" t="str">
        <f t="shared" si="29"/>
        <v/>
      </c>
    </row>
    <row r="12" spans="1:95" x14ac:dyDescent="0.3">
      <c r="A12" s="31" t="s">
        <v>21</v>
      </c>
      <c r="C12" s="30" t="s">
        <v>75</v>
      </c>
      <c r="D12" s="31" t="s">
        <v>1</v>
      </c>
      <c r="G12" s="85" t="str">
        <f t="shared" si="0"/>
        <v/>
      </c>
      <c r="H12" s="31"/>
      <c r="I12" s="31"/>
      <c r="J12" s="85" t="str">
        <f t="shared" si="1"/>
        <v/>
      </c>
      <c r="K12" s="31"/>
      <c r="L12" s="31"/>
      <c r="M12" s="85" t="str">
        <f t="shared" si="2"/>
        <v/>
      </c>
      <c r="N12" s="31"/>
      <c r="O12" s="31"/>
      <c r="P12" s="85" t="str">
        <f t="shared" si="3"/>
        <v/>
      </c>
      <c r="Q12" s="31"/>
      <c r="R12" s="31"/>
      <c r="S12" s="85" t="str">
        <f t="shared" si="4"/>
        <v/>
      </c>
      <c r="T12" s="31"/>
      <c r="U12" s="31"/>
      <c r="V12" s="85" t="str">
        <f t="shared" si="5"/>
        <v/>
      </c>
      <c r="W12" s="31"/>
      <c r="X12" s="31"/>
      <c r="Y12" s="85" t="str">
        <f t="shared" si="6"/>
        <v/>
      </c>
      <c r="Z12" s="31"/>
      <c r="AA12" s="31"/>
      <c r="AB12" s="85" t="str">
        <f t="shared" si="7"/>
        <v/>
      </c>
      <c r="AC12" s="31"/>
      <c r="AD12" s="31"/>
      <c r="AE12" s="85" t="str">
        <f t="shared" si="8"/>
        <v/>
      </c>
      <c r="AF12" s="31"/>
      <c r="AG12" s="31"/>
      <c r="AH12" s="85" t="str">
        <f t="shared" si="9"/>
        <v/>
      </c>
      <c r="AI12" s="31"/>
      <c r="AJ12" s="31"/>
      <c r="AK12" s="85" t="str">
        <f t="shared" si="10"/>
        <v/>
      </c>
      <c r="AL12" s="31"/>
      <c r="AM12" s="31"/>
      <c r="AN12" s="85" t="str">
        <f t="shared" si="11"/>
        <v/>
      </c>
      <c r="AO12" s="31"/>
      <c r="AP12" s="31"/>
      <c r="AQ12" s="85" t="str">
        <f t="shared" si="12"/>
        <v/>
      </c>
      <c r="AR12" s="31"/>
      <c r="AS12" s="31"/>
      <c r="AT12" s="85" t="str">
        <f t="shared" si="13"/>
        <v/>
      </c>
      <c r="AU12" s="31"/>
      <c r="AV12" s="31"/>
      <c r="AW12" s="85" t="str">
        <f t="shared" si="14"/>
        <v/>
      </c>
      <c r="AX12" s="33"/>
      <c r="AY12" s="31"/>
      <c r="AZ12" s="85" t="str">
        <f t="shared" si="15"/>
        <v/>
      </c>
      <c r="BA12" s="33"/>
      <c r="BB12" s="31"/>
      <c r="BC12" s="85" t="str">
        <f t="shared" si="16"/>
        <v/>
      </c>
      <c r="BD12" s="33"/>
      <c r="BE12" s="31"/>
      <c r="BF12" s="85" t="str">
        <f t="shared" si="17"/>
        <v/>
      </c>
      <c r="BG12" s="33"/>
      <c r="BH12" s="31"/>
      <c r="BI12" s="85" t="str">
        <f t="shared" si="18"/>
        <v/>
      </c>
      <c r="BJ12" s="33"/>
      <c r="BK12" s="33"/>
      <c r="BL12" s="85" t="str">
        <f t="shared" si="19"/>
        <v/>
      </c>
      <c r="BM12" s="33"/>
      <c r="BN12" s="33"/>
      <c r="BO12" s="85" t="str">
        <f t="shared" si="20"/>
        <v/>
      </c>
      <c r="BP12" s="33"/>
      <c r="BQ12" s="33"/>
      <c r="BR12" s="85" t="str">
        <f t="shared" si="21"/>
        <v/>
      </c>
      <c r="BS12" s="33"/>
      <c r="BT12" s="33"/>
      <c r="BU12" s="85" t="str">
        <f t="shared" si="22"/>
        <v/>
      </c>
      <c r="BV12" s="31" t="s">
        <v>1</v>
      </c>
      <c r="BW12" s="31"/>
      <c r="BX12" s="31"/>
      <c r="BY12" s="85" t="str">
        <f t="shared" si="23"/>
        <v/>
      </c>
      <c r="BZ12" s="31"/>
      <c r="CA12" s="31"/>
      <c r="CB12" s="85" t="str">
        <f t="shared" si="24"/>
        <v/>
      </c>
      <c r="CC12" s="31"/>
      <c r="CD12" s="31"/>
      <c r="CE12" s="85" t="str">
        <f t="shared" si="25"/>
        <v/>
      </c>
      <c r="CF12" s="31"/>
      <c r="CG12" s="31"/>
      <c r="CH12" s="85" t="str">
        <f t="shared" si="26"/>
        <v/>
      </c>
      <c r="CI12" s="66">
        <v>2544</v>
      </c>
      <c r="CJ12" s="66">
        <v>182000</v>
      </c>
      <c r="CK12" s="85">
        <f t="shared" si="27"/>
        <v>71.540880503144649</v>
      </c>
      <c r="CL12" s="66">
        <v>2474</v>
      </c>
      <c r="CM12" s="66">
        <v>200000</v>
      </c>
      <c r="CN12" s="85">
        <f t="shared" si="28"/>
        <v>80.840743734842363</v>
      </c>
      <c r="CQ12" s="85" t="str">
        <f t="shared" si="29"/>
        <v/>
      </c>
    </row>
    <row r="13" spans="1:95" x14ac:dyDescent="0.3">
      <c r="A13" s="31" t="s">
        <v>141</v>
      </c>
      <c r="C13" s="30" t="s">
        <v>75</v>
      </c>
      <c r="D13" s="31" t="s">
        <v>1</v>
      </c>
      <c r="G13" s="85" t="str">
        <f t="shared" si="0"/>
        <v/>
      </c>
      <c r="H13" s="31"/>
      <c r="I13" s="31"/>
      <c r="J13" s="85" t="str">
        <f t="shared" si="1"/>
        <v/>
      </c>
      <c r="K13" s="31"/>
      <c r="L13" s="31"/>
      <c r="M13" s="85" t="str">
        <f t="shared" si="2"/>
        <v/>
      </c>
      <c r="N13" s="31"/>
      <c r="O13" s="31"/>
      <c r="P13" s="85" t="str">
        <f t="shared" si="3"/>
        <v/>
      </c>
      <c r="Q13" s="31"/>
      <c r="R13" s="31"/>
      <c r="S13" s="85" t="str">
        <f t="shared" si="4"/>
        <v/>
      </c>
      <c r="T13" s="31"/>
      <c r="U13" s="31"/>
      <c r="V13" s="85" t="str">
        <f t="shared" si="5"/>
        <v/>
      </c>
      <c r="W13" s="31"/>
      <c r="X13" s="31"/>
      <c r="Y13" s="85" t="str">
        <f t="shared" si="6"/>
        <v/>
      </c>
      <c r="Z13" s="31"/>
      <c r="AA13" s="31"/>
      <c r="AB13" s="85" t="str">
        <f t="shared" si="7"/>
        <v/>
      </c>
      <c r="AC13" s="31"/>
      <c r="AD13" s="31"/>
      <c r="AE13" s="85" t="str">
        <f t="shared" si="8"/>
        <v/>
      </c>
      <c r="AF13" s="31"/>
      <c r="AG13" s="31"/>
      <c r="AH13" s="85" t="str">
        <f t="shared" si="9"/>
        <v/>
      </c>
      <c r="AI13" s="31"/>
      <c r="AJ13" s="31"/>
      <c r="AK13" s="85" t="str">
        <f t="shared" si="10"/>
        <v/>
      </c>
      <c r="AL13" s="31"/>
      <c r="AM13" s="31"/>
      <c r="AN13" s="85" t="str">
        <f t="shared" si="11"/>
        <v/>
      </c>
      <c r="AO13" s="31"/>
      <c r="AP13" s="31"/>
      <c r="AQ13" s="85" t="str">
        <f t="shared" si="12"/>
        <v/>
      </c>
      <c r="AR13" s="31"/>
      <c r="AS13" s="31"/>
      <c r="AT13" s="85" t="str">
        <f t="shared" si="13"/>
        <v/>
      </c>
      <c r="AU13" s="31"/>
      <c r="AV13" s="31"/>
      <c r="AW13" s="85" t="str">
        <f t="shared" si="14"/>
        <v/>
      </c>
      <c r="AX13" s="33"/>
      <c r="AY13" s="31"/>
      <c r="AZ13" s="85" t="str">
        <f t="shared" si="15"/>
        <v/>
      </c>
      <c r="BA13" s="33"/>
      <c r="BB13" s="31"/>
      <c r="BC13" s="85" t="str">
        <f t="shared" si="16"/>
        <v/>
      </c>
      <c r="BD13" s="33"/>
      <c r="BE13" s="31"/>
      <c r="BF13" s="85" t="str">
        <f t="shared" si="17"/>
        <v/>
      </c>
      <c r="BG13" s="33"/>
      <c r="BH13" s="31"/>
      <c r="BI13" s="85" t="str">
        <f t="shared" si="18"/>
        <v/>
      </c>
      <c r="BJ13" s="33"/>
      <c r="BK13" s="33"/>
      <c r="BL13" s="85" t="str">
        <f t="shared" si="19"/>
        <v/>
      </c>
      <c r="BM13" s="33"/>
      <c r="BN13" s="33"/>
      <c r="BO13" s="85" t="str">
        <f t="shared" si="20"/>
        <v/>
      </c>
      <c r="BP13" s="33"/>
      <c r="BQ13" s="33"/>
      <c r="BR13" s="85" t="str">
        <f t="shared" si="21"/>
        <v/>
      </c>
      <c r="BS13" s="33"/>
      <c r="BT13" s="33"/>
      <c r="BU13" s="85" t="str">
        <f t="shared" si="22"/>
        <v/>
      </c>
      <c r="BV13" s="31" t="s">
        <v>1</v>
      </c>
      <c r="BW13" s="31"/>
      <c r="BX13" s="31"/>
      <c r="BY13" s="85" t="str">
        <f t="shared" si="23"/>
        <v/>
      </c>
      <c r="BZ13" s="31"/>
      <c r="CA13" s="31"/>
      <c r="CB13" s="85" t="str">
        <f t="shared" si="24"/>
        <v/>
      </c>
      <c r="CC13" s="31"/>
      <c r="CD13" s="31"/>
      <c r="CE13" s="85" t="str">
        <f t="shared" si="25"/>
        <v/>
      </c>
      <c r="CF13" s="31"/>
      <c r="CG13" s="31"/>
      <c r="CH13" s="85" t="str">
        <f t="shared" si="26"/>
        <v/>
      </c>
      <c r="CI13" s="66"/>
      <c r="CJ13" s="66"/>
      <c r="CK13" s="85" t="str">
        <f t="shared" si="27"/>
        <v/>
      </c>
      <c r="CL13" s="66">
        <v>640</v>
      </c>
      <c r="CM13" s="66">
        <v>67000</v>
      </c>
      <c r="CN13" s="85">
        <f t="shared" si="28"/>
        <v>104.6875</v>
      </c>
      <c r="CQ13" s="85" t="str">
        <f t="shared" si="29"/>
        <v/>
      </c>
    </row>
    <row r="14" spans="1:95" x14ac:dyDescent="0.3">
      <c r="A14" s="31" t="s">
        <v>135</v>
      </c>
      <c r="C14" s="30" t="s">
        <v>75</v>
      </c>
      <c r="D14" s="31" t="s">
        <v>1</v>
      </c>
      <c r="G14" s="85" t="str">
        <f t="shared" si="0"/>
        <v/>
      </c>
      <c r="H14" s="31"/>
      <c r="I14" s="31"/>
      <c r="J14" s="85" t="str">
        <f t="shared" si="1"/>
        <v/>
      </c>
      <c r="K14" s="31"/>
      <c r="L14" s="31"/>
      <c r="M14" s="85" t="str">
        <f t="shared" si="2"/>
        <v/>
      </c>
      <c r="N14" s="31"/>
      <c r="O14" s="31"/>
      <c r="P14" s="85" t="str">
        <f t="shared" si="3"/>
        <v/>
      </c>
      <c r="Q14" s="31"/>
      <c r="R14" s="31"/>
      <c r="S14" s="85" t="str">
        <f t="shared" si="4"/>
        <v/>
      </c>
      <c r="T14" s="31"/>
      <c r="U14" s="31"/>
      <c r="V14" s="85" t="str">
        <f t="shared" si="5"/>
        <v/>
      </c>
      <c r="W14" s="31"/>
      <c r="X14" s="31"/>
      <c r="Y14" s="85" t="str">
        <f t="shared" si="6"/>
        <v/>
      </c>
      <c r="Z14" s="31"/>
      <c r="AA14" s="31"/>
      <c r="AB14" s="85" t="str">
        <f t="shared" si="7"/>
        <v/>
      </c>
      <c r="AC14" s="31"/>
      <c r="AD14" s="31"/>
      <c r="AE14" s="85" t="str">
        <f t="shared" si="8"/>
        <v/>
      </c>
      <c r="AF14" s="31"/>
      <c r="AG14" s="31"/>
      <c r="AH14" s="85" t="str">
        <f t="shared" si="9"/>
        <v/>
      </c>
      <c r="AI14" s="31"/>
      <c r="AJ14" s="31"/>
      <c r="AK14" s="85" t="str">
        <f t="shared" si="10"/>
        <v/>
      </c>
      <c r="AL14" s="31"/>
      <c r="AM14" s="31"/>
      <c r="AN14" s="85" t="str">
        <f t="shared" si="11"/>
        <v/>
      </c>
      <c r="AO14" s="31"/>
      <c r="AP14" s="31"/>
      <c r="AQ14" s="85" t="str">
        <f t="shared" si="12"/>
        <v/>
      </c>
      <c r="AR14" s="31"/>
      <c r="AS14" s="31"/>
      <c r="AT14" s="85" t="str">
        <f t="shared" si="13"/>
        <v/>
      </c>
      <c r="AU14" s="31"/>
      <c r="AV14" s="31"/>
      <c r="AW14" s="85" t="str">
        <f t="shared" si="14"/>
        <v/>
      </c>
      <c r="AX14" s="33"/>
      <c r="AY14" s="31"/>
      <c r="AZ14" s="85" t="str">
        <f t="shared" si="15"/>
        <v/>
      </c>
      <c r="BA14" s="33"/>
      <c r="BB14" s="31"/>
      <c r="BC14" s="85" t="str">
        <f t="shared" si="16"/>
        <v/>
      </c>
      <c r="BD14" s="33"/>
      <c r="BE14" s="31"/>
      <c r="BF14" s="85" t="str">
        <f t="shared" si="17"/>
        <v/>
      </c>
      <c r="BG14" s="33"/>
      <c r="BH14" s="31"/>
      <c r="BI14" s="85" t="str">
        <f t="shared" si="18"/>
        <v/>
      </c>
      <c r="BJ14" s="33"/>
      <c r="BK14" s="33"/>
      <c r="BL14" s="85" t="str">
        <f t="shared" si="19"/>
        <v/>
      </c>
      <c r="BM14" s="33"/>
      <c r="BN14" s="33"/>
      <c r="BO14" s="85" t="str">
        <f t="shared" si="20"/>
        <v/>
      </c>
      <c r="BP14" s="33"/>
      <c r="BQ14" s="33"/>
      <c r="BR14" s="85" t="str">
        <f t="shared" si="21"/>
        <v/>
      </c>
      <c r="BS14" s="33"/>
      <c r="BT14" s="33"/>
      <c r="BU14" s="85" t="str">
        <f t="shared" si="22"/>
        <v/>
      </c>
      <c r="BV14" s="31" t="s">
        <v>1</v>
      </c>
      <c r="BW14" s="31"/>
      <c r="BX14" s="31"/>
      <c r="BY14" s="85" t="str">
        <f t="shared" si="23"/>
        <v/>
      </c>
      <c r="BZ14" s="31"/>
      <c r="CA14" s="31"/>
      <c r="CB14" s="85" t="str">
        <f t="shared" si="24"/>
        <v/>
      </c>
      <c r="CC14" s="31"/>
      <c r="CD14" s="31"/>
      <c r="CE14" s="85" t="str">
        <f t="shared" si="25"/>
        <v/>
      </c>
      <c r="CF14" s="31"/>
      <c r="CG14" s="31"/>
      <c r="CH14" s="85" t="str">
        <f t="shared" si="26"/>
        <v/>
      </c>
      <c r="CI14" s="66"/>
      <c r="CJ14" s="66"/>
      <c r="CK14" s="85" t="str">
        <f t="shared" si="27"/>
        <v/>
      </c>
      <c r="CL14" s="66">
        <v>1883</v>
      </c>
      <c r="CM14" s="66">
        <v>74000</v>
      </c>
      <c r="CN14" s="85">
        <f t="shared" si="28"/>
        <v>39.298990971853428</v>
      </c>
      <c r="CQ14" s="85" t="str">
        <f t="shared" si="29"/>
        <v/>
      </c>
    </row>
    <row r="15" spans="1:95" x14ac:dyDescent="0.3">
      <c r="A15" s="31" t="s">
        <v>219</v>
      </c>
      <c r="C15" s="30" t="s">
        <v>75</v>
      </c>
      <c r="D15" s="31" t="s">
        <v>1</v>
      </c>
      <c r="G15" s="85" t="str">
        <f t="shared" si="0"/>
        <v/>
      </c>
      <c r="H15" s="31"/>
      <c r="I15" s="31"/>
      <c r="J15" s="85" t="str">
        <f t="shared" si="1"/>
        <v/>
      </c>
      <c r="K15" s="31"/>
      <c r="L15" s="31"/>
      <c r="M15" s="85" t="str">
        <f t="shared" si="2"/>
        <v/>
      </c>
      <c r="N15" s="31"/>
      <c r="O15" s="31"/>
      <c r="P15" s="85" t="str">
        <f t="shared" si="3"/>
        <v/>
      </c>
      <c r="Q15" s="31"/>
      <c r="R15" s="31"/>
      <c r="S15" s="85" t="str">
        <f t="shared" si="4"/>
        <v/>
      </c>
      <c r="T15" s="31"/>
      <c r="U15" s="31"/>
      <c r="V15" s="85" t="str">
        <f t="shared" si="5"/>
        <v/>
      </c>
      <c r="W15" s="31"/>
      <c r="X15" s="31"/>
      <c r="Y15" s="85" t="str">
        <f t="shared" si="6"/>
        <v/>
      </c>
      <c r="Z15" s="31"/>
      <c r="AA15" s="31"/>
      <c r="AB15" s="85" t="str">
        <f t="shared" si="7"/>
        <v/>
      </c>
      <c r="AC15" s="31"/>
      <c r="AD15" s="31"/>
      <c r="AE15" s="85" t="str">
        <f t="shared" si="8"/>
        <v/>
      </c>
      <c r="AF15" s="31"/>
      <c r="AG15" s="31"/>
      <c r="AH15" s="85" t="str">
        <f t="shared" si="9"/>
        <v/>
      </c>
      <c r="AI15" s="31"/>
      <c r="AJ15" s="31"/>
      <c r="AK15" s="85" t="str">
        <f t="shared" si="10"/>
        <v/>
      </c>
      <c r="AL15" s="31"/>
      <c r="AM15" s="31"/>
      <c r="AN15" s="85" t="str">
        <f t="shared" si="11"/>
        <v/>
      </c>
      <c r="AO15" s="31"/>
      <c r="AP15" s="31"/>
      <c r="AQ15" s="85" t="str">
        <f t="shared" si="12"/>
        <v/>
      </c>
      <c r="AR15" s="31"/>
      <c r="AS15" s="31"/>
      <c r="AT15" s="85" t="str">
        <f t="shared" si="13"/>
        <v/>
      </c>
      <c r="AU15" s="31"/>
      <c r="AV15" s="31"/>
      <c r="AW15" s="85" t="str">
        <f t="shared" si="14"/>
        <v/>
      </c>
      <c r="AX15" s="33"/>
      <c r="AY15" s="31"/>
      <c r="AZ15" s="85" t="str">
        <f t="shared" si="15"/>
        <v/>
      </c>
      <c r="BA15" s="33"/>
      <c r="BB15" s="31"/>
      <c r="BC15" s="85" t="str">
        <f t="shared" si="16"/>
        <v/>
      </c>
      <c r="BD15" s="33"/>
      <c r="BE15" s="31"/>
      <c r="BF15" s="85" t="str">
        <f t="shared" si="17"/>
        <v/>
      </c>
      <c r="BG15" s="33"/>
      <c r="BH15" s="31"/>
      <c r="BI15" s="85" t="str">
        <f t="shared" si="18"/>
        <v/>
      </c>
      <c r="BJ15" s="33"/>
      <c r="BK15" s="33"/>
      <c r="BL15" s="85" t="str">
        <f t="shared" si="19"/>
        <v/>
      </c>
      <c r="BM15" s="33"/>
      <c r="BN15" s="33"/>
      <c r="BO15" s="85" t="str">
        <f t="shared" si="20"/>
        <v/>
      </c>
      <c r="BP15" s="33"/>
      <c r="BQ15" s="33"/>
      <c r="BR15" s="85" t="str">
        <f t="shared" si="21"/>
        <v/>
      </c>
      <c r="BS15" s="33"/>
      <c r="BT15" s="33"/>
      <c r="BU15" s="85" t="str">
        <f t="shared" si="22"/>
        <v/>
      </c>
      <c r="BV15" s="31" t="s">
        <v>1</v>
      </c>
      <c r="BW15" s="31"/>
      <c r="BX15" s="31"/>
      <c r="BY15" s="85" t="str">
        <f t="shared" si="23"/>
        <v/>
      </c>
      <c r="BZ15" s="31"/>
      <c r="CA15" s="31"/>
      <c r="CB15" s="85" t="str">
        <f t="shared" si="24"/>
        <v/>
      </c>
      <c r="CC15" s="31"/>
      <c r="CD15" s="31"/>
      <c r="CE15" s="85" t="str">
        <f t="shared" si="25"/>
        <v/>
      </c>
      <c r="CF15" s="31"/>
      <c r="CG15" s="31"/>
      <c r="CH15" s="85" t="str">
        <f t="shared" si="26"/>
        <v/>
      </c>
      <c r="CI15" s="66">
        <v>2006</v>
      </c>
      <c r="CJ15" s="66">
        <v>71000</v>
      </c>
      <c r="CK15" s="85">
        <f t="shared" si="27"/>
        <v>35.393818544366901</v>
      </c>
      <c r="CL15" s="66"/>
      <c r="CM15" s="66"/>
      <c r="CN15" s="85" t="str">
        <f t="shared" si="28"/>
        <v/>
      </c>
      <c r="CQ15" s="85" t="str">
        <f t="shared" si="29"/>
        <v/>
      </c>
    </row>
    <row r="16" spans="1:95" x14ac:dyDescent="0.3">
      <c r="A16" s="31" t="s">
        <v>11</v>
      </c>
      <c r="C16" s="30" t="s">
        <v>75</v>
      </c>
      <c r="D16" s="31" t="s">
        <v>1</v>
      </c>
      <c r="G16" s="85" t="str">
        <f t="shared" si="0"/>
        <v/>
      </c>
      <c r="H16" s="31"/>
      <c r="I16" s="31"/>
      <c r="J16" s="85" t="str">
        <f t="shared" si="1"/>
        <v/>
      </c>
      <c r="K16" s="31"/>
      <c r="L16" s="31"/>
      <c r="M16" s="85" t="str">
        <f t="shared" si="2"/>
        <v/>
      </c>
      <c r="N16" s="31"/>
      <c r="O16" s="31"/>
      <c r="P16" s="85" t="str">
        <f t="shared" si="3"/>
        <v/>
      </c>
      <c r="Q16" s="31"/>
      <c r="R16" s="31"/>
      <c r="S16" s="85" t="str">
        <f t="shared" si="4"/>
        <v/>
      </c>
      <c r="T16" s="31"/>
      <c r="U16" s="31"/>
      <c r="V16" s="85" t="str">
        <f t="shared" si="5"/>
        <v/>
      </c>
      <c r="W16" s="31"/>
      <c r="X16" s="31"/>
      <c r="Y16" s="85" t="str">
        <f t="shared" si="6"/>
        <v/>
      </c>
      <c r="Z16" s="31"/>
      <c r="AA16" s="31"/>
      <c r="AB16" s="85" t="str">
        <f t="shared" si="7"/>
        <v/>
      </c>
      <c r="AC16" s="31"/>
      <c r="AD16" s="31"/>
      <c r="AE16" s="85" t="str">
        <f t="shared" si="8"/>
        <v/>
      </c>
      <c r="AF16" s="31"/>
      <c r="AG16" s="31"/>
      <c r="AH16" s="85" t="str">
        <f t="shared" si="9"/>
        <v/>
      </c>
      <c r="AI16" s="31"/>
      <c r="AJ16" s="31"/>
      <c r="AK16" s="85" t="str">
        <f t="shared" si="10"/>
        <v/>
      </c>
      <c r="AL16" s="31"/>
      <c r="AM16" s="31"/>
      <c r="AN16" s="85" t="str">
        <f t="shared" si="11"/>
        <v/>
      </c>
      <c r="AO16" s="31"/>
      <c r="AP16" s="31"/>
      <c r="AQ16" s="85" t="str">
        <f t="shared" si="12"/>
        <v/>
      </c>
      <c r="AR16" s="31"/>
      <c r="AS16" s="31"/>
      <c r="AT16" s="85" t="str">
        <f t="shared" si="13"/>
        <v/>
      </c>
      <c r="AU16" s="31"/>
      <c r="AV16" s="31"/>
      <c r="AW16" s="85" t="str">
        <f t="shared" si="14"/>
        <v/>
      </c>
      <c r="AX16" s="33"/>
      <c r="AY16" s="31"/>
      <c r="AZ16" s="85" t="str">
        <f t="shared" si="15"/>
        <v/>
      </c>
      <c r="BA16" s="33">
        <v>66997</v>
      </c>
      <c r="BB16" s="31">
        <v>821604</v>
      </c>
      <c r="BC16" s="85">
        <f t="shared" si="16"/>
        <v>12.263295371434541</v>
      </c>
      <c r="BD16" s="33"/>
      <c r="BE16" s="31"/>
      <c r="BF16" s="85" t="str">
        <f t="shared" si="17"/>
        <v/>
      </c>
      <c r="BG16" s="33">
        <f>100647</f>
        <v>100647</v>
      </c>
      <c r="BH16" s="31">
        <v>928000</v>
      </c>
      <c r="BI16" s="85">
        <f t="shared" si="18"/>
        <v>9.2203443719137184</v>
      </c>
      <c r="BJ16" s="33">
        <v>89500</v>
      </c>
      <c r="BK16" s="33"/>
      <c r="BL16" s="85">
        <f t="shared" si="19"/>
        <v>0</v>
      </c>
      <c r="BM16" s="33">
        <f>89606</f>
        <v>89606</v>
      </c>
      <c r="BN16" s="33">
        <v>956000</v>
      </c>
      <c r="BO16" s="85">
        <f t="shared" si="20"/>
        <v>10.668928419971877</v>
      </c>
      <c r="BP16" s="33">
        <f>1583+98187</f>
        <v>99770</v>
      </c>
      <c r="BQ16" s="33">
        <f>358000+1278000</f>
        <v>1636000</v>
      </c>
      <c r="BR16" s="85">
        <f t="shared" si="21"/>
        <v>16.397714743910996</v>
      </c>
      <c r="BS16" s="33"/>
      <c r="BT16" s="33"/>
      <c r="BU16" s="85" t="str">
        <f t="shared" si="22"/>
        <v/>
      </c>
      <c r="BV16" s="31" t="s">
        <v>1</v>
      </c>
      <c r="BW16" s="31"/>
      <c r="BX16" s="31"/>
      <c r="BY16" s="85" t="str">
        <f t="shared" si="23"/>
        <v/>
      </c>
      <c r="BZ16" s="31"/>
      <c r="CA16" s="31"/>
      <c r="CB16" s="85" t="str">
        <f t="shared" si="24"/>
        <v/>
      </c>
      <c r="CC16" s="31"/>
      <c r="CD16" s="31"/>
      <c r="CE16" s="85" t="str">
        <f t="shared" si="25"/>
        <v/>
      </c>
      <c r="CF16" s="31"/>
      <c r="CG16" s="31"/>
      <c r="CH16" s="85" t="str">
        <f t="shared" si="26"/>
        <v/>
      </c>
      <c r="CI16" s="66">
        <v>201901</v>
      </c>
      <c r="CJ16" s="66">
        <v>3248000</v>
      </c>
      <c r="CK16" s="85">
        <f t="shared" si="27"/>
        <v>16.08709218874597</v>
      </c>
      <c r="CL16" s="66">
        <v>178745</v>
      </c>
      <c r="CM16" s="66">
        <v>2962000</v>
      </c>
      <c r="CN16" s="85">
        <f t="shared" si="28"/>
        <v>16.571092897703434</v>
      </c>
      <c r="CQ16" s="85" t="str">
        <f t="shared" si="29"/>
        <v/>
      </c>
    </row>
    <row r="17" spans="1:95" x14ac:dyDescent="0.3">
      <c r="A17" s="31" t="s">
        <v>142</v>
      </c>
      <c r="C17" s="30" t="s">
        <v>75</v>
      </c>
      <c r="D17" s="31" t="s">
        <v>1</v>
      </c>
      <c r="G17" s="85" t="str">
        <f t="shared" si="0"/>
        <v/>
      </c>
      <c r="H17" s="31"/>
      <c r="I17" s="31"/>
      <c r="J17" s="85" t="str">
        <f t="shared" si="1"/>
        <v/>
      </c>
      <c r="K17" s="31"/>
      <c r="L17" s="31"/>
      <c r="M17" s="85" t="str">
        <f t="shared" si="2"/>
        <v/>
      </c>
      <c r="N17" s="31"/>
      <c r="O17" s="31"/>
      <c r="P17" s="85" t="str">
        <f t="shared" si="3"/>
        <v/>
      </c>
      <c r="Q17" s="31"/>
      <c r="R17" s="31"/>
      <c r="S17" s="85" t="str">
        <f t="shared" si="4"/>
        <v/>
      </c>
      <c r="T17" s="31"/>
      <c r="U17" s="31"/>
      <c r="V17" s="85" t="str">
        <f t="shared" si="5"/>
        <v/>
      </c>
      <c r="W17" s="31"/>
      <c r="X17" s="31"/>
      <c r="Y17" s="85" t="str">
        <f t="shared" si="6"/>
        <v/>
      </c>
      <c r="Z17" s="31"/>
      <c r="AA17" s="31"/>
      <c r="AB17" s="85" t="str">
        <f t="shared" si="7"/>
        <v/>
      </c>
      <c r="AC17" s="31"/>
      <c r="AD17" s="31"/>
      <c r="AE17" s="85" t="str">
        <f t="shared" si="8"/>
        <v/>
      </c>
      <c r="AF17" s="31"/>
      <c r="AG17" s="31"/>
      <c r="AH17" s="85" t="str">
        <f t="shared" si="9"/>
        <v/>
      </c>
      <c r="AI17" s="31"/>
      <c r="AJ17" s="31"/>
      <c r="AK17" s="85" t="str">
        <f t="shared" si="10"/>
        <v/>
      </c>
      <c r="AL17" s="31"/>
      <c r="AM17" s="31"/>
      <c r="AN17" s="85" t="str">
        <f t="shared" si="11"/>
        <v/>
      </c>
      <c r="AO17" s="31"/>
      <c r="AP17" s="31"/>
      <c r="AQ17" s="85" t="str">
        <f t="shared" si="12"/>
        <v/>
      </c>
      <c r="AR17" s="31"/>
      <c r="AS17" s="31"/>
      <c r="AT17" s="85" t="str">
        <f t="shared" si="13"/>
        <v/>
      </c>
      <c r="AU17" s="31"/>
      <c r="AV17" s="31"/>
      <c r="AW17" s="85" t="str">
        <f t="shared" si="14"/>
        <v/>
      </c>
      <c r="AX17" s="33"/>
      <c r="AY17" s="31"/>
      <c r="AZ17" s="85" t="str">
        <f t="shared" si="15"/>
        <v/>
      </c>
      <c r="BA17" s="33"/>
      <c r="BB17" s="31"/>
      <c r="BC17" s="85" t="str">
        <f t="shared" si="16"/>
        <v/>
      </c>
      <c r="BD17" s="33"/>
      <c r="BE17" s="31"/>
      <c r="BF17" s="85" t="str">
        <f t="shared" si="17"/>
        <v/>
      </c>
      <c r="BG17" s="33"/>
      <c r="BH17" s="31"/>
      <c r="BI17" s="85" t="str">
        <f t="shared" si="18"/>
        <v/>
      </c>
      <c r="BJ17" s="33"/>
      <c r="BK17" s="33"/>
      <c r="BL17" s="85" t="str">
        <f t="shared" si="19"/>
        <v/>
      </c>
      <c r="BM17" s="33"/>
      <c r="BN17" s="33"/>
      <c r="BO17" s="85" t="str">
        <f t="shared" si="20"/>
        <v/>
      </c>
      <c r="BP17" s="33"/>
      <c r="BQ17" s="33"/>
      <c r="BR17" s="85" t="str">
        <f t="shared" si="21"/>
        <v/>
      </c>
      <c r="BS17" s="33"/>
      <c r="BT17" s="33"/>
      <c r="BU17" s="85" t="str">
        <f t="shared" si="22"/>
        <v/>
      </c>
      <c r="BV17" s="31" t="s">
        <v>1</v>
      </c>
      <c r="BW17" s="31"/>
      <c r="BX17" s="31"/>
      <c r="BY17" s="85" t="str">
        <f t="shared" si="23"/>
        <v/>
      </c>
      <c r="BZ17" s="31"/>
      <c r="CA17" s="31"/>
      <c r="CB17" s="85" t="str">
        <f t="shared" si="24"/>
        <v/>
      </c>
      <c r="CC17" s="31"/>
      <c r="CD17" s="31"/>
      <c r="CE17" s="85" t="str">
        <f t="shared" si="25"/>
        <v/>
      </c>
      <c r="CF17" s="31"/>
      <c r="CG17" s="31"/>
      <c r="CH17" s="85" t="str">
        <f t="shared" si="26"/>
        <v/>
      </c>
      <c r="CI17" s="66">
        <v>1236</v>
      </c>
      <c r="CJ17" s="66">
        <v>54000</v>
      </c>
      <c r="CK17" s="85">
        <f t="shared" si="27"/>
        <v>43.689320388349515</v>
      </c>
      <c r="CL17" s="66">
        <v>1598</v>
      </c>
      <c r="CM17" s="66">
        <v>65000</v>
      </c>
      <c r="CN17" s="85">
        <f t="shared" si="28"/>
        <v>40.675844806007511</v>
      </c>
      <c r="CQ17" s="85" t="str">
        <f t="shared" si="29"/>
        <v/>
      </c>
    </row>
    <row r="18" spans="1:95" x14ac:dyDescent="0.3">
      <c r="A18" s="31" t="s">
        <v>136</v>
      </c>
      <c r="C18" s="30" t="s">
        <v>75</v>
      </c>
      <c r="D18" s="31" t="s">
        <v>1</v>
      </c>
      <c r="G18" s="85" t="str">
        <f t="shared" si="0"/>
        <v/>
      </c>
      <c r="H18" s="31"/>
      <c r="I18" s="31"/>
      <c r="J18" s="85" t="str">
        <f t="shared" si="1"/>
        <v/>
      </c>
      <c r="K18" s="31"/>
      <c r="L18" s="31"/>
      <c r="M18" s="85" t="str">
        <f t="shared" si="2"/>
        <v/>
      </c>
      <c r="N18" s="31"/>
      <c r="O18" s="31"/>
      <c r="P18" s="85" t="str">
        <f t="shared" si="3"/>
        <v/>
      </c>
      <c r="Q18" s="31"/>
      <c r="R18" s="31"/>
      <c r="S18" s="85" t="str">
        <f t="shared" si="4"/>
        <v/>
      </c>
      <c r="T18" s="31"/>
      <c r="U18" s="31"/>
      <c r="V18" s="85" t="str">
        <f t="shared" si="5"/>
        <v/>
      </c>
      <c r="W18" s="31"/>
      <c r="X18" s="31"/>
      <c r="Y18" s="85" t="str">
        <f t="shared" si="6"/>
        <v/>
      </c>
      <c r="Z18" s="31"/>
      <c r="AA18" s="31"/>
      <c r="AB18" s="85" t="str">
        <f t="shared" si="7"/>
        <v/>
      </c>
      <c r="AC18" s="31"/>
      <c r="AD18" s="31"/>
      <c r="AE18" s="85" t="str">
        <f t="shared" si="8"/>
        <v/>
      </c>
      <c r="AF18" s="31"/>
      <c r="AG18" s="31"/>
      <c r="AH18" s="85" t="str">
        <f t="shared" si="9"/>
        <v/>
      </c>
      <c r="AI18" s="31"/>
      <c r="AJ18" s="31"/>
      <c r="AK18" s="85" t="str">
        <f t="shared" si="10"/>
        <v/>
      </c>
      <c r="AL18" s="31"/>
      <c r="AM18" s="31"/>
      <c r="AN18" s="85" t="str">
        <f t="shared" si="11"/>
        <v/>
      </c>
      <c r="AO18" s="31"/>
      <c r="AP18" s="31"/>
      <c r="AQ18" s="85" t="str">
        <f t="shared" si="12"/>
        <v/>
      </c>
      <c r="AR18" s="31"/>
      <c r="AS18" s="31"/>
      <c r="AT18" s="85" t="str">
        <f t="shared" si="13"/>
        <v/>
      </c>
      <c r="AU18" s="31"/>
      <c r="AV18" s="31"/>
      <c r="AW18" s="85" t="str">
        <f t="shared" si="14"/>
        <v/>
      </c>
      <c r="AX18" s="33">
        <v>776</v>
      </c>
      <c r="AY18" s="31"/>
      <c r="AZ18" s="85"/>
      <c r="BA18" s="33">
        <v>679</v>
      </c>
      <c r="BB18" s="31">
        <v>18461</v>
      </c>
      <c r="BC18" s="85">
        <f t="shared" si="16"/>
        <v>27.188512518409425</v>
      </c>
      <c r="BD18" s="33">
        <v>776</v>
      </c>
      <c r="BE18" s="31">
        <v>22142</v>
      </c>
      <c r="BF18" s="85">
        <f t="shared" si="17"/>
        <v>28.533505154639176</v>
      </c>
      <c r="BG18" s="33">
        <v>726</v>
      </c>
      <c r="BH18" s="31">
        <v>21552</v>
      </c>
      <c r="BI18" s="85">
        <f t="shared" si="18"/>
        <v>29.685950413223139</v>
      </c>
      <c r="BJ18" s="33">
        <f>773</f>
        <v>773</v>
      </c>
      <c r="BK18" s="33">
        <v>19039</v>
      </c>
      <c r="BL18" s="85">
        <f t="shared" si="19"/>
        <v>24.630012936610608</v>
      </c>
      <c r="BM18" s="33">
        <f>546+347</f>
        <v>893</v>
      </c>
      <c r="BN18" s="33">
        <f>11446+6753</f>
        <v>18199</v>
      </c>
      <c r="BO18" s="85">
        <f t="shared" si="20"/>
        <v>20.379619260918254</v>
      </c>
      <c r="BP18" s="33">
        <f>505+297</f>
        <v>802</v>
      </c>
      <c r="BQ18" s="33">
        <f>9273+5765</f>
        <v>15038</v>
      </c>
      <c r="BR18" s="85">
        <f t="shared" si="21"/>
        <v>18.75062344139651</v>
      </c>
      <c r="BS18" s="33">
        <f>432+285</f>
        <v>717</v>
      </c>
      <c r="BT18" s="33">
        <f>9273+6244</f>
        <v>15517</v>
      </c>
      <c r="BU18" s="85">
        <f t="shared" si="22"/>
        <v>21.641562064156208</v>
      </c>
      <c r="BV18" s="31" t="s">
        <v>1</v>
      </c>
      <c r="BW18" s="31"/>
      <c r="BX18" s="31"/>
      <c r="BY18" s="85" t="str">
        <f t="shared" si="23"/>
        <v/>
      </c>
      <c r="BZ18" s="31"/>
      <c r="CA18" s="31"/>
      <c r="CB18" s="85" t="str">
        <f t="shared" si="24"/>
        <v/>
      </c>
      <c r="CC18" s="31"/>
      <c r="CD18" s="31"/>
      <c r="CE18" s="85" t="str">
        <f t="shared" si="25"/>
        <v/>
      </c>
      <c r="CF18" s="31"/>
      <c r="CG18" s="31"/>
      <c r="CH18" s="85" t="str">
        <f t="shared" si="26"/>
        <v/>
      </c>
      <c r="CI18" s="66">
        <v>5197</v>
      </c>
      <c r="CJ18" s="66">
        <v>186000</v>
      </c>
      <c r="CK18" s="85">
        <f t="shared" si="27"/>
        <v>35.789878776217051</v>
      </c>
      <c r="CL18" s="66">
        <v>8522</v>
      </c>
      <c r="CM18" s="66">
        <v>304000</v>
      </c>
      <c r="CN18" s="85">
        <f t="shared" si="28"/>
        <v>35.672377376202768</v>
      </c>
      <c r="CQ18" s="85" t="str">
        <f t="shared" si="29"/>
        <v/>
      </c>
    </row>
    <row r="19" spans="1:95" x14ac:dyDescent="0.3">
      <c r="A19" s="31" t="s">
        <v>12</v>
      </c>
      <c r="C19" s="30" t="s">
        <v>75</v>
      </c>
      <c r="D19" s="31" t="s">
        <v>1</v>
      </c>
      <c r="G19" s="85" t="str">
        <f t="shared" si="0"/>
        <v/>
      </c>
      <c r="H19" s="31"/>
      <c r="I19" s="31"/>
      <c r="J19" s="85" t="str">
        <f t="shared" si="1"/>
        <v/>
      </c>
      <c r="K19" s="31"/>
      <c r="L19" s="31"/>
      <c r="M19" s="85" t="str">
        <f t="shared" si="2"/>
        <v/>
      </c>
      <c r="N19" s="31"/>
      <c r="O19" s="31"/>
      <c r="P19" s="85" t="str">
        <f t="shared" si="3"/>
        <v/>
      </c>
      <c r="Q19" s="31"/>
      <c r="R19" s="31"/>
      <c r="S19" s="85" t="str">
        <f t="shared" si="4"/>
        <v/>
      </c>
      <c r="T19" s="31"/>
      <c r="U19" s="31"/>
      <c r="V19" s="85" t="str">
        <f t="shared" si="5"/>
        <v/>
      </c>
      <c r="W19" s="31"/>
      <c r="X19" s="31"/>
      <c r="Y19" s="85" t="str">
        <f t="shared" si="6"/>
        <v/>
      </c>
      <c r="Z19" s="31"/>
      <c r="AA19" s="31"/>
      <c r="AB19" s="85" t="str">
        <f t="shared" si="7"/>
        <v/>
      </c>
      <c r="AC19" s="31"/>
      <c r="AD19" s="31"/>
      <c r="AE19" s="85" t="str">
        <f t="shared" si="8"/>
        <v/>
      </c>
      <c r="AF19" s="31"/>
      <c r="AG19" s="31"/>
      <c r="AH19" s="85" t="str">
        <f t="shared" si="9"/>
        <v/>
      </c>
      <c r="AI19" s="31"/>
      <c r="AJ19" s="31"/>
      <c r="AK19" s="85" t="str">
        <f t="shared" si="10"/>
        <v/>
      </c>
      <c r="AL19" s="31"/>
      <c r="AM19" s="31"/>
      <c r="AN19" s="85" t="str">
        <f t="shared" si="11"/>
        <v/>
      </c>
      <c r="AO19" s="31"/>
      <c r="AP19" s="31"/>
      <c r="AQ19" s="85" t="str">
        <f t="shared" si="12"/>
        <v/>
      </c>
      <c r="AR19" s="31"/>
      <c r="AS19" s="31"/>
      <c r="AT19" s="85" t="str">
        <f t="shared" si="13"/>
        <v/>
      </c>
      <c r="AU19" s="31"/>
      <c r="AV19" s="31"/>
      <c r="AW19" s="85" t="str">
        <f t="shared" si="14"/>
        <v/>
      </c>
      <c r="AX19" s="33"/>
      <c r="AY19" s="31"/>
      <c r="AZ19" s="85" t="str">
        <f t="shared" si="15"/>
        <v/>
      </c>
      <c r="BA19" s="33"/>
      <c r="BB19" s="31"/>
      <c r="BC19" s="85" t="str">
        <f t="shared" si="16"/>
        <v/>
      </c>
      <c r="BD19" s="33"/>
      <c r="BE19" s="31"/>
      <c r="BF19" s="85" t="str">
        <f t="shared" si="17"/>
        <v/>
      </c>
      <c r="BG19" s="33"/>
      <c r="BH19" s="31"/>
      <c r="BI19" s="85" t="str">
        <f t="shared" si="18"/>
        <v/>
      </c>
      <c r="BJ19" s="33"/>
      <c r="BK19" s="33"/>
      <c r="BL19" s="85" t="str">
        <f t="shared" si="19"/>
        <v/>
      </c>
      <c r="BM19" s="33"/>
      <c r="BN19" s="33"/>
      <c r="BO19" s="85" t="str">
        <f t="shared" si="20"/>
        <v/>
      </c>
      <c r="BP19" s="33"/>
      <c r="BQ19" s="33"/>
      <c r="BR19" s="85" t="str">
        <f t="shared" si="21"/>
        <v/>
      </c>
      <c r="BS19" s="33"/>
      <c r="BT19" s="33"/>
      <c r="BU19" s="85" t="str">
        <f t="shared" si="22"/>
        <v/>
      </c>
      <c r="BV19" s="31" t="s">
        <v>1</v>
      </c>
      <c r="BW19" s="31"/>
      <c r="BX19" s="31"/>
      <c r="BY19" s="85" t="str">
        <f t="shared" si="23"/>
        <v/>
      </c>
      <c r="BZ19" s="31"/>
      <c r="CA19" s="31"/>
      <c r="CB19" s="85" t="str">
        <f t="shared" si="24"/>
        <v/>
      </c>
      <c r="CC19" s="31"/>
      <c r="CD19" s="31"/>
      <c r="CE19" s="85" t="str">
        <f t="shared" si="25"/>
        <v/>
      </c>
      <c r="CF19" s="31"/>
      <c r="CG19" s="31"/>
      <c r="CH19" s="85" t="str">
        <f t="shared" si="26"/>
        <v/>
      </c>
      <c r="CI19" s="66">
        <v>987</v>
      </c>
      <c r="CJ19" s="66">
        <v>36000</v>
      </c>
      <c r="CK19" s="85">
        <f t="shared" si="27"/>
        <v>36.474164133738604</v>
      </c>
      <c r="CL19" s="66">
        <v>1114</v>
      </c>
      <c r="CM19" s="66">
        <v>50000</v>
      </c>
      <c r="CN19" s="85">
        <f t="shared" si="28"/>
        <v>44.88330341113106</v>
      </c>
      <c r="CQ19" s="85" t="str">
        <f t="shared" si="29"/>
        <v/>
      </c>
    </row>
    <row r="20" spans="1:95" x14ac:dyDescent="0.3">
      <c r="A20" s="31" t="s">
        <v>9</v>
      </c>
      <c r="C20" s="30" t="s">
        <v>75</v>
      </c>
      <c r="D20" s="31" t="s">
        <v>1</v>
      </c>
      <c r="G20" s="85" t="str">
        <f t="shared" si="0"/>
        <v/>
      </c>
      <c r="H20" s="31"/>
      <c r="I20" s="31"/>
      <c r="J20" s="85" t="str">
        <f t="shared" si="1"/>
        <v/>
      </c>
      <c r="K20" s="31"/>
      <c r="L20" s="31"/>
      <c r="M20" s="85" t="str">
        <f t="shared" si="2"/>
        <v/>
      </c>
      <c r="N20" s="31"/>
      <c r="O20" s="31"/>
      <c r="P20" s="85" t="str">
        <f t="shared" si="3"/>
        <v/>
      </c>
      <c r="Q20" s="31"/>
      <c r="R20" s="31"/>
      <c r="S20" s="85" t="str">
        <f t="shared" si="4"/>
        <v/>
      </c>
      <c r="T20" s="31"/>
      <c r="U20" s="31"/>
      <c r="V20" s="85" t="str">
        <f t="shared" si="5"/>
        <v/>
      </c>
      <c r="W20" s="31"/>
      <c r="X20" s="31"/>
      <c r="Y20" s="85" t="str">
        <f t="shared" si="6"/>
        <v/>
      </c>
      <c r="Z20" s="31"/>
      <c r="AA20" s="31"/>
      <c r="AB20" s="85" t="str">
        <f t="shared" si="7"/>
        <v/>
      </c>
      <c r="AC20" s="31"/>
      <c r="AD20" s="31"/>
      <c r="AE20" s="85" t="str">
        <f t="shared" si="8"/>
        <v/>
      </c>
      <c r="AF20" s="84">
        <v>104</v>
      </c>
      <c r="AG20" s="83">
        <v>16666</v>
      </c>
      <c r="AH20" s="85">
        <f t="shared" si="9"/>
        <v>160.25</v>
      </c>
      <c r="AI20" s="84">
        <v>77</v>
      </c>
      <c r="AJ20" s="83">
        <v>13039</v>
      </c>
      <c r="AK20" s="85">
        <f t="shared" si="10"/>
        <v>169.33766233766235</v>
      </c>
      <c r="AL20" s="84">
        <v>77.8</v>
      </c>
      <c r="AM20" s="83">
        <v>15245</v>
      </c>
      <c r="AN20" s="85">
        <f t="shared" si="11"/>
        <v>195.95115681233935</v>
      </c>
      <c r="AO20" s="84">
        <v>45</v>
      </c>
      <c r="AP20" s="83">
        <v>9166</v>
      </c>
      <c r="AQ20" s="85">
        <f t="shared" si="12"/>
        <v>203.6888888888889</v>
      </c>
      <c r="AR20" s="31"/>
      <c r="AS20" s="31"/>
      <c r="AT20" s="85" t="str">
        <f t="shared" si="13"/>
        <v/>
      </c>
      <c r="AU20" s="31"/>
      <c r="AV20" s="31"/>
      <c r="AW20" s="85" t="str">
        <f t="shared" si="14"/>
        <v/>
      </c>
      <c r="AX20" s="33"/>
      <c r="AY20" s="31"/>
      <c r="AZ20" s="85" t="str">
        <f t="shared" si="15"/>
        <v/>
      </c>
      <c r="BA20" s="33"/>
      <c r="BB20" s="31"/>
      <c r="BC20" s="85" t="str">
        <f t="shared" si="16"/>
        <v/>
      </c>
      <c r="BD20" s="33"/>
      <c r="BE20" s="31"/>
      <c r="BF20" s="85" t="str">
        <f t="shared" si="17"/>
        <v/>
      </c>
      <c r="BG20" s="33"/>
      <c r="BH20" s="31"/>
      <c r="BI20" s="85" t="str">
        <f t="shared" si="18"/>
        <v/>
      </c>
      <c r="BJ20" s="33"/>
      <c r="BK20" s="33"/>
      <c r="BL20" s="85" t="str">
        <f t="shared" si="19"/>
        <v/>
      </c>
      <c r="BM20" s="33"/>
      <c r="BN20" s="33"/>
      <c r="BO20" s="85" t="str">
        <f t="shared" si="20"/>
        <v/>
      </c>
      <c r="BP20" s="33"/>
      <c r="BQ20" s="33"/>
      <c r="BR20" s="85" t="str">
        <f t="shared" si="21"/>
        <v/>
      </c>
      <c r="BS20" s="33"/>
      <c r="BT20" s="33"/>
      <c r="BU20" s="85" t="str">
        <f t="shared" si="22"/>
        <v/>
      </c>
      <c r="BV20" s="31" t="s">
        <v>1</v>
      </c>
      <c r="BW20" s="31"/>
      <c r="BX20" s="31"/>
      <c r="BY20" s="85" t="str">
        <f t="shared" si="23"/>
        <v/>
      </c>
      <c r="BZ20" s="31"/>
      <c r="CA20" s="31"/>
      <c r="CB20" s="85" t="str">
        <f t="shared" si="24"/>
        <v/>
      </c>
      <c r="CC20" s="31"/>
      <c r="CD20" s="31"/>
      <c r="CE20" s="85" t="str">
        <f t="shared" si="25"/>
        <v/>
      </c>
      <c r="CF20" s="31"/>
      <c r="CG20" s="31"/>
      <c r="CH20" s="85" t="str">
        <f t="shared" si="26"/>
        <v/>
      </c>
      <c r="CI20" s="66">
        <v>4424</v>
      </c>
      <c r="CJ20" s="66">
        <v>125000</v>
      </c>
      <c r="CK20" s="85">
        <f t="shared" si="27"/>
        <v>28.254972875226041</v>
      </c>
      <c r="CL20" s="66">
        <v>4085</v>
      </c>
      <c r="CM20" s="66">
        <v>117000</v>
      </c>
      <c r="CN20" s="85">
        <f t="shared" si="28"/>
        <v>28.641370869033047</v>
      </c>
      <c r="CQ20" s="85" t="str">
        <f t="shared" si="29"/>
        <v/>
      </c>
    </row>
    <row r="21" spans="1:95" x14ac:dyDescent="0.3">
      <c r="A21" s="31" t="s">
        <v>143</v>
      </c>
      <c r="C21" s="30" t="s">
        <v>75</v>
      </c>
      <c r="D21" s="31" t="s">
        <v>1</v>
      </c>
      <c r="G21" s="85" t="str">
        <f t="shared" si="0"/>
        <v/>
      </c>
      <c r="H21" s="31"/>
      <c r="I21" s="31"/>
      <c r="J21" s="85" t="str">
        <f t="shared" si="1"/>
        <v/>
      </c>
      <c r="K21" s="31"/>
      <c r="L21" s="31"/>
      <c r="M21" s="85" t="str">
        <f t="shared" si="2"/>
        <v/>
      </c>
      <c r="N21" s="31"/>
      <c r="O21" s="31"/>
      <c r="P21" s="85" t="str">
        <f t="shared" si="3"/>
        <v/>
      </c>
      <c r="Q21" s="31"/>
      <c r="R21" s="31"/>
      <c r="S21" s="85" t="str">
        <f t="shared" si="4"/>
        <v/>
      </c>
      <c r="T21" s="31"/>
      <c r="U21" s="31"/>
      <c r="V21" s="85" t="str">
        <f t="shared" si="5"/>
        <v/>
      </c>
      <c r="W21" s="31"/>
      <c r="X21" s="31"/>
      <c r="Y21" s="85" t="str">
        <f t="shared" si="6"/>
        <v/>
      </c>
      <c r="Z21" s="31"/>
      <c r="AA21" s="31"/>
      <c r="AB21" s="85" t="str">
        <f t="shared" si="7"/>
        <v/>
      </c>
      <c r="AC21" s="31"/>
      <c r="AD21" s="31"/>
      <c r="AE21" s="85" t="str">
        <f t="shared" si="8"/>
        <v/>
      </c>
      <c r="AF21" s="31"/>
      <c r="AG21" s="31"/>
      <c r="AH21" s="85" t="str">
        <f t="shared" si="9"/>
        <v/>
      </c>
      <c r="AI21" s="31"/>
      <c r="AJ21" s="31"/>
      <c r="AK21" s="85" t="str">
        <f t="shared" si="10"/>
        <v/>
      </c>
      <c r="AL21" s="31"/>
      <c r="AM21" s="31"/>
      <c r="AN21" s="85" t="str">
        <f t="shared" si="11"/>
        <v/>
      </c>
      <c r="AO21" s="31"/>
      <c r="AP21" s="31"/>
      <c r="AQ21" s="85" t="str">
        <f t="shared" si="12"/>
        <v/>
      </c>
      <c r="AR21" s="31"/>
      <c r="AS21" s="31"/>
      <c r="AT21" s="85" t="str">
        <f t="shared" si="13"/>
        <v/>
      </c>
      <c r="AU21" s="31"/>
      <c r="AV21" s="31"/>
      <c r="AW21" s="85" t="str">
        <f t="shared" si="14"/>
        <v/>
      </c>
      <c r="AX21" s="33"/>
      <c r="AY21" s="31"/>
      <c r="AZ21" s="85" t="str">
        <f t="shared" si="15"/>
        <v/>
      </c>
      <c r="BA21" s="33"/>
      <c r="BB21" s="31"/>
      <c r="BC21" s="85" t="str">
        <f t="shared" si="16"/>
        <v/>
      </c>
      <c r="BD21" s="33"/>
      <c r="BE21" s="31"/>
      <c r="BF21" s="85" t="str">
        <f t="shared" si="17"/>
        <v/>
      </c>
      <c r="BG21" s="33"/>
      <c r="BH21" s="31"/>
      <c r="BI21" s="85" t="str">
        <f t="shared" si="18"/>
        <v/>
      </c>
      <c r="BJ21" s="33"/>
      <c r="BK21" s="33"/>
      <c r="BL21" s="85" t="str">
        <f t="shared" si="19"/>
        <v/>
      </c>
      <c r="BM21" s="33"/>
      <c r="BN21" s="33"/>
      <c r="BO21" s="85" t="str">
        <f t="shared" si="20"/>
        <v/>
      </c>
      <c r="BP21" s="33"/>
      <c r="BQ21" s="33"/>
      <c r="BR21" s="85" t="str">
        <f t="shared" si="21"/>
        <v/>
      </c>
      <c r="BS21" s="33"/>
      <c r="BT21" s="33"/>
      <c r="BU21" s="85" t="str">
        <f t="shared" si="22"/>
        <v/>
      </c>
      <c r="BV21" s="31" t="s">
        <v>1</v>
      </c>
      <c r="BW21" s="31"/>
      <c r="BX21" s="31"/>
      <c r="BY21" s="85" t="str">
        <f t="shared" si="23"/>
        <v/>
      </c>
      <c r="BZ21" s="31"/>
      <c r="CA21" s="31"/>
      <c r="CB21" s="85" t="str">
        <f t="shared" si="24"/>
        <v/>
      </c>
      <c r="CC21" s="31"/>
      <c r="CD21" s="31"/>
      <c r="CE21" s="85" t="str">
        <f t="shared" si="25"/>
        <v/>
      </c>
      <c r="CF21" s="31"/>
      <c r="CG21" s="31"/>
      <c r="CH21" s="85" t="str">
        <f t="shared" si="26"/>
        <v/>
      </c>
      <c r="CI21" s="66"/>
      <c r="CJ21" s="66"/>
      <c r="CK21" s="85" t="str">
        <f t="shared" si="27"/>
        <v/>
      </c>
      <c r="CL21" s="66">
        <v>6807</v>
      </c>
      <c r="CM21" s="66">
        <v>27000</v>
      </c>
      <c r="CN21" s="85">
        <f t="shared" si="28"/>
        <v>3.9665050683120318</v>
      </c>
      <c r="CQ21" s="85" t="str">
        <f t="shared" si="29"/>
        <v/>
      </c>
    </row>
    <row r="22" spans="1:95" x14ac:dyDescent="0.3">
      <c r="A22" s="31" t="s">
        <v>144</v>
      </c>
      <c r="C22" s="30" t="s">
        <v>75</v>
      </c>
      <c r="D22" s="31" t="s">
        <v>1</v>
      </c>
      <c r="G22" s="85" t="str">
        <f t="shared" si="0"/>
        <v/>
      </c>
      <c r="H22" s="31"/>
      <c r="I22" s="31"/>
      <c r="J22" s="85" t="str">
        <f t="shared" si="1"/>
        <v/>
      </c>
      <c r="K22" s="31"/>
      <c r="L22" s="31"/>
      <c r="M22" s="85" t="str">
        <f t="shared" si="2"/>
        <v/>
      </c>
      <c r="N22" s="31"/>
      <c r="O22" s="31"/>
      <c r="P22" s="85" t="str">
        <f t="shared" si="3"/>
        <v/>
      </c>
      <c r="Q22" s="31"/>
      <c r="R22" s="31"/>
      <c r="S22" s="85" t="str">
        <f t="shared" si="4"/>
        <v/>
      </c>
      <c r="T22" s="31"/>
      <c r="U22" s="31"/>
      <c r="V22" s="85" t="str">
        <f t="shared" si="5"/>
        <v/>
      </c>
      <c r="W22" s="31"/>
      <c r="X22" s="31"/>
      <c r="Y22" s="85" t="str">
        <f t="shared" si="6"/>
        <v/>
      </c>
      <c r="Z22" s="31"/>
      <c r="AA22" s="31"/>
      <c r="AB22" s="85" t="str">
        <f t="shared" si="7"/>
        <v/>
      </c>
      <c r="AC22" s="31"/>
      <c r="AD22" s="31"/>
      <c r="AE22" s="85" t="str">
        <f t="shared" si="8"/>
        <v/>
      </c>
      <c r="AF22" s="84">
        <v>16.3</v>
      </c>
      <c r="AG22" s="83">
        <v>490</v>
      </c>
      <c r="AH22" s="85">
        <f t="shared" si="9"/>
        <v>30.061349693251532</v>
      </c>
      <c r="AI22" s="84">
        <v>23.7</v>
      </c>
      <c r="AJ22" s="83">
        <v>490</v>
      </c>
      <c r="AK22" s="85">
        <f t="shared" si="10"/>
        <v>20.675105485232066</v>
      </c>
      <c r="AL22" s="84">
        <v>77</v>
      </c>
      <c r="AM22" s="83">
        <v>735</v>
      </c>
      <c r="AN22" s="85">
        <f t="shared" si="11"/>
        <v>9.545454545454545</v>
      </c>
      <c r="AO22" s="84">
        <v>215</v>
      </c>
      <c r="AP22" s="83">
        <v>637</v>
      </c>
      <c r="AQ22" s="85">
        <f t="shared" si="12"/>
        <v>2.9627906976744187</v>
      </c>
      <c r="AR22" s="31"/>
      <c r="AS22" s="31"/>
      <c r="AT22" s="85" t="str">
        <f t="shared" si="13"/>
        <v/>
      </c>
      <c r="AU22" s="31"/>
      <c r="AV22" s="31"/>
      <c r="AW22" s="85" t="str">
        <f t="shared" si="14"/>
        <v/>
      </c>
      <c r="AX22" s="33"/>
      <c r="AY22" s="31"/>
      <c r="AZ22" s="85" t="str">
        <f t="shared" si="15"/>
        <v/>
      </c>
      <c r="BA22" s="33"/>
      <c r="BB22" s="31"/>
      <c r="BC22" s="85" t="str">
        <f t="shared" si="16"/>
        <v/>
      </c>
      <c r="BD22" s="33"/>
      <c r="BE22" s="31"/>
      <c r="BF22" s="85" t="str">
        <f t="shared" si="17"/>
        <v/>
      </c>
      <c r="BG22" s="33"/>
      <c r="BH22" s="31"/>
      <c r="BI22" s="85" t="str">
        <f t="shared" si="18"/>
        <v/>
      </c>
      <c r="BJ22" s="33"/>
      <c r="BK22" s="33"/>
      <c r="BL22" s="85" t="str">
        <f t="shared" si="19"/>
        <v/>
      </c>
      <c r="BM22" s="33"/>
      <c r="BN22" s="33"/>
      <c r="BO22" s="85" t="str">
        <f t="shared" si="20"/>
        <v/>
      </c>
      <c r="BP22" s="33"/>
      <c r="BQ22" s="33"/>
      <c r="BR22" s="85" t="str">
        <f t="shared" si="21"/>
        <v/>
      </c>
      <c r="BS22" s="33"/>
      <c r="BT22" s="33"/>
      <c r="BU22" s="85" t="str">
        <f t="shared" si="22"/>
        <v/>
      </c>
      <c r="BV22" s="31" t="s">
        <v>1</v>
      </c>
      <c r="BW22" s="31"/>
      <c r="BX22" s="31"/>
      <c r="BY22" s="85" t="str">
        <f t="shared" si="23"/>
        <v/>
      </c>
      <c r="BZ22" s="31"/>
      <c r="CA22" s="31"/>
      <c r="CB22" s="85" t="str">
        <f t="shared" si="24"/>
        <v/>
      </c>
      <c r="CC22" s="31"/>
      <c r="CD22" s="31"/>
      <c r="CE22" s="85" t="str">
        <f t="shared" si="25"/>
        <v/>
      </c>
      <c r="CF22" s="31"/>
      <c r="CG22" s="31"/>
      <c r="CH22" s="85" t="str">
        <f t="shared" si="26"/>
        <v/>
      </c>
      <c r="CI22" s="66">
        <v>346856</v>
      </c>
      <c r="CJ22" s="66">
        <v>388000</v>
      </c>
      <c r="CK22" s="85">
        <f t="shared" si="27"/>
        <v>1.1186198307078441</v>
      </c>
      <c r="CL22" s="66">
        <v>421779</v>
      </c>
      <c r="CM22" s="66">
        <v>513000</v>
      </c>
      <c r="CN22" s="85">
        <f t="shared" si="28"/>
        <v>1.2162767705362287</v>
      </c>
      <c r="CQ22" s="85" t="str">
        <f t="shared" si="29"/>
        <v/>
      </c>
    </row>
    <row r="23" spans="1:95" ht="15" x14ac:dyDescent="0.3">
      <c r="A23" s="31" t="s">
        <v>145</v>
      </c>
      <c r="C23" s="30" t="s">
        <v>75</v>
      </c>
      <c r="D23" s="31" t="s">
        <v>1</v>
      </c>
      <c r="G23" s="85" t="str">
        <f t="shared" si="0"/>
        <v/>
      </c>
      <c r="H23" s="31"/>
      <c r="I23" s="31"/>
      <c r="J23" s="85" t="str">
        <f t="shared" si="1"/>
        <v/>
      </c>
      <c r="K23" s="31"/>
      <c r="L23" s="31"/>
      <c r="M23" s="85" t="str">
        <f t="shared" si="2"/>
        <v/>
      </c>
      <c r="N23" s="31"/>
      <c r="O23" s="31"/>
      <c r="P23" s="85" t="str">
        <f t="shared" si="3"/>
        <v/>
      </c>
      <c r="Q23" s="31"/>
      <c r="R23" s="31"/>
      <c r="S23" s="85" t="str">
        <f t="shared" si="4"/>
        <v/>
      </c>
      <c r="T23" s="31"/>
      <c r="U23" s="31"/>
      <c r="V23" s="85" t="str">
        <f t="shared" si="5"/>
        <v/>
      </c>
      <c r="W23" s="31"/>
      <c r="X23" s="31"/>
      <c r="Y23" s="85" t="str">
        <f t="shared" si="6"/>
        <v/>
      </c>
      <c r="Z23" s="31"/>
      <c r="AA23" s="31"/>
      <c r="AB23" s="85" t="str">
        <f t="shared" si="7"/>
        <v/>
      </c>
      <c r="AC23" s="31"/>
      <c r="AD23" s="31"/>
      <c r="AE23" s="85" t="str">
        <f t="shared" si="8"/>
        <v/>
      </c>
      <c r="AF23" s="84"/>
      <c r="AG23" s="83"/>
      <c r="AH23" s="85" t="str">
        <f t="shared" si="9"/>
        <v/>
      </c>
      <c r="AI23" s="84">
        <v>94</v>
      </c>
      <c r="AJ23" s="83">
        <v>637</v>
      </c>
      <c r="AK23" s="85">
        <f t="shared" si="10"/>
        <v>6.7765957446808507</v>
      </c>
      <c r="AL23" s="84">
        <v>1072</v>
      </c>
      <c r="AM23" s="83">
        <v>735</v>
      </c>
      <c r="AN23" s="85">
        <f t="shared" si="11"/>
        <v>0.68563432835820892</v>
      </c>
      <c r="AO23" s="84">
        <v>606.1</v>
      </c>
      <c r="AP23" s="83">
        <v>392</v>
      </c>
      <c r="AQ23" s="85">
        <f t="shared" si="12"/>
        <v>0.64675796073255232</v>
      </c>
      <c r="AR23" s="31"/>
      <c r="AS23" s="31"/>
      <c r="AT23" s="85" t="str">
        <f t="shared" si="13"/>
        <v/>
      </c>
      <c r="AU23" s="31"/>
      <c r="AV23" s="31"/>
      <c r="AW23" s="85" t="str">
        <f t="shared" si="14"/>
        <v/>
      </c>
      <c r="AX23" s="33"/>
      <c r="AY23" s="31"/>
      <c r="AZ23" s="85" t="str">
        <f t="shared" si="15"/>
        <v/>
      </c>
      <c r="BA23" s="33"/>
      <c r="BB23" s="31"/>
      <c r="BC23" s="85" t="str">
        <f t="shared" si="16"/>
        <v/>
      </c>
      <c r="BD23" s="33"/>
      <c r="BE23" s="31"/>
      <c r="BF23" s="85" t="str">
        <f t="shared" si="17"/>
        <v/>
      </c>
      <c r="BG23" s="33"/>
      <c r="BH23" s="31"/>
      <c r="BI23" s="85" t="str">
        <f t="shared" si="18"/>
        <v/>
      </c>
      <c r="BJ23" s="33"/>
      <c r="BK23" s="33"/>
      <c r="BL23" s="85" t="str">
        <f t="shared" si="19"/>
        <v/>
      </c>
      <c r="BM23" s="33"/>
      <c r="BN23" s="33"/>
      <c r="BO23" s="85" t="str">
        <f t="shared" si="20"/>
        <v/>
      </c>
      <c r="BP23" s="33"/>
      <c r="BQ23" s="33"/>
      <c r="BR23" s="85" t="str">
        <f t="shared" si="21"/>
        <v/>
      </c>
      <c r="BS23" s="33"/>
      <c r="BT23" s="33"/>
      <c r="BU23" s="85" t="str">
        <f t="shared" si="22"/>
        <v/>
      </c>
      <c r="BV23" s="31" t="s">
        <v>1</v>
      </c>
      <c r="BW23" s="31"/>
      <c r="BX23" s="31"/>
      <c r="BY23" s="85" t="str">
        <f t="shared" si="23"/>
        <v/>
      </c>
      <c r="BZ23" s="31"/>
      <c r="CA23" s="31"/>
      <c r="CB23" s="85" t="str">
        <f t="shared" si="24"/>
        <v/>
      </c>
      <c r="CC23" s="31"/>
      <c r="CD23" s="31"/>
      <c r="CE23" s="85" t="str">
        <f t="shared" si="25"/>
        <v/>
      </c>
      <c r="CF23" s="31"/>
      <c r="CG23" s="31"/>
      <c r="CH23" s="85" t="str">
        <f t="shared" si="26"/>
        <v/>
      </c>
      <c r="CI23" s="66"/>
      <c r="CJ23" s="66"/>
      <c r="CK23" s="85" t="str">
        <f t="shared" si="27"/>
        <v/>
      </c>
      <c r="CL23" s="66">
        <v>15199</v>
      </c>
      <c r="CM23" s="66">
        <v>21000</v>
      </c>
      <c r="CN23" s="85">
        <f t="shared" si="28"/>
        <v>1.3816698467004409</v>
      </c>
      <c r="CQ23" s="85" t="str">
        <f t="shared" si="29"/>
        <v/>
      </c>
    </row>
    <row r="24" spans="1:95" x14ac:dyDescent="0.3">
      <c r="A24" s="31" t="s">
        <v>146</v>
      </c>
      <c r="C24" s="30" t="s">
        <v>75</v>
      </c>
      <c r="D24" s="31" t="s">
        <v>1</v>
      </c>
      <c r="G24" s="85" t="str">
        <f t="shared" si="0"/>
        <v/>
      </c>
      <c r="H24" s="31"/>
      <c r="I24" s="31"/>
      <c r="J24" s="85" t="str">
        <f t="shared" si="1"/>
        <v/>
      </c>
      <c r="K24" s="31"/>
      <c r="L24" s="31"/>
      <c r="M24" s="85" t="str">
        <f t="shared" si="2"/>
        <v/>
      </c>
      <c r="N24" s="31"/>
      <c r="O24" s="31"/>
      <c r="P24" s="85" t="str">
        <f t="shared" si="3"/>
        <v/>
      </c>
      <c r="Q24" s="31"/>
      <c r="R24" s="31"/>
      <c r="S24" s="85" t="str">
        <f t="shared" si="4"/>
        <v/>
      </c>
      <c r="T24" s="31"/>
      <c r="U24" s="31"/>
      <c r="V24" s="85" t="str">
        <f t="shared" si="5"/>
        <v/>
      </c>
      <c r="W24" s="31"/>
      <c r="X24" s="31"/>
      <c r="Y24" s="85" t="str">
        <f t="shared" si="6"/>
        <v/>
      </c>
      <c r="Z24" s="31"/>
      <c r="AA24" s="31"/>
      <c r="AB24" s="85" t="str">
        <f t="shared" si="7"/>
        <v/>
      </c>
      <c r="AC24" s="31"/>
      <c r="AD24" s="31"/>
      <c r="AE24" s="85" t="str">
        <f t="shared" si="8"/>
        <v/>
      </c>
      <c r="AF24" s="31"/>
      <c r="AG24" s="31"/>
      <c r="AH24" s="85" t="str">
        <f t="shared" si="9"/>
        <v/>
      </c>
      <c r="AI24" s="31"/>
      <c r="AJ24" s="31"/>
      <c r="AK24" s="85" t="str">
        <f t="shared" si="10"/>
        <v/>
      </c>
      <c r="AL24" s="31"/>
      <c r="AM24" s="31"/>
      <c r="AN24" s="85" t="str">
        <f t="shared" si="11"/>
        <v/>
      </c>
      <c r="AO24" s="31"/>
      <c r="AP24" s="31"/>
      <c r="AQ24" s="85" t="str">
        <f t="shared" si="12"/>
        <v/>
      </c>
      <c r="AR24" s="31"/>
      <c r="AS24" s="31"/>
      <c r="AT24" s="85" t="str">
        <f t="shared" si="13"/>
        <v/>
      </c>
      <c r="AU24" s="31"/>
      <c r="AV24" s="31"/>
      <c r="AW24" s="85" t="str">
        <f t="shared" si="14"/>
        <v/>
      </c>
      <c r="AX24" s="33"/>
      <c r="AY24" s="31"/>
      <c r="AZ24" s="85" t="str">
        <f t="shared" si="15"/>
        <v/>
      </c>
      <c r="BA24" s="33"/>
      <c r="BB24" s="31"/>
      <c r="BC24" s="85" t="str">
        <f t="shared" si="16"/>
        <v/>
      </c>
      <c r="BD24" s="33"/>
      <c r="BE24" s="31"/>
      <c r="BF24" s="85" t="str">
        <f t="shared" si="17"/>
        <v/>
      </c>
      <c r="BG24" s="33"/>
      <c r="BH24" s="31"/>
      <c r="BI24" s="85" t="str">
        <f t="shared" si="18"/>
        <v/>
      </c>
      <c r="BJ24" s="33"/>
      <c r="BK24" s="33"/>
      <c r="BL24" s="85" t="str">
        <f t="shared" si="19"/>
        <v/>
      </c>
      <c r="BM24" s="33"/>
      <c r="BN24" s="33"/>
      <c r="BO24" s="85" t="str">
        <f t="shared" si="20"/>
        <v/>
      </c>
      <c r="BP24" s="33"/>
      <c r="BQ24" s="33"/>
      <c r="BR24" s="85" t="str">
        <f t="shared" si="21"/>
        <v/>
      </c>
      <c r="BS24" s="33"/>
      <c r="BT24" s="33"/>
      <c r="BU24" s="85" t="str">
        <f t="shared" si="22"/>
        <v/>
      </c>
      <c r="BV24" s="31" t="s">
        <v>1</v>
      </c>
      <c r="BW24" s="31"/>
      <c r="BX24" s="31"/>
      <c r="BY24" s="85" t="str">
        <f t="shared" si="23"/>
        <v/>
      </c>
      <c r="BZ24" s="31"/>
      <c r="CA24" s="31"/>
      <c r="CB24" s="85" t="str">
        <f t="shared" si="24"/>
        <v/>
      </c>
      <c r="CC24" s="31"/>
      <c r="CD24" s="31"/>
      <c r="CE24" s="85" t="str">
        <f t="shared" si="25"/>
        <v/>
      </c>
      <c r="CF24" s="31"/>
      <c r="CG24" s="31"/>
      <c r="CH24" s="85" t="str">
        <f t="shared" si="26"/>
        <v/>
      </c>
      <c r="CI24" s="66">
        <v>9915</v>
      </c>
      <c r="CJ24" s="66">
        <v>77000</v>
      </c>
      <c r="CK24" s="85">
        <f t="shared" si="27"/>
        <v>7.7660110943015637</v>
      </c>
      <c r="CL24" s="66">
        <v>8742</v>
      </c>
      <c r="CM24" s="66">
        <v>67000</v>
      </c>
      <c r="CN24" s="85">
        <f t="shared" si="28"/>
        <v>7.6641500800732096</v>
      </c>
      <c r="CQ24" s="85" t="str">
        <f t="shared" si="29"/>
        <v/>
      </c>
    </row>
    <row r="25" spans="1:95" x14ac:dyDescent="0.3">
      <c r="A25" s="31" t="s">
        <v>312</v>
      </c>
      <c r="C25" s="30" t="s">
        <v>75</v>
      </c>
      <c r="D25" s="31" t="s">
        <v>1</v>
      </c>
      <c r="G25" s="85" t="str">
        <f t="shared" si="0"/>
        <v/>
      </c>
      <c r="H25" s="31"/>
      <c r="I25" s="31"/>
      <c r="J25" s="85" t="str">
        <f t="shared" si="1"/>
        <v/>
      </c>
      <c r="K25" s="31"/>
      <c r="L25" s="31"/>
      <c r="M25" s="85" t="str">
        <f t="shared" si="2"/>
        <v/>
      </c>
      <c r="N25" s="31"/>
      <c r="O25" s="31"/>
      <c r="P25" s="85" t="str">
        <f t="shared" si="3"/>
        <v/>
      </c>
      <c r="Q25" s="31"/>
      <c r="R25" s="31"/>
      <c r="S25" s="85" t="str">
        <f t="shared" si="4"/>
        <v/>
      </c>
      <c r="T25" s="31"/>
      <c r="U25" s="31"/>
      <c r="V25" s="85" t="str">
        <f t="shared" si="5"/>
        <v/>
      </c>
      <c r="W25" s="31"/>
      <c r="X25" s="31"/>
      <c r="Y25" s="85" t="str">
        <f t="shared" si="6"/>
        <v/>
      </c>
      <c r="Z25" s="31"/>
      <c r="AA25" s="31"/>
      <c r="AB25" s="85" t="str">
        <f t="shared" si="7"/>
        <v/>
      </c>
      <c r="AC25" s="31"/>
      <c r="AD25" s="31"/>
      <c r="AE25" s="85" t="str">
        <f t="shared" si="8"/>
        <v/>
      </c>
      <c r="AF25" s="31"/>
      <c r="AG25" s="31"/>
      <c r="AH25" s="85" t="str">
        <f t="shared" si="9"/>
        <v/>
      </c>
      <c r="AI25" s="31"/>
      <c r="AJ25" s="31"/>
      <c r="AK25" s="85" t="str">
        <f t="shared" si="10"/>
        <v/>
      </c>
      <c r="AL25" s="31"/>
      <c r="AM25" s="31"/>
      <c r="AN25" s="85" t="str">
        <f t="shared" si="11"/>
        <v/>
      </c>
      <c r="AO25" s="31"/>
      <c r="AP25" s="31"/>
      <c r="AQ25" s="85" t="str">
        <f t="shared" si="12"/>
        <v/>
      </c>
      <c r="AR25" s="31"/>
      <c r="AS25" s="31"/>
      <c r="AT25" s="85" t="str">
        <f t="shared" si="13"/>
        <v/>
      </c>
      <c r="AU25" s="31"/>
      <c r="AV25" s="31"/>
      <c r="AW25" s="85" t="str">
        <f t="shared" si="14"/>
        <v/>
      </c>
      <c r="AX25" s="33"/>
      <c r="AY25" s="31"/>
      <c r="AZ25" s="85" t="str">
        <f t="shared" si="15"/>
        <v/>
      </c>
      <c r="BA25" s="33"/>
      <c r="BB25" s="31"/>
      <c r="BC25" s="85" t="str">
        <f t="shared" si="16"/>
        <v/>
      </c>
      <c r="BD25" s="33"/>
      <c r="BE25" s="31"/>
      <c r="BF25" s="85" t="str">
        <f t="shared" si="17"/>
        <v/>
      </c>
      <c r="BG25" s="33"/>
      <c r="BH25" s="31"/>
      <c r="BI25" s="85" t="str">
        <f t="shared" si="18"/>
        <v/>
      </c>
      <c r="BJ25" s="33"/>
      <c r="BK25" s="33"/>
      <c r="BL25" s="85" t="str">
        <f t="shared" si="19"/>
        <v/>
      </c>
      <c r="BM25" s="33"/>
      <c r="BN25" s="33"/>
      <c r="BO25" s="85" t="str">
        <f t="shared" si="20"/>
        <v/>
      </c>
      <c r="BP25" s="33"/>
      <c r="BQ25" s="33"/>
      <c r="BR25" s="85" t="str">
        <f t="shared" si="21"/>
        <v/>
      </c>
      <c r="BS25" s="33"/>
      <c r="BT25" s="33"/>
      <c r="BU25" s="85" t="str">
        <f t="shared" si="22"/>
        <v/>
      </c>
      <c r="BV25" s="31" t="s">
        <v>1</v>
      </c>
      <c r="BW25" s="31"/>
      <c r="BX25" s="31"/>
      <c r="BY25" s="85" t="str">
        <f t="shared" si="23"/>
        <v/>
      </c>
      <c r="BZ25" s="31"/>
      <c r="CA25" s="31"/>
      <c r="CB25" s="85" t="str">
        <f t="shared" si="24"/>
        <v/>
      </c>
      <c r="CC25" s="31"/>
      <c r="CD25" s="31"/>
      <c r="CE25" s="85" t="str">
        <f t="shared" si="25"/>
        <v/>
      </c>
      <c r="CF25" s="31"/>
      <c r="CG25" s="31"/>
      <c r="CH25" s="85" t="str">
        <f t="shared" si="26"/>
        <v/>
      </c>
      <c r="CI25" s="66">
        <v>1623</v>
      </c>
      <c r="CJ25" s="66">
        <v>22000</v>
      </c>
      <c r="CK25" s="85">
        <f t="shared" si="27"/>
        <v>13.555144793592113</v>
      </c>
      <c r="CL25" s="66">
        <v>1540</v>
      </c>
      <c r="CM25" s="66">
        <v>17000</v>
      </c>
      <c r="CN25" s="85">
        <f t="shared" si="28"/>
        <v>11.038961038961039</v>
      </c>
      <c r="CQ25" s="85" t="str">
        <f t="shared" si="29"/>
        <v/>
      </c>
    </row>
    <row r="26" spans="1:95" x14ac:dyDescent="0.3">
      <c r="A26" s="31" t="s">
        <v>295</v>
      </c>
      <c r="C26" s="30" t="s">
        <v>75</v>
      </c>
      <c r="D26" s="31" t="s">
        <v>1</v>
      </c>
      <c r="G26" s="85" t="str">
        <f t="shared" si="0"/>
        <v/>
      </c>
      <c r="H26" s="31"/>
      <c r="I26" s="31"/>
      <c r="J26" s="85" t="str">
        <f t="shared" si="1"/>
        <v/>
      </c>
      <c r="K26" s="31"/>
      <c r="L26" s="31"/>
      <c r="M26" s="85" t="str">
        <f t="shared" si="2"/>
        <v/>
      </c>
      <c r="N26" s="31"/>
      <c r="O26" s="31"/>
      <c r="P26" s="85" t="str">
        <f t="shared" si="3"/>
        <v/>
      </c>
      <c r="Q26" s="31"/>
      <c r="R26" s="31"/>
      <c r="S26" s="85" t="str">
        <f t="shared" si="4"/>
        <v/>
      </c>
      <c r="T26" s="31"/>
      <c r="U26" s="31"/>
      <c r="V26" s="85" t="str">
        <f t="shared" si="5"/>
        <v/>
      </c>
      <c r="W26" s="31"/>
      <c r="X26" s="31"/>
      <c r="Y26" s="85" t="str">
        <f t="shared" si="6"/>
        <v/>
      </c>
      <c r="Z26" s="31"/>
      <c r="AA26" s="31"/>
      <c r="AB26" s="85" t="str">
        <f t="shared" si="7"/>
        <v/>
      </c>
      <c r="AC26" s="31"/>
      <c r="AD26" s="31"/>
      <c r="AE26" s="85" t="str">
        <f t="shared" si="8"/>
        <v/>
      </c>
      <c r="AF26" s="31"/>
      <c r="AG26" s="31"/>
      <c r="AH26" s="85" t="str">
        <f t="shared" si="9"/>
        <v/>
      </c>
      <c r="AI26" s="31"/>
      <c r="AJ26" s="31"/>
      <c r="AK26" s="85" t="str">
        <f t="shared" si="10"/>
        <v/>
      </c>
      <c r="AL26" s="31"/>
      <c r="AM26" s="31"/>
      <c r="AN26" s="85" t="str">
        <f t="shared" si="11"/>
        <v/>
      </c>
      <c r="AO26" s="31"/>
      <c r="AP26" s="31"/>
      <c r="AQ26" s="85" t="str">
        <f t="shared" si="12"/>
        <v/>
      </c>
      <c r="AR26" s="31"/>
      <c r="AS26" s="31"/>
      <c r="AT26" s="85" t="str">
        <f t="shared" si="13"/>
        <v/>
      </c>
      <c r="AU26" s="31"/>
      <c r="AV26" s="31"/>
      <c r="AW26" s="85" t="str">
        <f t="shared" si="14"/>
        <v/>
      </c>
      <c r="AX26" s="33"/>
      <c r="AY26" s="31"/>
      <c r="AZ26" s="85" t="str">
        <f t="shared" si="15"/>
        <v/>
      </c>
      <c r="BA26" s="33"/>
      <c r="BB26" s="31"/>
      <c r="BC26" s="85" t="str">
        <f t="shared" si="16"/>
        <v/>
      </c>
      <c r="BD26" s="33"/>
      <c r="BE26" s="31"/>
      <c r="BF26" s="85" t="str">
        <f t="shared" si="17"/>
        <v/>
      </c>
      <c r="BG26" s="33">
        <v>1107</v>
      </c>
      <c r="BH26" s="31">
        <v>169000</v>
      </c>
      <c r="BI26" s="85">
        <f t="shared" si="18"/>
        <v>152.66485998193315</v>
      </c>
      <c r="BJ26" s="33"/>
      <c r="BK26" s="33"/>
      <c r="BL26" s="85" t="str">
        <f t="shared" si="19"/>
        <v/>
      </c>
      <c r="BM26" s="33">
        <v>1310</v>
      </c>
      <c r="BN26" s="33">
        <v>162000</v>
      </c>
      <c r="BO26" s="85">
        <f t="shared" si="20"/>
        <v>123.66412213740458</v>
      </c>
      <c r="BP26" s="33"/>
      <c r="BQ26" s="33"/>
      <c r="BR26" s="85" t="str">
        <f t="shared" si="21"/>
        <v/>
      </c>
      <c r="BS26" s="33"/>
      <c r="BT26" s="33"/>
      <c r="BU26" s="85" t="str">
        <f t="shared" si="22"/>
        <v/>
      </c>
      <c r="BV26" s="31"/>
      <c r="BW26" s="31"/>
      <c r="BX26" s="31"/>
      <c r="BY26" s="85" t="str">
        <f t="shared" si="23"/>
        <v/>
      </c>
      <c r="BZ26" s="31"/>
      <c r="CA26" s="31"/>
      <c r="CB26" s="85" t="str">
        <f t="shared" si="24"/>
        <v/>
      </c>
      <c r="CC26" s="31"/>
      <c r="CD26" s="31"/>
      <c r="CE26" s="85" t="str">
        <f t="shared" si="25"/>
        <v/>
      </c>
      <c r="CF26" s="31"/>
      <c r="CG26" s="31"/>
      <c r="CH26" s="85" t="str">
        <f t="shared" si="26"/>
        <v/>
      </c>
      <c r="CI26" s="66"/>
      <c r="CJ26" s="66"/>
      <c r="CK26" s="85" t="str">
        <f t="shared" si="27"/>
        <v/>
      </c>
      <c r="CL26" s="66"/>
      <c r="CM26" s="66"/>
      <c r="CN26" s="85" t="str">
        <f t="shared" si="28"/>
        <v/>
      </c>
      <c r="CQ26" s="85" t="str">
        <f t="shared" si="29"/>
        <v/>
      </c>
    </row>
    <row r="27" spans="1:95" x14ac:dyDescent="0.3">
      <c r="A27" s="31" t="s">
        <v>7</v>
      </c>
      <c r="C27" s="30" t="s">
        <v>75</v>
      </c>
      <c r="D27" s="31" t="s">
        <v>1</v>
      </c>
      <c r="G27" s="85" t="str">
        <f t="shared" si="0"/>
        <v/>
      </c>
      <c r="H27" s="31"/>
      <c r="I27" s="31"/>
      <c r="J27" s="85" t="str">
        <f t="shared" si="1"/>
        <v/>
      </c>
      <c r="K27" s="31"/>
      <c r="L27" s="31"/>
      <c r="M27" s="85" t="str">
        <f t="shared" si="2"/>
        <v/>
      </c>
      <c r="N27" s="31"/>
      <c r="O27" s="31"/>
      <c r="P27" s="85" t="str">
        <f t="shared" si="3"/>
        <v/>
      </c>
      <c r="Q27" s="31"/>
      <c r="R27" s="31"/>
      <c r="S27" s="85" t="str">
        <f t="shared" si="4"/>
        <v/>
      </c>
      <c r="T27" s="31"/>
      <c r="U27" s="31"/>
      <c r="V27" s="85" t="str">
        <f t="shared" si="5"/>
        <v/>
      </c>
      <c r="W27" s="31"/>
      <c r="X27" s="31"/>
      <c r="Y27" s="85" t="str">
        <f t="shared" si="6"/>
        <v/>
      </c>
      <c r="Z27" s="31"/>
      <c r="AA27" s="31"/>
      <c r="AB27" s="85" t="str">
        <f t="shared" si="7"/>
        <v/>
      </c>
      <c r="AC27" s="31"/>
      <c r="AD27" s="31"/>
      <c r="AE27" s="85" t="str">
        <f t="shared" si="8"/>
        <v/>
      </c>
      <c r="AF27" s="84">
        <v>186.9</v>
      </c>
      <c r="AG27" s="83">
        <v>2156</v>
      </c>
      <c r="AH27" s="85">
        <f t="shared" si="9"/>
        <v>11.535580524344569</v>
      </c>
      <c r="AI27" s="84">
        <v>218.9</v>
      </c>
      <c r="AJ27" s="83">
        <v>2401</v>
      </c>
      <c r="AK27" s="85">
        <f t="shared" si="10"/>
        <v>10.968478757423481</v>
      </c>
      <c r="AL27" s="84">
        <v>313.39999999999998</v>
      </c>
      <c r="AM27" s="83">
        <v>3480</v>
      </c>
      <c r="AN27" s="85">
        <f t="shared" si="11"/>
        <v>11.104020421186982</v>
      </c>
      <c r="AO27" s="84">
        <v>192.5</v>
      </c>
      <c r="AP27" s="83">
        <v>2303</v>
      </c>
      <c r="AQ27" s="85">
        <f t="shared" si="12"/>
        <v>11.963636363636363</v>
      </c>
      <c r="AR27" s="31"/>
      <c r="AS27" s="31"/>
      <c r="AT27" s="85" t="str">
        <f t="shared" si="13"/>
        <v/>
      </c>
      <c r="AU27" s="31"/>
      <c r="AV27" s="31"/>
      <c r="AW27" s="85" t="str">
        <f t="shared" si="14"/>
        <v/>
      </c>
      <c r="AX27" s="33"/>
      <c r="AY27" s="31"/>
      <c r="AZ27" s="85" t="str">
        <f t="shared" si="15"/>
        <v/>
      </c>
      <c r="BA27" s="33"/>
      <c r="BB27" s="31"/>
      <c r="BC27" s="85" t="str">
        <f t="shared" si="16"/>
        <v/>
      </c>
      <c r="BD27" s="33"/>
      <c r="BE27" s="31"/>
      <c r="BF27" s="85" t="str">
        <f t="shared" si="17"/>
        <v/>
      </c>
      <c r="BG27" s="33"/>
      <c r="BH27" s="31"/>
      <c r="BI27" s="85" t="str">
        <f t="shared" si="18"/>
        <v/>
      </c>
      <c r="BJ27" s="33"/>
      <c r="BK27" s="33"/>
      <c r="BL27" s="85" t="str">
        <f t="shared" si="19"/>
        <v/>
      </c>
      <c r="BM27" s="33"/>
      <c r="BN27" s="33"/>
      <c r="BO27" s="85" t="str">
        <f t="shared" si="20"/>
        <v/>
      </c>
      <c r="BP27" s="33"/>
      <c r="BQ27" s="33"/>
      <c r="BR27" s="85" t="str">
        <f t="shared" si="21"/>
        <v/>
      </c>
      <c r="BS27" s="33"/>
      <c r="BT27" s="33"/>
      <c r="BU27" s="85" t="str">
        <f t="shared" si="22"/>
        <v/>
      </c>
      <c r="BV27" s="31"/>
      <c r="BW27" s="31"/>
      <c r="BX27" s="31"/>
      <c r="BY27" s="85" t="str">
        <f t="shared" si="23"/>
        <v/>
      </c>
      <c r="BZ27" s="31"/>
      <c r="CA27" s="31"/>
      <c r="CB27" s="85" t="str">
        <f t="shared" si="24"/>
        <v/>
      </c>
      <c r="CC27" s="31"/>
      <c r="CD27" s="31"/>
      <c r="CE27" s="85" t="str">
        <f t="shared" si="25"/>
        <v/>
      </c>
      <c r="CF27" s="31"/>
      <c r="CG27" s="31"/>
      <c r="CH27" s="85" t="str">
        <f t="shared" si="26"/>
        <v/>
      </c>
      <c r="CI27" s="66"/>
      <c r="CJ27" s="66"/>
      <c r="CK27" s="85" t="str">
        <f t="shared" si="27"/>
        <v/>
      </c>
      <c r="CL27" s="66"/>
      <c r="CM27" s="66"/>
      <c r="CN27" s="85" t="str">
        <f t="shared" si="28"/>
        <v/>
      </c>
      <c r="CQ27" s="85" t="str">
        <f t="shared" si="29"/>
        <v/>
      </c>
    </row>
    <row r="28" spans="1:95" x14ac:dyDescent="0.3">
      <c r="A28" s="31" t="s">
        <v>350</v>
      </c>
      <c r="B28" s="31" t="s">
        <v>345</v>
      </c>
      <c r="C28" s="30" t="s">
        <v>75</v>
      </c>
      <c r="D28" s="31" t="s">
        <v>1</v>
      </c>
      <c r="G28" s="85" t="str">
        <f t="shared" si="0"/>
        <v/>
      </c>
      <c r="H28" s="31"/>
      <c r="I28" s="31"/>
      <c r="J28" s="85" t="str">
        <f t="shared" si="1"/>
        <v/>
      </c>
      <c r="K28" s="31"/>
      <c r="L28" s="31"/>
      <c r="M28" s="85" t="str">
        <f t="shared" si="2"/>
        <v/>
      </c>
      <c r="N28" s="31"/>
      <c r="O28" s="31"/>
      <c r="P28" s="85" t="str">
        <f t="shared" si="3"/>
        <v/>
      </c>
      <c r="Q28" s="31"/>
      <c r="R28" s="31"/>
      <c r="S28" s="85" t="str">
        <f t="shared" si="4"/>
        <v/>
      </c>
      <c r="T28" s="31"/>
      <c r="U28" s="31"/>
      <c r="V28" s="85" t="str">
        <f t="shared" si="5"/>
        <v/>
      </c>
      <c r="W28" s="31"/>
      <c r="X28" s="31"/>
      <c r="Y28" s="85" t="str">
        <f t="shared" si="6"/>
        <v/>
      </c>
      <c r="Z28" s="31"/>
      <c r="AA28" s="31"/>
      <c r="AB28" s="85" t="str">
        <f t="shared" si="7"/>
        <v/>
      </c>
      <c r="AC28" s="31"/>
      <c r="AD28" s="31"/>
      <c r="AE28" s="85" t="str">
        <f t="shared" si="8"/>
        <v/>
      </c>
      <c r="AF28" s="84">
        <v>307</v>
      </c>
      <c r="AG28" s="83">
        <v>35049</v>
      </c>
      <c r="AH28" s="85">
        <f t="shared" si="9"/>
        <v>114.16612377850163</v>
      </c>
      <c r="AI28" s="84">
        <v>316.60000000000002</v>
      </c>
      <c r="AJ28" s="83">
        <v>35539</v>
      </c>
      <c r="AK28" s="85">
        <f t="shared" si="10"/>
        <v>112.2520530638029</v>
      </c>
      <c r="AL28" s="84">
        <v>255.5</v>
      </c>
      <c r="AM28" s="83">
        <v>34509</v>
      </c>
      <c r="AN28" s="85">
        <f t="shared" si="11"/>
        <v>135.06457925636008</v>
      </c>
      <c r="AO28" s="84">
        <v>246.4</v>
      </c>
      <c r="AP28" s="83">
        <v>31666</v>
      </c>
      <c r="AQ28" s="85">
        <f t="shared" si="12"/>
        <v>128.5146103896104</v>
      </c>
      <c r="AR28" s="31"/>
      <c r="AS28" s="31"/>
      <c r="AT28" s="85" t="str">
        <f t="shared" si="13"/>
        <v/>
      </c>
      <c r="AU28" s="31"/>
      <c r="AV28" s="31"/>
      <c r="AW28" s="85" t="str">
        <f t="shared" si="14"/>
        <v/>
      </c>
      <c r="AX28" s="33"/>
      <c r="AY28" s="31"/>
      <c r="AZ28" s="85" t="str">
        <f t="shared" si="15"/>
        <v/>
      </c>
      <c r="BA28" s="33"/>
      <c r="BB28" s="31"/>
      <c r="BC28" s="85" t="str">
        <f t="shared" si="16"/>
        <v/>
      </c>
      <c r="BD28" s="33"/>
      <c r="BE28" s="31"/>
      <c r="BF28" s="85" t="str">
        <f t="shared" si="17"/>
        <v/>
      </c>
      <c r="BG28" s="33"/>
      <c r="BH28" s="31"/>
      <c r="BI28" s="85" t="str">
        <f t="shared" si="18"/>
        <v/>
      </c>
      <c r="BJ28" s="33"/>
      <c r="BK28" s="33"/>
      <c r="BL28" s="85" t="str">
        <f t="shared" si="19"/>
        <v/>
      </c>
      <c r="BM28" s="33"/>
      <c r="BN28" s="33"/>
      <c r="BO28" s="85" t="str">
        <f t="shared" si="20"/>
        <v/>
      </c>
      <c r="BP28" s="33"/>
      <c r="BQ28" s="33"/>
      <c r="BR28" s="85" t="str">
        <f t="shared" si="21"/>
        <v/>
      </c>
      <c r="BS28" s="33"/>
      <c r="BT28" s="33"/>
      <c r="BU28" s="85" t="str">
        <f t="shared" si="22"/>
        <v/>
      </c>
      <c r="BV28" s="31"/>
      <c r="BW28" s="31"/>
      <c r="BX28" s="31"/>
      <c r="BY28" s="85" t="str">
        <f t="shared" si="23"/>
        <v/>
      </c>
      <c r="BZ28" s="31"/>
      <c r="CA28" s="31"/>
      <c r="CB28" s="85" t="str">
        <f t="shared" si="24"/>
        <v/>
      </c>
      <c r="CC28" s="31"/>
      <c r="CD28" s="31"/>
      <c r="CE28" s="85" t="str">
        <f t="shared" si="25"/>
        <v/>
      </c>
      <c r="CF28" s="31"/>
      <c r="CG28" s="31"/>
      <c r="CH28" s="85" t="str">
        <f t="shared" si="26"/>
        <v/>
      </c>
      <c r="CI28" s="66"/>
      <c r="CJ28" s="66"/>
      <c r="CK28" s="85" t="str">
        <f t="shared" si="27"/>
        <v/>
      </c>
      <c r="CL28" s="66"/>
      <c r="CM28" s="66"/>
      <c r="CN28" s="85" t="str">
        <f t="shared" si="28"/>
        <v/>
      </c>
      <c r="CQ28" s="85" t="str">
        <f t="shared" si="29"/>
        <v/>
      </c>
    </row>
    <row r="29" spans="1:95" x14ac:dyDescent="0.3">
      <c r="A29" s="31" t="s">
        <v>351</v>
      </c>
      <c r="B29" s="31" t="s">
        <v>345</v>
      </c>
      <c r="C29" s="30" t="s">
        <v>75</v>
      </c>
      <c r="D29" s="31" t="s">
        <v>1</v>
      </c>
      <c r="G29" s="85" t="str">
        <f t="shared" si="0"/>
        <v/>
      </c>
      <c r="H29" s="31"/>
      <c r="I29" s="31"/>
      <c r="J29" s="85" t="str">
        <f t="shared" si="1"/>
        <v/>
      </c>
      <c r="K29" s="31"/>
      <c r="L29" s="31"/>
      <c r="M29" s="85" t="str">
        <f t="shared" si="2"/>
        <v/>
      </c>
      <c r="N29" s="31"/>
      <c r="O29" s="31"/>
      <c r="P29" s="85" t="str">
        <f t="shared" si="3"/>
        <v/>
      </c>
      <c r="Q29" s="31"/>
      <c r="R29" s="31"/>
      <c r="S29" s="85" t="str">
        <f t="shared" si="4"/>
        <v/>
      </c>
      <c r="T29" s="31"/>
      <c r="U29" s="31"/>
      <c r="V29" s="85" t="str">
        <f t="shared" si="5"/>
        <v/>
      </c>
      <c r="W29" s="31"/>
      <c r="X29" s="31"/>
      <c r="Y29" s="85" t="str">
        <f t="shared" si="6"/>
        <v/>
      </c>
      <c r="Z29" s="31"/>
      <c r="AA29" s="31"/>
      <c r="AB29" s="85" t="str">
        <f t="shared" si="7"/>
        <v/>
      </c>
      <c r="AC29" s="31"/>
      <c r="AD29" s="31"/>
      <c r="AE29" s="85" t="str">
        <f t="shared" si="8"/>
        <v/>
      </c>
      <c r="AF29" s="84">
        <v>469.3</v>
      </c>
      <c r="AG29" s="83">
        <v>11960</v>
      </c>
      <c r="AH29" s="85">
        <f t="shared" si="9"/>
        <v>25.484764542936286</v>
      </c>
      <c r="AI29" s="84">
        <v>594.4</v>
      </c>
      <c r="AJ29" s="83">
        <v>11911</v>
      </c>
      <c r="AK29" s="85">
        <f t="shared" si="10"/>
        <v>20.038694481830419</v>
      </c>
      <c r="AL29" s="84">
        <v>284.2</v>
      </c>
      <c r="AM29" s="83">
        <v>7450</v>
      </c>
      <c r="AN29" s="85">
        <f t="shared" si="11"/>
        <v>26.21393384940183</v>
      </c>
      <c r="AO29" s="84">
        <v>21.3</v>
      </c>
      <c r="AP29" s="83">
        <v>6715</v>
      </c>
      <c r="AQ29" s="85">
        <f t="shared" si="12"/>
        <v>315.25821596244128</v>
      </c>
      <c r="AR29" s="31"/>
      <c r="AS29" s="31"/>
      <c r="AT29" s="85" t="str">
        <f t="shared" si="13"/>
        <v/>
      </c>
      <c r="AU29" s="31"/>
      <c r="AV29" s="31"/>
      <c r="AW29" s="85" t="str">
        <f t="shared" si="14"/>
        <v/>
      </c>
      <c r="AX29" s="33"/>
      <c r="AY29" s="31"/>
      <c r="AZ29" s="85" t="str">
        <f t="shared" si="15"/>
        <v/>
      </c>
      <c r="BA29" s="33"/>
      <c r="BB29" s="31"/>
      <c r="BC29" s="85" t="str">
        <f t="shared" si="16"/>
        <v/>
      </c>
      <c r="BD29" s="33"/>
      <c r="BE29" s="31"/>
      <c r="BF29" s="85" t="str">
        <f t="shared" si="17"/>
        <v/>
      </c>
      <c r="BG29" s="33"/>
      <c r="BH29" s="31"/>
      <c r="BI29" s="85" t="str">
        <f t="shared" si="18"/>
        <v/>
      </c>
      <c r="BJ29" s="33"/>
      <c r="BK29" s="33"/>
      <c r="BL29" s="85" t="str">
        <f t="shared" si="19"/>
        <v/>
      </c>
      <c r="BM29" s="33"/>
      <c r="BN29" s="33"/>
      <c r="BO29" s="85" t="str">
        <f t="shared" si="20"/>
        <v/>
      </c>
      <c r="BP29" s="33"/>
      <c r="BQ29" s="33"/>
      <c r="BR29" s="85" t="str">
        <f t="shared" si="21"/>
        <v/>
      </c>
      <c r="BS29" s="33"/>
      <c r="BT29" s="33"/>
      <c r="BU29" s="85" t="str">
        <f t="shared" si="22"/>
        <v/>
      </c>
      <c r="BV29" s="31"/>
      <c r="BW29" s="31"/>
      <c r="BX29" s="31"/>
      <c r="BY29" s="85" t="str">
        <f t="shared" si="23"/>
        <v/>
      </c>
      <c r="BZ29" s="31"/>
      <c r="CA29" s="31"/>
      <c r="CB29" s="85" t="str">
        <f t="shared" si="24"/>
        <v/>
      </c>
      <c r="CC29" s="31"/>
      <c r="CD29" s="31"/>
      <c r="CE29" s="85" t="str">
        <f t="shared" si="25"/>
        <v/>
      </c>
      <c r="CF29" s="31"/>
      <c r="CG29" s="31"/>
      <c r="CH29" s="85" t="str">
        <f t="shared" si="26"/>
        <v/>
      </c>
      <c r="CI29" s="66"/>
      <c r="CJ29" s="66"/>
      <c r="CK29" s="85" t="str">
        <f t="shared" si="27"/>
        <v/>
      </c>
      <c r="CL29" s="66"/>
      <c r="CM29" s="66"/>
      <c r="CN29" s="85" t="str">
        <f t="shared" si="28"/>
        <v/>
      </c>
      <c r="CQ29" s="85" t="str">
        <f t="shared" si="29"/>
        <v/>
      </c>
    </row>
    <row r="30" spans="1:95" x14ac:dyDescent="0.3">
      <c r="A30" s="31" t="s">
        <v>352</v>
      </c>
      <c r="B30" s="31" t="s">
        <v>345</v>
      </c>
      <c r="C30" s="30" t="s">
        <v>75</v>
      </c>
      <c r="D30" s="31" t="s">
        <v>1</v>
      </c>
      <c r="G30" s="85" t="str">
        <f t="shared" si="0"/>
        <v/>
      </c>
      <c r="H30" s="31"/>
      <c r="I30" s="31"/>
      <c r="J30" s="85" t="str">
        <f t="shared" si="1"/>
        <v/>
      </c>
      <c r="K30" s="31"/>
      <c r="L30" s="31"/>
      <c r="M30" s="85" t="str">
        <f t="shared" si="2"/>
        <v/>
      </c>
      <c r="N30" s="31"/>
      <c r="O30" s="31"/>
      <c r="P30" s="85" t="str">
        <f t="shared" si="3"/>
        <v/>
      </c>
      <c r="Q30" s="31"/>
      <c r="R30" s="31"/>
      <c r="S30" s="85" t="str">
        <f t="shared" si="4"/>
        <v/>
      </c>
      <c r="T30" s="31"/>
      <c r="U30" s="31"/>
      <c r="V30" s="85" t="str">
        <f t="shared" si="5"/>
        <v/>
      </c>
      <c r="W30" s="31"/>
      <c r="X30" s="31"/>
      <c r="Y30" s="85" t="str">
        <f t="shared" si="6"/>
        <v/>
      </c>
      <c r="Z30" s="31"/>
      <c r="AA30" s="31"/>
      <c r="AB30" s="85" t="str">
        <f t="shared" si="7"/>
        <v/>
      </c>
      <c r="AC30" s="31"/>
      <c r="AD30" s="31"/>
      <c r="AE30" s="85" t="str">
        <f t="shared" si="8"/>
        <v/>
      </c>
      <c r="AF30" s="84">
        <v>7.2</v>
      </c>
      <c r="AG30" s="83">
        <v>1225</v>
      </c>
      <c r="AH30" s="85">
        <f t="shared" si="9"/>
        <v>170.13888888888889</v>
      </c>
      <c r="AI30" s="84">
        <v>13.4</v>
      </c>
      <c r="AJ30" s="83">
        <v>2156</v>
      </c>
      <c r="AK30" s="85">
        <f t="shared" si="10"/>
        <v>160.8955223880597</v>
      </c>
      <c r="AL30" s="84">
        <v>15.8</v>
      </c>
      <c r="AM30" s="83">
        <v>2303</v>
      </c>
      <c r="AN30" s="85">
        <f t="shared" si="11"/>
        <v>145.75949367088606</v>
      </c>
      <c r="AO30" s="84">
        <v>13</v>
      </c>
      <c r="AP30" s="83">
        <v>1617</v>
      </c>
      <c r="AQ30" s="85">
        <f t="shared" si="12"/>
        <v>124.38461538461539</v>
      </c>
      <c r="AR30" s="31"/>
      <c r="AS30" s="31"/>
      <c r="AT30" s="85" t="str">
        <f t="shared" si="13"/>
        <v/>
      </c>
      <c r="AU30" s="31"/>
      <c r="AV30" s="31"/>
      <c r="AW30" s="85" t="str">
        <f t="shared" si="14"/>
        <v/>
      </c>
      <c r="AX30" s="33"/>
      <c r="AY30" s="31"/>
      <c r="AZ30" s="85" t="str">
        <f t="shared" si="15"/>
        <v/>
      </c>
      <c r="BA30" s="33"/>
      <c r="BB30" s="31"/>
      <c r="BC30" s="85" t="str">
        <f t="shared" si="16"/>
        <v/>
      </c>
      <c r="BD30" s="33"/>
      <c r="BE30" s="31"/>
      <c r="BF30" s="85" t="str">
        <f t="shared" si="17"/>
        <v/>
      </c>
      <c r="BG30" s="33"/>
      <c r="BH30" s="31"/>
      <c r="BI30" s="85" t="str">
        <f t="shared" si="18"/>
        <v/>
      </c>
      <c r="BJ30" s="33"/>
      <c r="BK30" s="33"/>
      <c r="BL30" s="85" t="str">
        <f t="shared" si="19"/>
        <v/>
      </c>
      <c r="BM30" s="33"/>
      <c r="BN30" s="33"/>
      <c r="BO30" s="85" t="str">
        <f t="shared" si="20"/>
        <v/>
      </c>
      <c r="BP30" s="33"/>
      <c r="BQ30" s="33"/>
      <c r="BR30" s="85" t="str">
        <f t="shared" si="21"/>
        <v/>
      </c>
      <c r="BS30" s="33"/>
      <c r="BT30" s="33"/>
      <c r="BU30" s="85" t="str">
        <f t="shared" si="22"/>
        <v/>
      </c>
      <c r="BV30" s="31"/>
      <c r="BW30" s="31"/>
      <c r="BX30" s="31"/>
      <c r="BY30" s="85" t="str">
        <f t="shared" si="23"/>
        <v/>
      </c>
      <c r="BZ30" s="31"/>
      <c r="CA30" s="31"/>
      <c r="CB30" s="85" t="str">
        <f t="shared" si="24"/>
        <v/>
      </c>
      <c r="CC30" s="31"/>
      <c r="CD30" s="31"/>
      <c r="CE30" s="85" t="str">
        <f t="shared" si="25"/>
        <v/>
      </c>
      <c r="CF30" s="31"/>
      <c r="CG30" s="31"/>
      <c r="CH30" s="85" t="str">
        <f t="shared" si="26"/>
        <v/>
      </c>
      <c r="CI30" s="66"/>
      <c r="CJ30" s="66"/>
      <c r="CK30" s="85" t="str">
        <f t="shared" si="27"/>
        <v/>
      </c>
      <c r="CL30" s="66"/>
      <c r="CM30" s="66"/>
      <c r="CN30" s="85" t="str">
        <f t="shared" si="28"/>
        <v/>
      </c>
      <c r="CQ30" s="85" t="str">
        <f t="shared" si="29"/>
        <v/>
      </c>
    </row>
    <row r="31" spans="1:95" x14ac:dyDescent="0.3">
      <c r="A31" s="31" t="s">
        <v>6</v>
      </c>
      <c r="C31" s="30" t="s">
        <v>75</v>
      </c>
      <c r="D31" s="31" t="s">
        <v>1</v>
      </c>
      <c r="G31" s="85" t="str">
        <f t="shared" si="0"/>
        <v/>
      </c>
      <c r="H31" s="31"/>
      <c r="I31" s="31"/>
      <c r="J31" s="85" t="str">
        <f t="shared" si="1"/>
        <v/>
      </c>
      <c r="K31" s="31"/>
      <c r="L31" s="31"/>
      <c r="M31" s="85" t="str">
        <f t="shared" si="2"/>
        <v/>
      </c>
      <c r="N31" s="31"/>
      <c r="O31" s="31"/>
      <c r="P31" s="85" t="str">
        <f t="shared" si="3"/>
        <v/>
      </c>
      <c r="Q31" s="31"/>
      <c r="R31" s="31"/>
      <c r="S31" s="85" t="str">
        <f t="shared" si="4"/>
        <v/>
      </c>
      <c r="T31" s="31"/>
      <c r="U31" s="31"/>
      <c r="V31" s="85" t="str">
        <f t="shared" si="5"/>
        <v/>
      </c>
      <c r="W31" s="31"/>
      <c r="X31" s="31"/>
      <c r="Y31" s="85" t="str">
        <f t="shared" si="6"/>
        <v/>
      </c>
      <c r="Z31" s="31"/>
      <c r="AA31" s="31"/>
      <c r="AB31" s="85" t="str">
        <f t="shared" si="7"/>
        <v/>
      </c>
      <c r="AC31" s="31"/>
      <c r="AD31" s="31"/>
      <c r="AE31" s="85" t="str">
        <f t="shared" si="8"/>
        <v/>
      </c>
      <c r="AF31" s="31"/>
      <c r="AG31" s="31"/>
      <c r="AH31" s="85" t="str">
        <f t="shared" si="9"/>
        <v/>
      </c>
      <c r="AI31" s="31"/>
      <c r="AJ31" s="31"/>
      <c r="AK31" s="85" t="str">
        <f t="shared" si="10"/>
        <v/>
      </c>
      <c r="AL31" s="31"/>
      <c r="AM31" s="31"/>
      <c r="AN31" s="85" t="str">
        <f t="shared" si="11"/>
        <v/>
      </c>
      <c r="AO31" s="31"/>
      <c r="AP31" s="31"/>
      <c r="AQ31" s="85" t="str">
        <f t="shared" si="12"/>
        <v/>
      </c>
      <c r="AR31" s="31"/>
      <c r="AS31" s="31"/>
      <c r="AT31" s="85" t="str">
        <f t="shared" si="13"/>
        <v/>
      </c>
      <c r="AU31" s="31"/>
      <c r="AV31" s="31"/>
      <c r="AW31" s="85" t="str">
        <f t="shared" si="14"/>
        <v/>
      </c>
      <c r="AX31" s="33"/>
      <c r="AY31" s="31"/>
      <c r="AZ31" s="85" t="str">
        <f t="shared" si="15"/>
        <v/>
      </c>
      <c r="BA31" s="33"/>
      <c r="BB31" s="31"/>
      <c r="BC31" s="85" t="str">
        <f t="shared" si="16"/>
        <v/>
      </c>
      <c r="BD31" s="33"/>
      <c r="BE31" s="31"/>
      <c r="BF31" s="85" t="str">
        <f t="shared" si="17"/>
        <v/>
      </c>
      <c r="BG31" s="33"/>
      <c r="BH31" s="31"/>
      <c r="BI31" s="85" t="str">
        <f t="shared" si="18"/>
        <v/>
      </c>
      <c r="BJ31" s="33"/>
      <c r="BK31" s="33"/>
      <c r="BL31" s="85" t="str">
        <f t="shared" si="19"/>
        <v/>
      </c>
      <c r="BM31" s="33"/>
      <c r="BN31" s="33"/>
      <c r="BO31" s="85" t="str">
        <f t="shared" si="20"/>
        <v/>
      </c>
      <c r="BP31" s="33"/>
      <c r="BQ31" s="33"/>
      <c r="BR31" s="85" t="str">
        <f t="shared" si="21"/>
        <v/>
      </c>
      <c r="BS31" s="33"/>
      <c r="BT31" s="33"/>
      <c r="BU31" s="85" t="str">
        <f t="shared" si="22"/>
        <v/>
      </c>
      <c r="BV31" s="31" t="s">
        <v>1</v>
      </c>
      <c r="BW31" s="31"/>
      <c r="BX31" s="31"/>
      <c r="BY31" s="85" t="str">
        <f t="shared" si="23"/>
        <v/>
      </c>
      <c r="BZ31" s="31"/>
      <c r="CA31" s="31"/>
      <c r="CB31" s="85" t="str">
        <f t="shared" si="24"/>
        <v/>
      </c>
      <c r="CC31" s="31"/>
      <c r="CD31" s="31"/>
      <c r="CE31" s="85" t="str">
        <f t="shared" si="25"/>
        <v/>
      </c>
      <c r="CF31" s="31"/>
      <c r="CG31" s="31"/>
      <c r="CH31" s="85" t="str">
        <f t="shared" si="26"/>
        <v/>
      </c>
      <c r="CI31" s="66">
        <v>483</v>
      </c>
      <c r="CJ31" s="66">
        <v>72000</v>
      </c>
      <c r="CK31" s="85">
        <f t="shared" si="27"/>
        <v>149.06832298136646</v>
      </c>
      <c r="CL31" s="66">
        <v>576</v>
      </c>
      <c r="CM31" s="66">
        <v>89000</v>
      </c>
      <c r="CN31" s="85">
        <f t="shared" si="28"/>
        <v>154.51388888888889</v>
      </c>
      <c r="CQ31" s="85" t="str">
        <f t="shared" si="29"/>
        <v/>
      </c>
    </row>
    <row r="32" spans="1:95" x14ac:dyDescent="0.3">
      <c r="A32" s="31" t="s">
        <v>147</v>
      </c>
      <c r="C32" s="30" t="s">
        <v>75</v>
      </c>
      <c r="D32" s="31" t="s">
        <v>1</v>
      </c>
      <c r="G32" s="85" t="str">
        <f t="shared" si="0"/>
        <v/>
      </c>
      <c r="H32" s="31"/>
      <c r="I32" s="31"/>
      <c r="J32" s="85" t="str">
        <f t="shared" si="1"/>
        <v/>
      </c>
      <c r="K32" s="31"/>
      <c r="L32" s="31"/>
      <c r="M32" s="85" t="str">
        <f t="shared" si="2"/>
        <v/>
      </c>
      <c r="N32" s="31"/>
      <c r="O32" s="31"/>
      <c r="P32" s="85" t="str">
        <f t="shared" si="3"/>
        <v/>
      </c>
      <c r="Q32" s="31"/>
      <c r="R32" s="31"/>
      <c r="S32" s="85" t="str">
        <f t="shared" si="4"/>
        <v/>
      </c>
      <c r="T32" s="31"/>
      <c r="U32" s="31"/>
      <c r="V32" s="85" t="str">
        <f t="shared" si="5"/>
        <v/>
      </c>
      <c r="W32" s="31"/>
      <c r="X32" s="31"/>
      <c r="Y32" s="85" t="str">
        <f t="shared" si="6"/>
        <v/>
      </c>
      <c r="Z32" s="31"/>
      <c r="AA32" s="31"/>
      <c r="AB32" s="85" t="str">
        <f t="shared" si="7"/>
        <v/>
      </c>
      <c r="AC32" s="31"/>
      <c r="AD32" s="31"/>
      <c r="AE32" s="85" t="str">
        <f t="shared" si="8"/>
        <v/>
      </c>
      <c r="AF32" s="31"/>
      <c r="AG32" s="31"/>
      <c r="AH32" s="85" t="str">
        <f t="shared" si="9"/>
        <v/>
      </c>
      <c r="AI32" s="31"/>
      <c r="AJ32" s="31"/>
      <c r="AK32" s="85" t="str">
        <f t="shared" si="10"/>
        <v/>
      </c>
      <c r="AL32" s="31"/>
      <c r="AM32" s="31"/>
      <c r="AN32" s="85" t="str">
        <f t="shared" si="11"/>
        <v/>
      </c>
      <c r="AO32" s="31"/>
      <c r="AP32" s="31"/>
      <c r="AQ32" s="85" t="str">
        <f t="shared" si="12"/>
        <v/>
      </c>
      <c r="AR32" s="31"/>
      <c r="AS32" s="31"/>
      <c r="AT32" s="85" t="str">
        <f t="shared" si="13"/>
        <v/>
      </c>
      <c r="AU32" s="31"/>
      <c r="AV32" s="31"/>
      <c r="AW32" s="85" t="str">
        <f t="shared" si="14"/>
        <v/>
      </c>
      <c r="AX32" s="33"/>
      <c r="AY32" s="31"/>
      <c r="AZ32" s="85" t="str">
        <f t="shared" si="15"/>
        <v/>
      </c>
      <c r="BA32" s="33"/>
      <c r="BB32" s="31"/>
      <c r="BC32" s="85" t="str">
        <f t="shared" si="16"/>
        <v/>
      </c>
      <c r="BD32" s="33"/>
      <c r="BE32" s="31"/>
      <c r="BF32" s="85" t="str">
        <f t="shared" si="17"/>
        <v/>
      </c>
      <c r="BG32" s="33"/>
      <c r="BH32" s="31"/>
      <c r="BI32" s="85" t="str">
        <f t="shared" si="18"/>
        <v/>
      </c>
      <c r="BJ32" s="33"/>
      <c r="BK32" s="33"/>
      <c r="BL32" s="85" t="str">
        <f t="shared" si="19"/>
        <v/>
      </c>
      <c r="BM32" s="33"/>
      <c r="BN32" s="33"/>
      <c r="BO32" s="85" t="str">
        <f t="shared" si="20"/>
        <v/>
      </c>
      <c r="BP32" s="33"/>
      <c r="BQ32" s="33"/>
      <c r="BR32" s="85" t="str">
        <f t="shared" si="21"/>
        <v/>
      </c>
      <c r="BS32" s="33"/>
      <c r="BT32" s="33"/>
      <c r="BU32" s="85" t="str">
        <f t="shared" si="22"/>
        <v/>
      </c>
      <c r="BV32" s="31" t="s">
        <v>1</v>
      </c>
      <c r="BW32" s="31"/>
      <c r="BX32" s="31"/>
      <c r="BY32" s="85" t="str">
        <f t="shared" si="23"/>
        <v/>
      </c>
      <c r="BZ32" s="31"/>
      <c r="CA32" s="31"/>
      <c r="CB32" s="85" t="str">
        <f t="shared" si="24"/>
        <v/>
      </c>
      <c r="CC32" s="31"/>
      <c r="CD32" s="31"/>
      <c r="CE32" s="85" t="str">
        <f t="shared" si="25"/>
        <v/>
      </c>
      <c r="CF32" s="31"/>
      <c r="CG32" s="31"/>
      <c r="CH32" s="85" t="str">
        <f t="shared" si="26"/>
        <v/>
      </c>
      <c r="CI32" s="66">
        <v>735</v>
      </c>
      <c r="CJ32" s="66">
        <v>23000</v>
      </c>
      <c r="CK32" s="85">
        <f t="shared" si="27"/>
        <v>31.292517006802722</v>
      </c>
      <c r="CL32" s="66">
        <v>969</v>
      </c>
      <c r="CM32" s="66">
        <v>34000</v>
      </c>
      <c r="CN32" s="85">
        <f t="shared" si="28"/>
        <v>35.087719298245617</v>
      </c>
      <c r="CQ32" s="85" t="str">
        <f t="shared" si="29"/>
        <v/>
      </c>
    </row>
    <row r="33" spans="1:95" x14ac:dyDescent="0.3">
      <c r="A33" s="35" t="s">
        <v>220</v>
      </c>
      <c r="B33" s="35"/>
      <c r="C33" s="30" t="s">
        <v>75</v>
      </c>
      <c r="D33" s="31" t="s">
        <v>1</v>
      </c>
      <c r="G33" s="85" t="str">
        <f t="shared" si="0"/>
        <v/>
      </c>
      <c r="H33" s="31"/>
      <c r="I33" s="31"/>
      <c r="J33" s="85" t="str">
        <f t="shared" si="1"/>
        <v/>
      </c>
      <c r="K33" s="31"/>
      <c r="L33" s="31"/>
      <c r="M33" s="85" t="str">
        <f t="shared" si="2"/>
        <v/>
      </c>
      <c r="N33" s="31"/>
      <c r="O33" s="31"/>
      <c r="P33" s="85" t="str">
        <f t="shared" si="3"/>
        <v/>
      </c>
      <c r="Q33" s="31"/>
      <c r="R33" s="31"/>
      <c r="S33" s="85" t="str">
        <f t="shared" si="4"/>
        <v/>
      </c>
      <c r="T33" s="31"/>
      <c r="U33" s="31"/>
      <c r="V33" s="85" t="str">
        <f t="shared" si="5"/>
        <v/>
      </c>
      <c r="W33" s="31"/>
      <c r="X33" s="31"/>
      <c r="Y33" s="85" t="str">
        <f t="shared" si="6"/>
        <v/>
      </c>
      <c r="Z33" s="31"/>
      <c r="AA33" s="31"/>
      <c r="AB33" s="85" t="str">
        <f t="shared" si="7"/>
        <v/>
      </c>
      <c r="AC33" s="31"/>
      <c r="AD33" s="31"/>
      <c r="AE33" s="85" t="str">
        <f t="shared" si="8"/>
        <v/>
      </c>
      <c r="AF33" s="31"/>
      <c r="AG33" s="31"/>
      <c r="AH33" s="85" t="str">
        <f t="shared" si="9"/>
        <v/>
      </c>
      <c r="AI33" s="31"/>
      <c r="AJ33" s="31"/>
      <c r="AK33" s="85" t="str">
        <f t="shared" si="10"/>
        <v/>
      </c>
      <c r="AL33" s="31"/>
      <c r="AM33" s="31"/>
      <c r="AN33" s="85" t="str">
        <f t="shared" si="11"/>
        <v/>
      </c>
      <c r="AO33" s="31"/>
      <c r="AP33" s="31"/>
      <c r="AQ33" s="85" t="str">
        <f t="shared" si="12"/>
        <v/>
      </c>
      <c r="AR33" s="31"/>
      <c r="AS33" s="31"/>
      <c r="AT33" s="85" t="str">
        <f t="shared" si="13"/>
        <v/>
      </c>
      <c r="AU33" s="31"/>
      <c r="AV33" s="31"/>
      <c r="AW33" s="85" t="str">
        <f t="shared" si="14"/>
        <v/>
      </c>
      <c r="AX33" s="33"/>
      <c r="AY33" s="31"/>
      <c r="AZ33" s="85" t="str">
        <f t="shared" si="15"/>
        <v/>
      </c>
      <c r="BA33" s="33"/>
      <c r="BB33" s="31"/>
      <c r="BC33" s="85" t="str">
        <f t="shared" si="16"/>
        <v/>
      </c>
      <c r="BD33" s="33"/>
      <c r="BE33" s="31"/>
      <c r="BF33" s="85" t="str">
        <f t="shared" si="17"/>
        <v/>
      </c>
      <c r="BG33" s="33"/>
      <c r="BH33" s="31"/>
      <c r="BI33" s="85" t="str">
        <f t="shared" si="18"/>
        <v/>
      </c>
      <c r="BJ33" s="33"/>
      <c r="BK33" s="33"/>
      <c r="BL33" s="85" t="str">
        <f t="shared" si="19"/>
        <v/>
      </c>
      <c r="BM33" s="33"/>
      <c r="BN33" s="33"/>
      <c r="BO33" s="85" t="str">
        <f t="shared" si="20"/>
        <v/>
      </c>
      <c r="BP33" s="33"/>
      <c r="BQ33" s="33"/>
      <c r="BR33" s="85" t="str">
        <f t="shared" si="21"/>
        <v/>
      </c>
      <c r="BS33" s="33"/>
      <c r="BT33" s="33"/>
      <c r="BU33" s="85" t="str">
        <f t="shared" si="22"/>
        <v/>
      </c>
      <c r="BV33" s="31" t="s">
        <v>1</v>
      </c>
      <c r="BW33" s="31"/>
      <c r="BX33" s="31"/>
      <c r="BY33" s="85" t="str">
        <f t="shared" si="23"/>
        <v/>
      </c>
      <c r="BZ33" s="31"/>
      <c r="CA33" s="31"/>
      <c r="CB33" s="85" t="str">
        <f t="shared" si="24"/>
        <v/>
      </c>
      <c r="CC33" s="31"/>
      <c r="CD33" s="31"/>
      <c r="CE33" s="85" t="str">
        <f t="shared" si="25"/>
        <v/>
      </c>
      <c r="CF33" s="31"/>
      <c r="CG33" s="31"/>
      <c r="CH33" s="85" t="str">
        <f t="shared" si="26"/>
        <v/>
      </c>
      <c r="CI33" s="66">
        <v>2463</v>
      </c>
      <c r="CJ33" s="66">
        <v>36000</v>
      </c>
      <c r="CK33" s="85">
        <f t="shared" si="27"/>
        <v>14.616321559074299</v>
      </c>
      <c r="CL33" s="66">
        <v>2650</v>
      </c>
      <c r="CM33" s="66">
        <v>34000</v>
      </c>
      <c r="CN33" s="85">
        <f t="shared" si="28"/>
        <v>12.830188679245284</v>
      </c>
      <c r="CQ33" s="85" t="str">
        <f t="shared" si="29"/>
        <v/>
      </c>
    </row>
    <row r="34" spans="1:95" x14ac:dyDescent="0.3">
      <c r="A34" s="31" t="s">
        <v>148</v>
      </c>
      <c r="C34" s="30" t="s">
        <v>75</v>
      </c>
      <c r="D34" s="31" t="s">
        <v>1</v>
      </c>
      <c r="G34" s="85" t="str">
        <f t="shared" si="0"/>
        <v/>
      </c>
      <c r="H34" s="31"/>
      <c r="I34" s="31"/>
      <c r="J34" s="85" t="str">
        <f t="shared" si="1"/>
        <v/>
      </c>
      <c r="K34" s="31"/>
      <c r="L34" s="31"/>
      <c r="M34" s="85" t="str">
        <f t="shared" si="2"/>
        <v/>
      </c>
      <c r="N34" s="31"/>
      <c r="O34" s="31"/>
      <c r="P34" s="85" t="str">
        <f t="shared" si="3"/>
        <v/>
      </c>
      <c r="Q34" s="31"/>
      <c r="R34" s="31"/>
      <c r="S34" s="85" t="str">
        <f t="shared" si="4"/>
        <v/>
      </c>
      <c r="T34" s="31"/>
      <c r="U34" s="31"/>
      <c r="V34" s="85" t="str">
        <f t="shared" si="5"/>
        <v/>
      </c>
      <c r="W34" s="31"/>
      <c r="X34" s="31"/>
      <c r="Y34" s="85" t="str">
        <f t="shared" si="6"/>
        <v/>
      </c>
      <c r="Z34" s="31"/>
      <c r="AA34" s="31"/>
      <c r="AB34" s="85" t="str">
        <f t="shared" si="7"/>
        <v/>
      </c>
      <c r="AC34" s="31"/>
      <c r="AD34" s="31"/>
      <c r="AE34" s="85" t="str">
        <f t="shared" si="8"/>
        <v/>
      </c>
      <c r="AF34" s="31"/>
      <c r="AG34" s="31"/>
      <c r="AH34" s="85" t="str">
        <f t="shared" si="9"/>
        <v/>
      </c>
      <c r="AI34" s="31"/>
      <c r="AJ34" s="31"/>
      <c r="AK34" s="85" t="str">
        <f t="shared" si="10"/>
        <v/>
      </c>
      <c r="AL34" s="31"/>
      <c r="AM34" s="31"/>
      <c r="AN34" s="85" t="str">
        <f t="shared" si="11"/>
        <v/>
      </c>
      <c r="AO34" s="31"/>
      <c r="AP34" s="31"/>
      <c r="AQ34" s="85" t="str">
        <f t="shared" si="12"/>
        <v/>
      </c>
      <c r="AR34" s="31"/>
      <c r="AS34" s="31"/>
      <c r="AT34" s="85" t="str">
        <f t="shared" si="13"/>
        <v/>
      </c>
      <c r="AU34" s="31"/>
      <c r="AV34" s="31"/>
      <c r="AW34" s="85" t="str">
        <f t="shared" si="14"/>
        <v/>
      </c>
      <c r="AX34" s="33"/>
      <c r="AY34" s="31"/>
      <c r="AZ34" s="85" t="str">
        <f t="shared" si="15"/>
        <v/>
      </c>
      <c r="BA34" s="33"/>
      <c r="BB34" s="31"/>
      <c r="BC34" s="85" t="str">
        <f t="shared" si="16"/>
        <v/>
      </c>
      <c r="BD34" s="33"/>
      <c r="BE34" s="31"/>
      <c r="BF34" s="85" t="str">
        <f t="shared" si="17"/>
        <v/>
      </c>
      <c r="BG34" s="33"/>
      <c r="BH34" s="31"/>
      <c r="BI34" s="85" t="str">
        <f t="shared" si="18"/>
        <v/>
      </c>
      <c r="BJ34" s="33"/>
      <c r="BK34" s="33"/>
      <c r="BL34" s="85" t="str">
        <f t="shared" si="19"/>
        <v/>
      </c>
      <c r="BM34" s="33"/>
      <c r="BN34" s="33"/>
      <c r="BO34" s="85" t="str">
        <f t="shared" si="20"/>
        <v/>
      </c>
      <c r="BP34" s="33"/>
      <c r="BQ34" s="33"/>
      <c r="BR34" s="85" t="str">
        <f t="shared" si="21"/>
        <v/>
      </c>
      <c r="BS34" s="33"/>
      <c r="BT34" s="33"/>
      <c r="BU34" s="85" t="str">
        <f t="shared" si="22"/>
        <v/>
      </c>
      <c r="BV34" s="31" t="s">
        <v>1</v>
      </c>
      <c r="BW34" s="31"/>
      <c r="BX34" s="31"/>
      <c r="BY34" s="85" t="str">
        <f t="shared" si="23"/>
        <v/>
      </c>
      <c r="BZ34" s="31"/>
      <c r="CA34" s="31"/>
      <c r="CB34" s="85" t="str">
        <f t="shared" si="24"/>
        <v/>
      </c>
      <c r="CC34" s="31"/>
      <c r="CD34" s="31"/>
      <c r="CE34" s="85" t="str">
        <f t="shared" si="25"/>
        <v/>
      </c>
      <c r="CF34" s="31"/>
      <c r="CG34" s="31"/>
      <c r="CH34" s="85" t="str">
        <f t="shared" si="26"/>
        <v/>
      </c>
      <c r="CI34" s="66"/>
      <c r="CJ34" s="66"/>
      <c r="CK34" s="85" t="str">
        <f t="shared" si="27"/>
        <v/>
      </c>
      <c r="CL34" s="66">
        <v>384</v>
      </c>
      <c r="CM34" s="66">
        <v>69000</v>
      </c>
      <c r="CN34" s="85">
        <f t="shared" si="28"/>
        <v>179.6875</v>
      </c>
      <c r="CQ34" s="85" t="str">
        <f t="shared" si="29"/>
        <v/>
      </c>
    </row>
    <row r="35" spans="1:95" x14ac:dyDescent="0.3">
      <c r="A35" s="31" t="s">
        <v>149</v>
      </c>
      <c r="C35" s="30" t="s">
        <v>75</v>
      </c>
      <c r="D35" s="31" t="s">
        <v>1</v>
      </c>
      <c r="G35" s="85" t="str">
        <f t="shared" si="0"/>
        <v/>
      </c>
      <c r="H35" s="31"/>
      <c r="I35" s="31"/>
      <c r="J35" s="85" t="str">
        <f t="shared" si="1"/>
        <v/>
      </c>
      <c r="K35" s="31"/>
      <c r="L35" s="31"/>
      <c r="M35" s="85" t="str">
        <f t="shared" si="2"/>
        <v/>
      </c>
      <c r="N35" s="31"/>
      <c r="O35" s="31"/>
      <c r="P35" s="85" t="str">
        <f t="shared" si="3"/>
        <v/>
      </c>
      <c r="Q35" s="31"/>
      <c r="R35" s="31"/>
      <c r="S35" s="85" t="str">
        <f t="shared" si="4"/>
        <v/>
      </c>
      <c r="T35" s="31"/>
      <c r="U35" s="31"/>
      <c r="V35" s="85" t="str">
        <f t="shared" si="5"/>
        <v/>
      </c>
      <c r="W35" s="31"/>
      <c r="X35" s="31"/>
      <c r="Y35" s="85" t="str">
        <f t="shared" si="6"/>
        <v/>
      </c>
      <c r="Z35" s="31"/>
      <c r="AA35" s="31"/>
      <c r="AB35" s="85" t="str">
        <f t="shared" si="7"/>
        <v/>
      </c>
      <c r="AC35" s="31"/>
      <c r="AD35" s="31"/>
      <c r="AE35" s="85" t="str">
        <f t="shared" si="8"/>
        <v/>
      </c>
      <c r="AF35" s="84">
        <v>1588.4</v>
      </c>
      <c r="AG35" s="83">
        <v>91470</v>
      </c>
      <c r="AH35" s="85">
        <f t="shared" si="9"/>
        <v>57.58625031478217</v>
      </c>
      <c r="AI35" s="84">
        <v>1088.0999999999999</v>
      </c>
      <c r="AJ35" s="83">
        <v>84980</v>
      </c>
      <c r="AK35" s="85">
        <f t="shared" si="10"/>
        <v>78.099439389761983</v>
      </c>
      <c r="AL35" s="84">
        <v>1197.2</v>
      </c>
      <c r="AM35" s="83">
        <v>82304</v>
      </c>
      <c r="AN35" s="85">
        <f t="shared" si="11"/>
        <v>68.74707651186101</v>
      </c>
      <c r="AO35" s="84">
        <v>1077.5999999999999</v>
      </c>
      <c r="AP35" s="83">
        <v>78431</v>
      </c>
      <c r="AQ35" s="85">
        <f t="shared" si="12"/>
        <v>72.78303637713438</v>
      </c>
      <c r="AR35" s="31"/>
      <c r="AS35" s="31"/>
      <c r="AT35" s="85" t="str">
        <f t="shared" si="13"/>
        <v/>
      </c>
      <c r="AU35" s="31"/>
      <c r="AV35" s="31"/>
      <c r="AW35" s="85" t="str">
        <f t="shared" si="14"/>
        <v/>
      </c>
      <c r="AX35" s="33"/>
      <c r="AY35" s="31"/>
      <c r="AZ35" s="85" t="str">
        <f t="shared" si="15"/>
        <v/>
      </c>
      <c r="BA35" s="33">
        <v>1851</v>
      </c>
      <c r="BB35" s="31">
        <v>86600</v>
      </c>
      <c r="BC35" s="85">
        <f t="shared" si="16"/>
        <v>46.785521339816313</v>
      </c>
      <c r="BD35" s="33"/>
      <c r="BE35" s="31"/>
      <c r="BF35" s="85" t="str">
        <f t="shared" si="17"/>
        <v/>
      </c>
      <c r="BG35" s="33"/>
      <c r="BH35" s="31"/>
      <c r="BI35" s="85" t="str">
        <f t="shared" si="18"/>
        <v/>
      </c>
      <c r="BJ35" s="33"/>
      <c r="BK35" s="33"/>
      <c r="BL35" s="85" t="str">
        <f t="shared" si="19"/>
        <v/>
      </c>
      <c r="BM35" s="33"/>
      <c r="BN35" s="33"/>
      <c r="BO35" s="85" t="str">
        <f t="shared" si="20"/>
        <v/>
      </c>
      <c r="BP35" s="33"/>
      <c r="BQ35" s="33"/>
      <c r="BR35" s="85" t="str">
        <f t="shared" si="21"/>
        <v/>
      </c>
      <c r="BS35" s="33"/>
      <c r="BT35" s="33"/>
      <c r="BU35" s="85" t="str">
        <f t="shared" si="22"/>
        <v/>
      </c>
      <c r="BV35" s="31" t="s">
        <v>1</v>
      </c>
      <c r="BW35" s="31"/>
      <c r="BX35" s="31"/>
      <c r="BY35" s="85" t="str">
        <f t="shared" si="23"/>
        <v/>
      </c>
      <c r="BZ35" s="31"/>
      <c r="CA35" s="31"/>
      <c r="CB35" s="85" t="str">
        <f t="shared" si="24"/>
        <v/>
      </c>
      <c r="CC35" s="31"/>
      <c r="CD35" s="31"/>
      <c r="CE35" s="85" t="str">
        <f t="shared" si="25"/>
        <v/>
      </c>
      <c r="CF35" s="31"/>
      <c r="CG35" s="31"/>
      <c r="CH35" s="85" t="str">
        <f t="shared" si="26"/>
        <v/>
      </c>
      <c r="CI35" s="66"/>
      <c r="CJ35" s="66"/>
      <c r="CK35" s="85" t="str">
        <f t="shared" si="27"/>
        <v/>
      </c>
      <c r="CL35" s="66">
        <v>335</v>
      </c>
      <c r="CM35" s="66">
        <v>68000</v>
      </c>
      <c r="CN35" s="85">
        <f t="shared" si="28"/>
        <v>202.98507462686567</v>
      </c>
      <c r="CQ35" s="85" t="str">
        <f t="shared" si="29"/>
        <v/>
      </c>
    </row>
    <row r="36" spans="1:95" ht="15" x14ac:dyDescent="0.3">
      <c r="A36" s="31" t="s">
        <v>170</v>
      </c>
      <c r="B36" s="67"/>
      <c r="C36" s="30" t="s">
        <v>75</v>
      </c>
      <c r="D36" s="31" t="s">
        <v>1</v>
      </c>
      <c r="G36" s="85" t="str">
        <f t="shared" si="0"/>
        <v/>
      </c>
      <c r="H36" s="31"/>
      <c r="I36" s="31"/>
      <c r="J36" s="85" t="str">
        <f t="shared" si="1"/>
        <v/>
      </c>
      <c r="K36" s="31"/>
      <c r="L36" s="31"/>
      <c r="M36" s="85" t="str">
        <f t="shared" si="2"/>
        <v/>
      </c>
      <c r="N36" s="31"/>
      <c r="O36" s="31"/>
      <c r="P36" s="85" t="str">
        <f t="shared" si="3"/>
        <v/>
      </c>
      <c r="Q36" s="31"/>
      <c r="R36" s="31"/>
      <c r="S36" s="85" t="str">
        <f t="shared" si="4"/>
        <v/>
      </c>
      <c r="T36" s="31"/>
      <c r="U36" s="31"/>
      <c r="V36" s="85" t="str">
        <f t="shared" si="5"/>
        <v/>
      </c>
      <c r="W36" s="31"/>
      <c r="X36" s="31"/>
      <c r="Y36" s="85" t="str">
        <f t="shared" si="6"/>
        <v/>
      </c>
      <c r="Z36" s="31"/>
      <c r="AA36" s="31"/>
      <c r="AB36" s="85" t="str">
        <f t="shared" si="7"/>
        <v/>
      </c>
      <c r="AC36" s="31"/>
      <c r="AD36" s="31"/>
      <c r="AE36" s="85" t="str">
        <f t="shared" si="8"/>
        <v/>
      </c>
      <c r="AF36" s="31"/>
      <c r="AG36" s="31"/>
      <c r="AH36" s="85" t="str">
        <f t="shared" si="9"/>
        <v/>
      </c>
      <c r="AI36" s="31"/>
      <c r="AJ36" s="31"/>
      <c r="AK36" s="85" t="str">
        <f t="shared" si="10"/>
        <v/>
      </c>
      <c r="AL36" s="31"/>
      <c r="AM36" s="31"/>
      <c r="AN36" s="85" t="str">
        <f t="shared" si="11"/>
        <v/>
      </c>
      <c r="AO36" s="31"/>
      <c r="AP36" s="31"/>
      <c r="AQ36" s="85" t="str">
        <f t="shared" si="12"/>
        <v/>
      </c>
      <c r="AR36" s="31"/>
      <c r="AS36" s="31"/>
      <c r="AT36" s="85" t="str">
        <f t="shared" si="13"/>
        <v/>
      </c>
      <c r="AU36" s="31"/>
      <c r="AV36" s="31"/>
      <c r="AW36" s="85" t="str">
        <f t="shared" si="14"/>
        <v/>
      </c>
      <c r="AX36" s="33"/>
      <c r="AY36" s="31"/>
      <c r="AZ36" s="85" t="str">
        <f t="shared" si="15"/>
        <v/>
      </c>
      <c r="BA36" s="33"/>
      <c r="BB36" s="31"/>
      <c r="BC36" s="85" t="str">
        <f t="shared" si="16"/>
        <v/>
      </c>
      <c r="BD36" s="33"/>
      <c r="BE36" s="31"/>
      <c r="BF36" s="85" t="str">
        <f t="shared" si="17"/>
        <v/>
      </c>
      <c r="BG36" s="33"/>
      <c r="BH36" s="31"/>
      <c r="BI36" s="85" t="str">
        <f t="shared" si="18"/>
        <v/>
      </c>
      <c r="BJ36" s="33"/>
      <c r="BK36" s="33"/>
      <c r="BL36" s="85" t="str">
        <f t="shared" si="19"/>
        <v/>
      </c>
      <c r="BM36" s="33"/>
      <c r="BN36" s="33"/>
      <c r="BO36" s="85" t="str">
        <f t="shared" si="20"/>
        <v/>
      </c>
      <c r="BP36" s="33"/>
      <c r="BQ36" s="33"/>
      <c r="BR36" s="85" t="str">
        <f t="shared" si="21"/>
        <v/>
      </c>
      <c r="BS36" s="33"/>
      <c r="BT36" s="33"/>
      <c r="BU36" s="85" t="str">
        <f t="shared" si="22"/>
        <v/>
      </c>
      <c r="BV36" s="31" t="s">
        <v>1</v>
      </c>
      <c r="BW36" s="31"/>
      <c r="BX36" s="31"/>
      <c r="BY36" s="85" t="str">
        <f t="shared" si="23"/>
        <v/>
      </c>
      <c r="BZ36" s="31"/>
      <c r="CA36" s="31"/>
      <c r="CB36" s="85" t="str">
        <f t="shared" si="24"/>
        <v/>
      </c>
      <c r="CC36" s="31"/>
      <c r="CD36" s="31"/>
      <c r="CE36" s="85" t="str">
        <f t="shared" si="25"/>
        <v/>
      </c>
      <c r="CF36" s="31"/>
      <c r="CG36" s="31"/>
      <c r="CH36" s="85" t="str">
        <f t="shared" si="26"/>
        <v/>
      </c>
      <c r="CI36" s="66">
        <v>57319</v>
      </c>
      <c r="CJ36" s="66">
        <v>120000</v>
      </c>
      <c r="CK36" s="85">
        <f t="shared" si="27"/>
        <v>2.0935466424745721</v>
      </c>
      <c r="CL36" s="66">
        <v>86589</v>
      </c>
      <c r="CM36" s="66">
        <v>180000</v>
      </c>
      <c r="CN36" s="85">
        <f t="shared" si="28"/>
        <v>2.0787859889824341</v>
      </c>
      <c r="CQ36" s="85" t="str">
        <f t="shared" si="29"/>
        <v/>
      </c>
    </row>
    <row r="37" spans="1:95" ht="15" x14ac:dyDescent="0.3">
      <c r="A37" s="31" t="s">
        <v>302</v>
      </c>
      <c r="B37" s="67"/>
      <c r="C37" s="30" t="s">
        <v>75</v>
      </c>
      <c r="D37" s="31" t="s">
        <v>1</v>
      </c>
      <c r="G37" s="85" t="str">
        <f t="shared" si="0"/>
        <v/>
      </c>
      <c r="H37" s="31"/>
      <c r="I37" s="31"/>
      <c r="J37" s="85" t="str">
        <f t="shared" si="1"/>
        <v/>
      </c>
      <c r="K37" s="31"/>
      <c r="L37" s="31"/>
      <c r="M37" s="85" t="str">
        <f t="shared" si="2"/>
        <v/>
      </c>
      <c r="N37" s="31"/>
      <c r="O37" s="31"/>
      <c r="P37" s="85" t="str">
        <f t="shared" si="3"/>
        <v/>
      </c>
      <c r="Q37" s="31"/>
      <c r="R37" s="31"/>
      <c r="S37" s="85" t="str">
        <f t="shared" si="4"/>
        <v/>
      </c>
      <c r="T37" s="31"/>
      <c r="U37" s="31"/>
      <c r="V37" s="85" t="str">
        <f t="shared" si="5"/>
        <v/>
      </c>
      <c r="W37" s="31"/>
      <c r="X37" s="31"/>
      <c r="Y37" s="85" t="str">
        <f t="shared" si="6"/>
        <v/>
      </c>
      <c r="Z37" s="31"/>
      <c r="AA37" s="31"/>
      <c r="AB37" s="85" t="str">
        <f t="shared" si="7"/>
        <v/>
      </c>
      <c r="AC37" s="31"/>
      <c r="AD37" s="31"/>
      <c r="AE37" s="85" t="str">
        <f t="shared" si="8"/>
        <v/>
      </c>
      <c r="AF37" s="31"/>
      <c r="AG37" s="31"/>
      <c r="AH37" s="85" t="str">
        <f t="shared" si="9"/>
        <v/>
      </c>
      <c r="AI37" s="31"/>
      <c r="AJ37" s="31"/>
      <c r="AK37" s="85" t="str">
        <f t="shared" si="10"/>
        <v/>
      </c>
      <c r="AL37" s="31"/>
      <c r="AM37" s="31"/>
      <c r="AN37" s="85" t="str">
        <f t="shared" si="11"/>
        <v/>
      </c>
      <c r="AO37" s="31"/>
      <c r="AP37" s="31"/>
      <c r="AQ37" s="85" t="str">
        <f t="shared" si="12"/>
        <v/>
      </c>
      <c r="AR37" s="31">
        <v>3566</v>
      </c>
      <c r="AS37" s="31">
        <v>18000</v>
      </c>
      <c r="AT37" s="85">
        <f t="shared" si="13"/>
        <v>5.0476724621424562</v>
      </c>
      <c r="AU37" s="31">
        <v>3838</v>
      </c>
      <c r="AV37" s="31">
        <v>21000</v>
      </c>
      <c r="AW37" s="85">
        <f t="shared" si="14"/>
        <v>5.4715997915581029</v>
      </c>
      <c r="AX37" s="33">
        <v>4452</v>
      </c>
      <c r="AY37" s="31">
        <v>27000</v>
      </c>
      <c r="AZ37" s="85">
        <f t="shared" si="15"/>
        <v>6.0646900269541781</v>
      </c>
      <c r="BA37" s="33">
        <v>1742</v>
      </c>
      <c r="BB37" s="31">
        <v>11000</v>
      </c>
      <c r="BC37" s="85">
        <f t="shared" si="16"/>
        <v>6.3145809414466134</v>
      </c>
      <c r="BD37" s="33">
        <v>16704</v>
      </c>
      <c r="BE37" s="31">
        <v>84000</v>
      </c>
      <c r="BF37" s="85">
        <f t="shared" si="17"/>
        <v>5.0287356321839081</v>
      </c>
      <c r="BG37" s="33"/>
      <c r="BH37" s="31"/>
      <c r="BI37" s="85" t="str">
        <f t="shared" si="18"/>
        <v/>
      </c>
      <c r="BJ37" s="33"/>
      <c r="BK37" s="33"/>
      <c r="BL37" s="85" t="str">
        <f t="shared" si="19"/>
        <v/>
      </c>
      <c r="BM37" s="33"/>
      <c r="BN37" s="33"/>
      <c r="BO37" s="85" t="str">
        <f t="shared" si="20"/>
        <v/>
      </c>
      <c r="BP37" s="33"/>
      <c r="BQ37" s="33"/>
      <c r="BR37" s="85" t="str">
        <f t="shared" si="21"/>
        <v/>
      </c>
      <c r="BS37" s="33"/>
      <c r="BT37" s="33"/>
      <c r="BU37" s="85" t="str">
        <f t="shared" si="22"/>
        <v/>
      </c>
      <c r="BV37" s="31"/>
      <c r="BW37" s="31"/>
      <c r="BX37" s="31"/>
      <c r="BY37" s="85" t="str">
        <f t="shared" si="23"/>
        <v/>
      </c>
      <c r="BZ37" s="31"/>
      <c r="CA37" s="31"/>
      <c r="CB37" s="85" t="str">
        <f t="shared" si="24"/>
        <v/>
      </c>
      <c r="CC37" s="31"/>
      <c r="CD37" s="31"/>
      <c r="CE37" s="85" t="str">
        <f t="shared" si="25"/>
        <v/>
      </c>
      <c r="CF37" s="31"/>
      <c r="CG37" s="31"/>
      <c r="CH37" s="85" t="str">
        <f t="shared" si="26"/>
        <v/>
      </c>
      <c r="CI37" s="66"/>
      <c r="CJ37" s="66"/>
      <c r="CK37" s="85" t="str">
        <f t="shared" si="27"/>
        <v/>
      </c>
      <c r="CL37" s="66"/>
      <c r="CM37" s="66"/>
      <c r="CN37" s="85" t="str">
        <f t="shared" si="28"/>
        <v/>
      </c>
      <c r="CQ37" s="85" t="str">
        <f t="shared" si="29"/>
        <v/>
      </c>
    </row>
    <row r="38" spans="1:95" ht="15" x14ac:dyDescent="0.3">
      <c r="A38" s="31" t="s">
        <v>303</v>
      </c>
      <c r="B38" s="67"/>
      <c r="C38" s="30" t="s">
        <v>75</v>
      </c>
      <c r="D38" s="31" t="s">
        <v>1</v>
      </c>
      <c r="G38" s="85" t="str">
        <f t="shared" si="0"/>
        <v/>
      </c>
      <c r="H38" s="31"/>
      <c r="I38" s="31"/>
      <c r="J38" s="85" t="str">
        <f t="shared" si="1"/>
        <v/>
      </c>
      <c r="K38" s="31"/>
      <c r="L38" s="31"/>
      <c r="M38" s="85" t="str">
        <f t="shared" si="2"/>
        <v/>
      </c>
      <c r="N38" s="31"/>
      <c r="O38" s="31"/>
      <c r="P38" s="85" t="str">
        <f t="shared" si="3"/>
        <v/>
      </c>
      <c r="Q38" s="31"/>
      <c r="R38" s="31"/>
      <c r="S38" s="85" t="str">
        <f t="shared" si="4"/>
        <v/>
      </c>
      <c r="T38" s="31"/>
      <c r="U38" s="31"/>
      <c r="V38" s="85" t="str">
        <f t="shared" si="5"/>
        <v/>
      </c>
      <c r="W38" s="31"/>
      <c r="X38" s="31"/>
      <c r="Y38" s="85" t="str">
        <f t="shared" si="6"/>
        <v/>
      </c>
      <c r="Z38" s="31"/>
      <c r="AA38" s="31"/>
      <c r="AB38" s="85" t="str">
        <f t="shared" si="7"/>
        <v/>
      </c>
      <c r="AC38" s="31"/>
      <c r="AD38" s="31"/>
      <c r="AE38" s="85" t="str">
        <f t="shared" si="8"/>
        <v/>
      </c>
      <c r="AF38" s="31"/>
      <c r="AG38" s="31"/>
      <c r="AH38" s="85" t="str">
        <f t="shared" si="9"/>
        <v/>
      </c>
      <c r="AI38" s="31"/>
      <c r="AJ38" s="31"/>
      <c r="AK38" s="85" t="str">
        <f t="shared" si="10"/>
        <v/>
      </c>
      <c r="AL38" s="31"/>
      <c r="AM38" s="31"/>
      <c r="AN38" s="85" t="str">
        <f t="shared" si="11"/>
        <v/>
      </c>
      <c r="AO38" s="31"/>
      <c r="AP38" s="31"/>
      <c r="AQ38" s="85" t="str">
        <f t="shared" si="12"/>
        <v/>
      </c>
      <c r="AR38" s="31">
        <v>1486</v>
      </c>
      <c r="AS38" s="31">
        <v>28000</v>
      </c>
      <c r="AT38" s="85">
        <f t="shared" si="13"/>
        <v>18.842530282637956</v>
      </c>
      <c r="AU38" s="31">
        <v>4626</v>
      </c>
      <c r="AV38" s="31">
        <v>144000</v>
      </c>
      <c r="AW38" s="85">
        <f t="shared" si="14"/>
        <v>31.1284046692607</v>
      </c>
      <c r="AX38" s="33">
        <v>1701</v>
      </c>
      <c r="AY38" s="31">
        <v>37000</v>
      </c>
      <c r="AZ38" s="85">
        <f t="shared" si="15"/>
        <v>21.75191064079953</v>
      </c>
      <c r="BA38" s="33">
        <v>1745</v>
      </c>
      <c r="BB38" s="31">
        <v>43000</v>
      </c>
      <c r="BC38" s="85">
        <f t="shared" si="16"/>
        <v>24.641833810888251</v>
      </c>
      <c r="BD38" s="33">
        <v>2470</v>
      </c>
      <c r="BE38" s="31">
        <v>77000</v>
      </c>
      <c r="BF38" s="85">
        <f t="shared" si="17"/>
        <v>31.174089068825911</v>
      </c>
      <c r="BG38" s="33"/>
      <c r="BH38" s="31"/>
      <c r="BI38" s="85" t="str">
        <f t="shared" si="18"/>
        <v/>
      </c>
      <c r="BJ38" s="33"/>
      <c r="BK38" s="33"/>
      <c r="BL38" s="85" t="str">
        <f t="shared" si="19"/>
        <v/>
      </c>
      <c r="BM38" s="33"/>
      <c r="BN38" s="33"/>
      <c r="BO38" s="85" t="str">
        <f t="shared" si="20"/>
        <v/>
      </c>
      <c r="BP38" s="33"/>
      <c r="BQ38" s="33"/>
      <c r="BR38" s="85" t="str">
        <f t="shared" si="21"/>
        <v/>
      </c>
      <c r="BS38" s="33"/>
      <c r="BT38" s="33"/>
      <c r="BU38" s="85" t="str">
        <f t="shared" si="22"/>
        <v/>
      </c>
      <c r="BV38" s="31"/>
      <c r="BW38" s="31"/>
      <c r="BX38" s="31"/>
      <c r="BY38" s="85" t="str">
        <f t="shared" si="23"/>
        <v/>
      </c>
      <c r="BZ38" s="31"/>
      <c r="CA38" s="31"/>
      <c r="CB38" s="85" t="str">
        <f t="shared" si="24"/>
        <v/>
      </c>
      <c r="CC38" s="31"/>
      <c r="CD38" s="31"/>
      <c r="CE38" s="85" t="str">
        <f t="shared" si="25"/>
        <v/>
      </c>
      <c r="CF38" s="31"/>
      <c r="CG38" s="31"/>
      <c r="CH38" s="85" t="str">
        <f t="shared" si="26"/>
        <v/>
      </c>
      <c r="CI38" s="66"/>
      <c r="CJ38" s="66"/>
      <c r="CK38" s="85" t="str">
        <f t="shared" si="27"/>
        <v/>
      </c>
      <c r="CL38" s="66"/>
      <c r="CM38" s="66"/>
      <c r="CN38" s="85" t="str">
        <f t="shared" si="28"/>
        <v/>
      </c>
      <c r="CQ38" s="85" t="str">
        <f t="shared" si="29"/>
        <v/>
      </c>
    </row>
    <row r="39" spans="1:95" x14ac:dyDescent="0.3">
      <c r="A39" s="31" t="s">
        <v>150</v>
      </c>
      <c r="C39" s="30" t="s">
        <v>75</v>
      </c>
      <c r="D39" s="31" t="s">
        <v>1</v>
      </c>
      <c r="G39" s="85" t="str">
        <f t="shared" si="0"/>
        <v/>
      </c>
      <c r="H39" s="31"/>
      <c r="I39" s="31"/>
      <c r="J39" s="85" t="str">
        <f t="shared" si="1"/>
        <v/>
      </c>
      <c r="K39" s="31"/>
      <c r="L39" s="31"/>
      <c r="M39" s="85" t="str">
        <f t="shared" si="2"/>
        <v/>
      </c>
      <c r="N39" s="31"/>
      <c r="O39" s="31"/>
      <c r="P39" s="85" t="str">
        <f t="shared" si="3"/>
        <v/>
      </c>
      <c r="Q39" s="31"/>
      <c r="R39" s="31"/>
      <c r="S39" s="85" t="str">
        <f t="shared" si="4"/>
        <v/>
      </c>
      <c r="T39" s="31"/>
      <c r="U39" s="31"/>
      <c r="V39" s="85" t="str">
        <f t="shared" si="5"/>
        <v/>
      </c>
      <c r="W39" s="31"/>
      <c r="X39" s="31"/>
      <c r="Y39" s="85" t="str">
        <f t="shared" si="6"/>
        <v/>
      </c>
      <c r="Z39" s="31"/>
      <c r="AA39" s="31"/>
      <c r="AB39" s="85" t="str">
        <f t="shared" si="7"/>
        <v/>
      </c>
      <c r="AC39" s="31"/>
      <c r="AD39" s="31"/>
      <c r="AE39" s="85" t="str">
        <f t="shared" si="8"/>
        <v/>
      </c>
      <c r="AF39" s="31"/>
      <c r="AG39" s="31"/>
      <c r="AH39" s="85" t="str">
        <f t="shared" si="9"/>
        <v/>
      </c>
      <c r="AI39" s="31"/>
      <c r="AJ39" s="31"/>
      <c r="AK39" s="85" t="str">
        <f t="shared" si="10"/>
        <v/>
      </c>
      <c r="AL39" s="31"/>
      <c r="AM39" s="31"/>
      <c r="AN39" s="85" t="str">
        <f t="shared" si="11"/>
        <v/>
      </c>
      <c r="AO39" s="31"/>
      <c r="AP39" s="31"/>
      <c r="AQ39" s="85" t="str">
        <f t="shared" si="12"/>
        <v/>
      </c>
      <c r="AR39" s="31"/>
      <c r="AS39" s="31"/>
      <c r="AT39" s="85" t="str">
        <f t="shared" si="13"/>
        <v/>
      </c>
      <c r="AU39" s="31"/>
      <c r="AV39" s="31"/>
      <c r="AW39" s="85" t="str">
        <f t="shared" si="14"/>
        <v/>
      </c>
      <c r="AX39" s="33"/>
      <c r="AY39" s="31"/>
      <c r="AZ39" s="85" t="str">
        <f t="shared" si="15"/>
        <v/>
      </c>
      <c r="BA39" s="33"/>
      <c r="BB39" s="31"/>
      <c r="BC39" s="85" t="str">
        <f t="shared" si="16"/>
        <v/>
      </c>
      <c r="BD39" s="33">
        <f>1761</f>
        <v>1761</v>
      </c>
      <c r="BE39" s="31">
        <v>26800</v>
      </c>
      <c r="BF39" s="85">
        <f t="shared" si="17"/>
        <v>15.218625780806359</v>
      </c>
      <c r="BG39" s="33"/>
      <c r="BH39" s="31"/>
      <c r="BI39" s="85" t="str">
        <f t="shared" si="18"/>
        <v/>
      </c>
      <c r="BJ39" s="33"/>
      <c r="BK39" s="33"/>
      <c r="BL39" s="85" t="str">
        <f t="shared" si="19"/>
        <v/>
      </c>
      <c r="BM39" s="33"/>
      <c r="BN39" s="33"/>
      <c r="BO39" s="85" t="str">
        <f t="shared" si="20"/>
        <v/>
      </c>
      <c r="BP39" s="33"/>
      <c r="BQ39" s="33"/>
      <c r="BR39" s="85" t="str">
        <f t="shared" si="21"/>
        <v/>
      </c>
      <c r="BS39" s="33"/>
      <c r="BT39" s="33"/>
      <c r="BU39" s="85" t="str">
        <f t="shared" si="22"/>
        <v/>
      </c>
      <c r="BV39" s="31" t="s">
        <v>1</v>
      </c>
      <c r="BW39" s="31"/>
      <c r="BX39" s="31"/>
      <c r="BY39" s="85" t="str">
        <f t="shared" si="23"/>
        <v/>
      </c>
      <c r="BZ39" s="31"/>
      <c r="CA39" s="31"/>
      <c r="CB39" s="85" t="str">
        <f t="shared" si="24"/>
        <v/>
      </c>
      <c r="CC39" s="31"/>
      <c r="CD39" s="31"/>
      <c r="CE39" s="85" t="str">
        <f t="shared" si="25"/>
        <v/>
      </c>
      <c r="CF39" s="31"/>
      <c r="CG39" s="31"/>
      <c r="CH39" s="85" t="str">
        <f t="shared" si="26"/>
        <v/>
      </c>
      <c r="CI39" s="66">
        <v>61169</v>
      </c>
      <c r="CJ39" s="66">
        <v>464000</v>
      </c>
      <c r="CK39" s="85">
        <f t="shared" si="27"/>
        <v>7.5855416959571027</v>
      </c>
      <c r="CL39" s="66">
        <v>65096</v>
      </c>
      <c r="CM39" s="66">
        <v>477000</v>
      </c>
      <c r="CN39" s="85">
        <f t="shared" si="28"/>
        <v>7.3276391790586208</v>
      </c>
      <c r="CQ39" s="85" t="str">
        <f t="shared" si="29"/>
        <v/>
      </c>
    </row>
    <row r="40" spans="1:95" x14ac:dyDescent="0.3">
      <c r="A40" s="31" t="s">
        <v>221</v>
      </c>
      <c r="C40" s="30" t="s">
        <v>75</v>
      </c>
      <c r="D40" s="31" t="s">
        <v>1</v>
      </c>
      <c r="G40" s="85" t="str">
        <f t="shared" si="0"/>
        <v/>
      </c>
      <c r="H40" s="31"/>
      <c r="I40" s="31"/>
      <c r="J40" s="85" t="str">
        <f t="shared" si="1"/>
        <v/>
      </c>
      <c r="K40" s="31"/>
      <c r="L40" s="31"/>
      <c r="M40" s="85" t="str">
        <f t="shared" si="2"/>
        <v/>
      </c>
      <c r="N40" s="31"/>
      <c r="O40" s="31"/>
      <c r="P40" s="85" t="str">
        <f t="shared" si="3"/>
        <v/>
      </c>
      <c r="Q40" s="31"/>
      <c r="R40" s="31"/>
      <c r="S40" s="85" t="str">
        <f t="shared" si="4"/>
        <v/>
      </c>
      <c r="T40" s="31"/>
      <c r="U40" s="31"/>
      <c r="V40" s="85" t="str">
        <f t="shared" si="5"/>
        <v/>
      </c>
      <c r="W40" s="31"/>
      <c r="X40" s="31"/>
      <c r="Y40" s="85" t="str">
        <f t="shared" si="6"/>
        <v/>
      </c>
      <c r="Z40" s="31"/>
      <c r="AA40" s="31"/>
      <c r="AB40" s="85" t="str">
        <f t="shared" si="7"/>
        <v/>
      </c>
      <c r="AC40" s="31"/>
      <c r="AD40" s="31"/>
      <c r="AE40" s="85" t="str">
        <f t="shared" si="8"/>
        <v/>
      </c>
      <c r="AF40" s="31"/>
      <c r="AG40" s="31"/>
      <c r="AH40" s="85" t="str">
        <f t="shared" si="9"/>
        <v/>
      </c>
      <c r="AI40" s="31"/>
      <c r="AJ40" s="31"/>
      <c r="AK40" s="85" t="str">
        <f t="shared" si="10"/>
        <v/>
      </c>
      <c r="AL40" s="31"/>
      <c r="AM40" s="31"/>
      <c r="AN40" s="85" t="str">
        <f t="shared" si="11"/>
        <v/>
      </c>
      <c r="AO40" s="31"/>
      <c r="AP40" s="31"/>
      <c r="AQ40" s="85" t="str">
        <f t="shared" si="12"/>
        <v/>
      </c>
      <c r="AR40" s="31"/>
      <c r="AS40" s="31"/>
      <c r="AT40" s="85" t="str">
        <f t="shared" si="13"/>
        <v/>
      </c>
      <c r="AU40" s="31"/>
      <c r="AV40" s="31"/>
      <c r="AW40" s="85" t="str">
        <f t="shared" si="14"/>
        <v/>
      </c>
      <c r="AX40" s="33"/>
      <c r="AY40" s="31"/>
      <c r="AZ40" s="85" t="str">
        <f t="shared" si="15"/>
        <v/>
      </c>
      <c r="BA40" s="33"/>
      <c r="BB40" s="31"/>
      <c r="BC40" s="85" t="str">
        <f t="shared" si="16"/>
        <v/>
      </c>
      <c r="BD40" s="33">
        <f>4175+1522</f>
        <v>5697</v>
      </c>
      <c r="BE40" s="31">
        <f>25000+8000</f>
        <v>33000</v>
      </c>
      <c r="BF40" s="85">
        <f t="shared" si="17"/>
        <v>5.7925223802001051</v>
      </c>
      <c r="BG40" s="33"/>
      <c r="BH40" s="31"/>
      <c r="BI40" s="85" t="str">
        <f t="shared" si="18"/>
        <v/>
      </c>
      <c r="BJ40" s="33">
        <f>2467+3285</f>
        <v>5752</v>
      </c>
      <c r="BK40" s="33">
        <f>11000+15000</f>
        <v>26000</v>
      </c>
      <c r="BL40" s="85">
        <f t="shared" si="19"/>
        <v>4.5201668984700971</v>
      </c>
      <c r="BM40" s="33"/>
      <c r="BN40" s="33"/>
      <c r="BO40" s="85" t="str">
        <f t="shared" si="20"/>
        <v/>
      </c>
      <c r="BP40" s="33"/>
      <c r="BQ40" s="33"/>
      <c r="BR40" s="85" t="str">
        <f t="shared" si="21"/>
        <v/>
      </c>
      <c r="BS40" s="33"/>
      <c r="BT40" s="33"/>
      <c r="BU40" s="85" t="str">
        <f t="shared" si="22"/>
        <v/>
      </c>
      <c r="BV40" s="31" t="s">
        <v>1</v>
      </c>
      <c r="BW40" s="31"/>
      <c r="BX40" s="31"/>
      <c r="BY40" s="85" t="str">
        <f t="shared" si="23"/>
        <v/>
      </c>
      <c r="BZ40" s="31"/>
      <c r="CA40" s="31"/>
      <c r="CB40" s="85" t="str">
        <f t="shared" si="24"/>
        <v/>
      </c>
      <c r="CC40" s="31"/>
      <c r="CD40" s="31"/>
      <c r="CE40" s="85" t="str">
        <f t="shared" si="25"/>
        <v/>
      </c>
      <c r="CF40" s="31"/>
      <c r="CG40" s="31"/>
      <c r="CH40" s="85" t="str">
        <f t="shared" si="26"/>
        <v/>
      </c>
      <c r="CI40" s="66">
        <v>46765</v>
      </c>
      <c r="CJ40" s="66">
        <v>305000</v>
      </c>
      <c r="CK40" s="85">
        <f t="shared" si="27"/>
        <v>6.5219715599272963</v>
      </c>
      <c r="CL40" s="66"/>
      <c r="CM40" s="66"/>
      <c r="CN40" s="85" t="str">
        <f t="shared" si="28"/>
        <v/>
      </c>
      <c r="CQ40" s="85" t="str">
        <f t="shared" si="29"/>
        <v/>
      </c>
    </row>
    <row r="41" spans="1:95" x14ac:dyDescent="0.3">
      <c r="A41" s="31" t="s">
        <v>151</v>
      </c>
      <c r="C41" s="30" t="s">
        <v>75</v>
      </c>
      <c r="D41" s="31" t="s">
        <v>1</v>
      </c>
      <c r="G41" s="85" t="str">
        <f t="shared" si="0"/>
        <v/>
      </c>
      <c r="H41" s="31"/>
      <c r="I41" s="31"/>
      <c r="J41" s="85" t="str">
        <f t="shared" si="1"/>
        <v/>
      </c>
      <c r="K41" s="31"/>
      <c r="L41" s="31"/>
      <c r="M41" s="85" t="str">
        <f t="shared" si="2"/>
        <v/>
      </c>
      <c r="N41" s="31"/>
      <c r="O41" s="31"/>
      <c r="P41" s="85" t="str">
        <f t="shared" si="3"/>
        <v/>
      </c>
      <c r="Q41" s="31"/>
      <c r="R41" s="31"/>
      <c r="S41" s="85" t="str">
        <f t="shared" si="4"/>
        <v/>
      </c>
      <c r="T41" s="31"/>
      <c r="U41" s="31"/>
      <c r="V41" s="85" t="str">
        <f t="shared" si="5"/>
        <v/>
      </c>
      <c r="W41" s="31"/>
      <c r="X41" s="31"/>
      <c r="Y41" s="85" t="str">
        <f t="shared" si="6"/>
        <v/>
      </c>
      <c r="Z41" s="31"/>
      <c r="AA41" s="31"/>
      <c r="AB41" s="85" t="str">
        <f t="shared" si="7"/>
        <v/>
      </c>
      <c r="AC41" s="31"/>
      <c r="AD41" s="31"/>
      <c r="AE41" s="85" t="str">
        <f t="shared" si="8"/>
        <v/>
      </c>
      <c r="AF41" s="31"/>
      <c r="AG41" s="31"/>
      <c r="AH41" s="85" t="str">
        <f t="shared" si="9"/>
        <v/>
      </c>
      <c r="AI41" s="31"/>
      <c r="AJ41" s="31"/>
      <c r="AK41" s="85" t="str">
        <f t="shared" si="10"/>
        <v/>
      </c>
      <c r="AL41" s="31"/>
      <c r="AM41" s="31"/>
      <c r="AN41" s="85" t="str">
        <f t="shared" si="11"/>
        <v/>
      </c>
      <c r="AO41" s="31"/>
      <c r="AP41" s="31"/>
      <c r="AQ41" s="85" t="str">
        <f t="shared" si="12"/>
        <v/>
      </c>
      <c r="AR41" s="31"/>
      <c r="AS41" s="31"/>
      <c r="AT41" s="85" t="str">
        <f t="shared" si="13"/>
        <v/>
      </c>
      <c r="AU41" s="31"/>
      <c r="AV41" s="31"/>
      <c r="AW41" s="85" t="str">
        <f t="shared" si="14"/>
        <v/>
      </c>
      <c r="AX41" s="33"/>
      <c r="AY41" s="31"/>
      <c r="AZ41" s="85" t="str">
        <f t="shared" si="15"/>
        <v/>
      </c>
      <c r="BA41" s="33"/>
      <c r="BB41" s="31"/>
      <c r="BC41" s="85" t="str">
        <f t="shared" si="16"/>
        <v/>
      </c>
      <c r="BD41" s="33"/>
      <c r="BE41" s="31"/>
      <c r="BF41" s="85" t="str">
        <f t="shared" si="17"/>
        <v/>
      </c>
      <c r="BG41" s="33"/>
      <c r="BH41" s="31"/>
      <c r="BI41" s="85" t="str">
        <f t="shared" si="18"/>
        <v/>
      </c>
      <c r="BJ41" s="33"/>
      <c r="BK41" s="33"/>
      <c r="BL41" s="85" t="str">
        <f t="shared" si="19"/>
        <v/>
      </c>
      <c r="BM41" s="33"/>
      <c r="BN41" s="33"/>
      <c r="BO41" s="85" t="str">
        <f t="shared" si="20"/>
        <v/>
      </c>
      <c r="BP41" s="33"/>
      <c r="BQ41" s="33"/>
      <c r="BR41" s="85" t="str">
        <f t="shared" si="21"/>
        <v/>
      </c>
      <c r="BS41" s="33"/>
      <c r="BT41" s="33"/>
      <c r="BU41" s="85" t="str">
        <f t="shared" si="22"/>
        <v/>
      </c>
      <c r="BV41" s="31" t="s">
        <v>1</v>
      </c>
      <c r="BW41" s="31"/>
      <c r="BX41" s="31"/>
      <c r="BY41" s="85" t="str">
        <f t="shared" si="23"/>
        <v/>
      </c>
      <c r="BZ41" s="31"/>
      <c r="CA41" s="31"/>
      <c r="CB41" s="85" t="str">
        <f t="shared" si="24"/>
        <v/>
      </c>
      <c r="CC41" s="31"/>
      <c r="CD41" s="31"/>
      <c r="CE41" s="85" t="str">
        <f t="shared" si="25"/>
        <v/>
      </c>
      <c r="CF41" s="31"/>
      <c r="CG41" s="31"/>
      <c r="CH41" s="85" t="str">
        <f t="shared" si="26"/>
        <v/>
      </c>
      <c r="CI41" s="66">
        <v>659</v>
      </c>
      <c r="CJ41" s="66">
        <v>24000</v>
      </c>
      <c r="CK41" s="85">
        <f t="shared" si="27"/>
        <v>36.418816388467377</v>
      </c>
      <c r="CL41" s="66">
        <v>685</v>
      </c>
      <c r="CM41" s="66">
        <v>27000</v>
      </c>
      <c r="CN41" s="85">
        <f t="shared" si="28"/>
        <v>39.416058394160586</v>
      </c>
      <c r="CQ41" s="85" t="str">
        <f t="shared" si="29"/>
        <v/>
      </c>
    </row>
    <row r="42" spans="1:95" x14ac:dyDescent="0.3">
      <c r="A42" s="31" t="s">
        <v>396</v>
      </c>
      <c r="C42" s="30" t="s">
        <v>75</v>
      </c>
      <c r="D42" s="31" t="s">
        <v>1</v>
      </c>
      <c r="G42" s="85" t="str">
        <f t="shared" si="0"/>
        <v/>
      </c>
      <c r="H42" s="31"/>
      <c r="I42" s="31"/>
      <c r="J42" s="85" t="str">
        <f t="shared" si="1"/>
        <v/>
      </c>
      <c r="K42" s="31"/>
      <c r="L42" s="31"/>
      <c r="M42" s="85" t="str">
        <f t="shared" si="2"/>
        <v/>
      </c>
      <c r="N42" s="31"/>
      <c r="O42" s="31"/>
      <c r="P42" s="85" t="str">
        <f t="shared" si="3"/>
        <v/>
      </c>
      <c r="Q42" s="31"/>
      <c r="R42" s="31"/>
      <c r="S42" s="85" t="str">
        <f t="shared" si="4"/>
        <v/>
      </c>
      <c r="T42" s="31"/>
      <c r="U42" s="31"/>
      <c r="V42" s="85" t="str">
        <f t="shared" si="5"/>
        <v/>
      </c>
      <c r="W42" s="31"/>
      <c r="X42" s="31"/>
      <c r="Y42" s="85" t="str">
        <f t="shared" si="6"/>
        <v/>
      </c>
      <c r="Z42" s="31"/>
      <c r="AA42" s="31"/>
      <c r="AB42" s="85" t="str">
        <f t="shared" si="7"/>
        <v/>
      </c>
      <c r="AC42" s="31"/>
      <c r="AD42" s="31"/>
      <c r="AE42" s="85" t="str">
        <f t="shared" si="8"/>
        <v/>
      </c>
      <c r="AF42" s="31"/>
      <c r="AG42" s="31"/>
      <c r="AH42" s="85" t="str">
        <f t="shared" si="9"/>
        <v/>
      </c>
      <c r="AI42" s="31"/>
      <c r="AJ42" s="31"/>
      <c r="AK42" s="85" t="str">
        <f t="shared" si="10"/>
        <v/>
      </c>
      <c r="AL42" s="31"/>
      <c r="AM42" s="31"/>
      <c r="AN42" s="85" t="str">
        <f t="shared" si="11"/>
        <v/>
      </c>
      <c r="AO42" s="31"/>
      <c r="AP42" s="31"/>
      <c r="AQ42" s="85" t="str">
        <f t="shared" si="12"/>
        <v/>
      </c>
      <c r="AR42" s="31"/>
      <c r="AS42" s="31"/>
      <c r="AT42" s="85" t="str">
        <f t="shared" si="13"/>
        <v/>
      </c>
      <c r="AU42" s="31"/>
      <c r="AV42" s="31"/>
      <c r="AW42" s="85" t="str">
        <f t="shared" si="14"/>
        <v/>
      </c>
      <c r="AX42" s="33"/>
      <c r="AY42" s="31"/>
      <c r="AZ42" s="85" t="str">
        <f t="shared" si="15"/>
        <v/>
      </c>
      <c r="BA42" s="33"/>
      <c r="BB42" s="31"/>
      <c r="BC42" s="85" t="str">
        <f t="shared" si="16"/>
        <v/>
      </c>
      <c r="BD42" s="33"/>
      <c r="BE42" s="31"/>
      <c r="BF42" s="85" t="str">
        <f t="shared" si="17"/>
        <v/>
      </c>
      <c r="BG42" s="33"/>
      <c r="BH42" s="31"/>
      <c r="BI42" s="85" t="str">
        <f t="shared" si="18"/>
        <v/>
      </c>
      <c r="BJ42" s="33"/>
      <c r="BK42" s="33"/>
      <c r="BL42" s="85" t="str">
        <f t="shared" si="19"/>
        <v/>
      </c>
      <c r="BM42" s="33"/>
      <c r="BN42" s="33"/>
      <c r="BO42" s="85" t="str">
        <f t="shared" si="20"/>
        <v/>
      </c>
      <c r="BP42" s="33"/>
      <c r="BQ42" s="33"/>
      <c r="BR42" s="85" t="str">
        <f t="shared" si="21"/>
        <v/>
      </c>
      <c r="BS42" s="33"/>
      <c r="BT42" s="33"/>
      <c r="BU42" s="85" t="str">
        <f t="shared" si="22"/>
        <v/>
      </c>
      <c r="BV42" s="31" t="s">
        <v>1</v>
      </c>
      <c r="BW42" s="31"/>
      <c r="BX42" s="31"/>
      <c r="BY42" s="85" t="str">
        <f t="shared" si="23"/>
        <v/>
      </c>
      <c r="BZ42" s="31"/>
      <c r="CA42" s="31"/>
      <c r="CB42" s="85" t="str">
        <f t="shared" si="24"/>
        <v/>
      </c>
      <c r="CC42" s="31"/>
      <c r="CD42" s="31"/>
      <c r="CE42" s="85" t="str">
        <f t="shared" si="25"/>
        <v/>
      </c>
      <c r="CF42" s="31"/>
      <c r="CG42" s="31"/>
      <c r="CH42" s="85" t="str">
        <f t="shared" si="26"/>
        <v/>
      </c>
      <c r="CI42" s="66">
        <v>2639</v>
      </c>
      <c r="CJ42" s="66">
        <v>63000</v>
      </c>
      <c r="CK42" s="85">
        <f t="shared" si="27"/>
        <v>23.872679045092838</v>
      </c>
      <c r="CL42" s="66">
        <v>2444</v>
      </c>
      <c r="CM42" s="66">
        <v>66000</v>
      </c>
      <c r="CN42" s="85">
        <f t="shared" si="28"/>
        <v>27.004909983633389</v>
      </c>
      <c r="CQ42" s="85" t="str">
        <f t="shared" si="29"/>
        <v/>
      </c>
    </row>
    <row r="43" spans="1:95" x14ac:dyDescent="0.3">
      <c r="A43" s="31" t="s">
        <v>313</v>
      </c>
      <c r="C43" s="30" t="s">
        <v>75</v>
      </c>
      <c r="D43" s="31" t="s">
        <v>1</v>
      </c>
      <c r="G43" s="85" t="str">
        <f t="shared" si="0"/>
        <v/>
      </c>
      <c r="H43" s="31"/>
      <c r="I43" s="31"/>
      <c r="J43" s="85" t="str">
        <f t="shared" si="1"/>
        <v/>
      </c>
      <c r="K43" s="31"/>
      <c r="L43" s="31"/>
      <c r="M43" s="85" t="str">
        <f t="shared" si="2"/>
        <v/>
      </c>
      <c r="N43" s="31"/>
      <c r="O43" s="31"/>
      <c r="P43" s="85" t="str">
        <f t="shared" si="3"/>
        <v/>
      </c>
      <c r="Q43" s="31"/>
      <c r="R43" s="31"/>
      <c r="S43" s="85" t="str">
        <f t="shared" si="4"/>
        <v/>
      </c>
      <c r="T43" s="31"/>
      <c r="U43" s="31"/>
      <c r="V43" s="85" t="str">
        <f t="shared" si="5"/>
        <v/>
      </c>
      <c r="W43" s="31"/>
      <c r="X43" s="31"/>
      <c r="Y43" s="85" t="str">
        <f t="shared" si="6"/>
        <v/>
      </c>
      <c r="Z43" s="31"/>
      <c r="AA43" s="31"/>
      <c r="AB43" s="85" t="str">
        <f t="shared" si="7"/>
        <v/>
      </c>
      <c r="AC43" s="31"/>
      <c r="AD43" s="31"/>
      <c r="AE43" s="85" t="str">
        <f t="shared" si="8"/>
        <v/>
      </c>
      <c r="AF43" s="84">
        <v>3471.7</v>
      </c>
      <c r="AG43" s="83">
        <v>16176</v>
      </c>
      <c r="AH43" s="85">
        <f t="shared" si="9"/>
        <v>4.6593887720713196</v>
      </c>
      <c r="AI43" s="84">
        <v>2660</v>
      </c>
      <c r="AJ43" s="83">
        <v>11715</v>
      </c>
      <c r="AK43" s="85">
        <f t="shared" si="10"/>
        <v>4.4041353383458643</v>
      </c>
      <c r="AL43" s="84">
        <v>2084.5</v>
      </c>
      <c r="AM43" s="83">
        <v>9215</v>
      </c>
      <c r="AN43" s="85">
        <f t="shared" si="11"/>
        <v>4.4207243943391701</v>
      </c>
      <c r="AO43" s="84">
        <v>1442.6</v>
      </c>
      <c r="AP43" s="83">
        <v>7450</v>
      </c>
      <c r="AQ43" s="85">
        <f t="shared" si="12"/>
        <v>5.1642867045612091</v>
      </c>
      <c r="AR43" s="31"/>
      <c r="AS43" s="31"/>
      <c r="AT43" s="85" t="str">
        <f t="shared" si="13"/>
        <v/>
      </c>
      <c r="AU43" s="31"/>
      <c r="AV43" s="31"/>
      <c r="AW43" s="85" t="str">
        <f t="shared" si="14"/>
        <v/>
      </c>
      <c r="AX43" s="33"/>
      <c r="AY43" s="31"/>
      <c r="AZ43" s="85" t="str">
        <f t="shared" si="15"/>
        <v/>
      </c>
      <c r="BA43" s="33"/>
      <c r="BB43" s="31"/>
      <c r="BC43" s="85" t="str">
        <f t="shared" si="16"/>
        <v/>
      </c>
      <c r="BD43" s="33"/>
      <c r="BE43" s="31"/>
      <c r="BF43" s="85" t="str">
        <f t="shared" si="17"/>
        <v/>
      </c>
      <c r="BG43" s="33"/>
      <c r="BH43" s="31"/>
      <c r="BI43" s="85" t="str">
        <f t="shared" si="18"/>
        <v/>
      </c>
      <c r="BJ43" s="33"/>
      <c r="BK43" s="33"/>
      <c r="BL43" s="85" t="str">
        <f t="shared" si="19"/>
        <v/>
      </c>
      <c r="BM43" s="33"/>
      <c r="BN43" s="33"/>
      <c r="BO43" s="85" t="str">
        <f t="shared" si="20"/>
        <v/>
      </c>
      <c r="BP43" s="33"/>
      <c r="BQ43" s="33"/>
      <c r="BR43" s="85" t="str">
        <f t="shared" si="21"/>
        <v/>
      </c>
      <c r="BS43" s="33"/>
      <c r="BT43" s="33"/>
      <c r="BU43" s="85" t="str">
        <f t="shared" si="22"/>
        <v/>
      </c>
      <c r="BV43" s="31"/>
      <c r="BW43" s="31"/>
      <c r="BX43" s="31"/>
      <c r="BY43" s="85" t="str">
        <f t="shared" si="23"/>
        <v/>
      </c>
      <c r="BZ43" s="31"/>
      <c r="CA43" s="31"/>
      <c r="CB43" s="85" t="str">
        <f t="shared" si="24"/>
        <v/>
      </c>
      <c r="CC43" s="31"/>
      <c r="CD43" s="31"/>
      <c r="CE43" s="85" t="str">
        <f t="shared" si="25"/>
        <v/>
      </c>
      <c r="CF43" s="31"/>
      <c r="CG43" s="31"/>
      <c r="CH43" s="85" t="str">
        <f t="shared" si="26"/>
        <v/>
      </c>
      <c r="CI43" s="66"/>
      <c r="CJ43" s="66"/>
      <c r="CK43" s="85" t="str">
        <f t="shared" si="27"/>
        <v/>
      </c>
      <c r="CL43" s="66"/>
      <c r="CM43" s="66"/>
      <c r="CN43" s="85" t="str">
        <f t="shared" si="28"/>
        <v/>
      </c>
      <c r="CQ43" s="85" t="str">
        <f t="shared" si="29"/>
        <v/>
      </c>
    </row>
    <row r="44" spans="1:95" x14ac:dyDescent="0.3">
      <c r="A44" s="31" t="s">
        <v>337</v>
      </c>
      <c r="C44" s="30" t="s">
        <v>75</v>
      </c>
      <c r="D44" s="31" t="s">
        <v>1</v>
      </c>
      <c r="G44" s="85" t="str">
        <f t="shared" si="0"/>
        <v/>
      </c>
      <c r="H44" s="31"/>
      <c r="I44" s="31"/>
      <c r="J44" s="85" t="str">
        <f t="shared" si="1"/>
        <v/>
      </c>
      <c r="K44" s="31"/>
      <c r="L44" s="31"/>
      <c r="M44" s="85" t="str">
        <f t="shared" si="2"/>
        <v/>
      </c>
      <c r="N44" s="31"/>
      <c r="O44" s="31"/>
      <c r="P44" s="85" t="str">
        <f t="shared" si="3"/>
        <v/>
      </c>
      <c r="Q44" s="31"/>
      <c r="R44" s="31"/>
      <c r="S44" s="85" t="str">
        <f t="shared" si="4"/>
        <v/>
      </c>
      <c r="T44" s="31"/>
      <c r="U44" s="31"/>
      <c r="V44" s="85" t="str">
        <f t="shared" si="5"/>
        <v/>
      </c>
      <c r="W44" s="31"/>
      <c r="X44" s="31"/>
      <c r="Y44" s="85" t="str">
        <f t="shared" si="6"/>
        <v/>
      </c>
      <c r="Z44" s="31"/>
      <c r="AA44" s="31"/>
      <c r="AB44" s="85" t="str">
        <f t="shared" si="7"/>
        <v/>
      </c>
      <c r="AC44" s="31"/>
      <c r="AD44" s="31"/>
      <c r="AE44" s="85" t="str">
        <f t="shared" si="8"/>
        <v/>
      </c>
      <c r="AF44" s="84">
        <v>2576.6999999999998</v>
      </c>
      <c r="AG44" s="83">
        <v>85882</v>
      </c>
      <c r="AH44" s="85">
        <f t="shared" si="9"/>
        <v>33.330228586952309</v>
      </c>
      <c r="AI44" s="84">
        <v>3602.8</v>
      </c>
      <c r="AJ44" s="83">
        <v>114806</v>
      </c>
      <c r="AK44" s="85">
        <f t="shared" si="10"/>
        <v>31.865771066947929</v>
      </c>
      <c r="AL44" s="84">
        <v>3605.55</v>
      </c>
      <c r="AM44" s="83">
        <v>120196</v>
      </c>
      <c r="AN44" s="85">
        <f t="shared" si="11"/>
        <v>33.336384185491809</v>
      </c>
      <c r="AO44" s="84">
        <v>2319.5</v>
      </c>
      <c r="AP44" s="83">
        <v>79607</v>
      </c>
      <c r="AQ44" s="85">
        <f t="shared" si="12"/>
        <v>34.320758784220736</v>
      </c>
      <c r="AR44" s="31"/>
      <c r="AS44" s="31"/>
      <c r="AT44" s="85" t="str">
        <f t="shared" si="13"/>
        <v/>
      </c>
      <c r="AU44" s="31"/>
      <c r="AV44" s="31"/>
      <c r="AW44" s="85" t="str">
        <f t="shared" si="14"/>
        <v/>
      </c>
      <c r="AX44" s="33"/>
      <c r="AY44" s="31"/>
      <c r="AZ44" s="85" t="str">
        <f t="shared" si="15"/>
        <v/>
      </c>
      <c r="BA44" s="33"/>
      <c r="BB44" s="31"/>
      <c r="BC44" s="85" t="str">
        <f t="shared" si="16"/>
        <v/>
      </c>
      <c r="BD44" s="33"/>
      <c r="BE44" s="31"/>
      <c r="BF44" s="85" t="str">
        <f t="shared" si="17"/>
        <v/>
      </c>
      <c r="BG44" s="33"/>
      <c r="BH44" s="31"/>
      <c r="BI44" s="85" t="str">
        <f t="shared" si="18"/>
        <v/>
      </c>
      <c r="BJ44" s="33"/>
      <c r="BK44" s="33"/>
      <c r="BL44" s="85" t="str">
        <f t="shared" si="19"/>
        <v/>
      </c>
      <c r="BM44" s="33"/>
      <c r="BN44" s="33"/>
      <c r="BO44" s="85" t="str">
        <f t="shared" si="20"/>
        <v/>
      </c>
      <c r="BP44" s="33"/>
      <c r="BQ44" s="33"/>
      <c r="BR44" s="85" t="str">
        <f t="shared" si="21"/>
        <v/>
      </c>
      <c r="BS44" s="33"/>
      <c r="BT44" s="33"/>
      <c r="BU44" s="85" t="str">
        <f t="shared" si="22"/>
        <v/>
      </c>
      <c r="BV44" s="31"/>
      <c r="BW44" s="31"/>
      <c r="BX44" s="31"/>
      <c r="BY44" s="85" t="str">
        <f t="shared" si="23"/>
        <v/>
      </c>
      <c r="BZ44" s="31"/>
      <c r="CA44" s="31"/>
      <c r="CB44" s="85" t="str">
        <f t="shared" si="24"/>
        <v/>
      </c>
      <c r="CC44" s="31"/>
      <c r="CD44" s="31"/>
      <c r="CE44" s="85" t="str">
        <f t="shared" si="25"/>
        <v/>
      </c>
      <c r="CF44" s="31"/>
      <c r="CG44" s="31"/>
      <c r="CH44" s="85" t="str">
        <f t="shared" si="26"/>
        <v/>
      </c>
      <c r="CI44" s="66"/>
      <c r="CJ44" s="66"/>
      <c r="CK44" s="85" t="str">
        <f t="shared" si="27"/>
        <v/>
      </c>
      <c r="CL44" s="66"/>
      <c r="CM44" s="66"/>
      <c r="CN44" s="85" t="str">
        <f t="shared" si="28"/>
        <v/>
      </c>
      <c r="CQ44" s="85" t="str">
        <f t="shared" si="29"/>
        <v/>
      </c>
    </row>
    <row r="45" spans="1:95" x14ac:dyDescent="0.3">
      <c r="A45" s="31" t="s">
        <v>338</v>
      </c>
      <c r="C45" s="30" t="s">
        <v>75</v>
      </c>
      <c r="D45" s="31" t="s">
        <v>1</v>
      </c>
      <c r="G45" s="85" t="str">
        <f t="shared" si="0"/>
        <v/>
      </c>
      <c r="H45" s="31"/>
      <c r="I45" s="31"/>
      <c r="J45" s="85" t="str">
        <f t="shared" si="1"/>
        <v/>
      </c>
      <c r="K45" s="31"/>
      <c r="L45" s="31"/>
      <c r="M45" s="85" t="str">
        <f t="shared" si="2"/>
        <v/>
      </c>
      <c r="N45" s="31"/>
      <c r="O45" s="31"/>
      <c r="P45" s="85" t="str">
        <f t="shared" si="3"/>
        <v/>
      </c>
      <c r="Q45" s="31"/>
      <c r="R45" s="31"/>
      <c r="S45" s="85" t="str">
        <f t="shared" si="4"/>
        <v/>
      </c>
      <c r="T45" s="31"/>
      <c r="U45" s="31"/>
      <c r="V45" s="85" t="str">
        <f t="shared" si="5"/>
        <v/>
      </c>
      <c r="W45" s="31"/>
      <c r="X45" s="31"/>
      <c r="Y45" s="85" t="str">
        <f t="shared" si="6"/>
        <v/>
      </c>
      <c r="Z45" s="31"/>
      <c r="AA45" s="31"/>
      <c r="AB45" s="85" t="str">
        <f t="shared" si="7"/>
        <v/>
      </c>
      <c r="AC45" s="31"/>
      <c r="AD45" s="31"/>
      <c r="AE45" s="85" t="str">
        <f t="shared" si="8"/>
        <v/>
      </c>
      <c r="AF45" s="84">
        <v>636.4</v>
      </c>
      <c r="AG45" s="83">
        <v>54607</v>
      </c>
      <c r="AH45" s="85">
        <f t="shared" si="9"/>
        <v>85.806096794468885</v>
      </c>
      <c r="AI45" s="84">
        <v>472.8</v>
      </c>
      <c r="AJ45" s="83">
        <v>39411</v>
      </c>
      <c r="AK45" s="85">
        <f t="shared" si="10"/>
        <v>83.356598984771566</v>
      </c>
      <c r="AL45" s="84">
        <v>579.9</v>
      </c>
      <c r="AM45" s="83">
        <v>49754</v>
      </c>
      <c r="AN45" s="85">
        <f t="shared" si="11"/>
        <v>85.797551301948616</v>
      </c>
      <c r="AO45" s="84">
        <v>425</v>
      </c>
      <c r="AP45" s="83">
        <v>37500</v>
      </c>
      <c r="AQ45" s="85">
        <f t="shared" si="12"/>
        <v>88.235294117647058</v>
      </c>
      <c r="AR45" s="31"/>
      <c r="AS45" s="31"/>
      <c r="AT45" s="85" t="str">
        <f t="shared" si="13"/>
        <v/>
      </c>
      <c r="AU45" s="31"/>
      <c r="AV45" s="31"/>
      <c r="AW45" s="85" t="str">
        <f t="shared" si="14"/>
        <v/>
      </c>
      <c r="AX45" s="33"/>
      <c r="AY45" s="31"/>
      <c r="AZ45" s="85" t="str">
        <f t="shared" si="15"/>
        <v/>
      </c>
      <c r="BA45" s="33"/>
      <c r="BB45" s="31"/>
      <c r="BC45" s="85" t="str">
        <f t="shared" si="16"/>
        <v/>
      </c>
      <c r="BD45" s="33"/>
      <c r="BE45" s="31"/>
      <c r="BF45" s="85" t="str">
        <f t="shared" si="17"/>
        <v/>
      </c>
      <c r="BG45" s="33"/>
      <c r="BH45" s="31"/>
      <c r="BI45" s="85" t="str">
        <f t="shared" si="18"/>
        <v/>
      </c>
      <c r="BJ45" s="33"/>
      <c r="BK45" s="33"/>
      <c r="BL45" s="85" t="str">
        <f t="shared" si="19"/>
        <v/>
      </c>
      <c r="BM45" s="33"/>
      <c r="BN45" s="33"/>
      <c r="BO45" s="85" t="str">
        <f t="shared" si="20"/>
        <v/>
      </c>
      <c r="BP45" s="33"/>
      <c r="BQ45" s="33"/>
      <c r="BR45" s="85" t="str">
        <f t="shared" si="21"/>
        <v/>
      </c>
      <c r="BS45" s="33"/>
      <c r="BT45" s="33"/>
      <c r="BU45" s="85" t="str">
        <f t="shared" si="22"/>
        <v/>
      </c>
      <c r="BV45" s="31"/>
      <c r="BW45" s="31"/>
      <c r="BX45" s="31"/>
      <c r="BY45" s="85" t="str">
        <f t="shared" si="23"/>
        <v/>
      </c>
      <c r="BZ45" s="31"/>
      <c r="CA45" s="31"/>
      <c r="CB45" s="85" t="str">
        <f t="shared" si="24"/>
        <v/>
      </c>
      <c r="CC45" s="31"/>
      <c r="CD45" s="31"/>
      <c r="CE45" s="85" t="str">
        <f t="shared" si="25"/>
        <v/>
      </c>
      <c r="CF45" s="31"/>
      <c r="CG45" s="31"/>
      <c r="CH45" s="85" t="str">
        <f t="shared" si="26"/>
        <v/>
      </c>
      <c r="CI45" s="66"/>
      <c r="CJ45" s="66"/>
      <c r="CK45" s="85" t="str">
        <f t="shared" si="27"/>
        <v/>
      </c>
      <c r="CL45" s="66"/>
      <c r="CM45" s="66"/>
      <c r="CN45" s="85" t="str">
        <f t="shared" si="28"/>
        <v/>
      </c>
      <c r="CQ45" s="85" t="str">
        <f t="shared" si="29"/>
        <v/>
      </c>
    </row>
    <row r="46" spans="1:95" s="74" customFormat="1" x14ac:dyDescent="0.3">
      <c r="A46" s="31" t="s">
        <v>152</v>
      </c>
      <c r="B46" s="31"/>
      <c r="C46" s="30" t="s">
        <v>75</v>
      </c>
      <c r="D46" s="31" t="s">
        <v>1</v>
      </c>
      <c r="E46" s="31"/>
      <c r="F46" s="31"/>
      <c r="G46" s="85" t="str">
        <f t="shared" si="0"/>
        <v/>
      </c>
      <c r="H46" s="31"/>
      <c r="I46" s="31"/>
      <c r="J46" s="85" t="str">
        <f t="shared" si="1"/>
        <v/>
      </c>
      <c r="K46" s="31"/>
      <c r="L46" s="31"/>
      <c r="M46" s="85" t="str">
        <f t="shared" si="2"/>
        <v/>
      </c>
      <c r="N46" s="31"/>
      <c r="O46" s="31"/>
      <c r="P46" s="85" t="str">
        <f t="shared" si="3"/>
        <v/>
      </c>
      <c r="Q46" s="31"/>
      <c r="R46" s="31"/>
      <c r="S46" s="85" t="str">
        <f t="shared" si="4"/>
        <v/>
      </c>
      <c r="T46" s="31"/>
      <c r="U46" s="31"/>
      <c r="V46" s="85" t="str">
        <f t="shared" si="5"/>
        <v/>
      </c>
      <c r="W46" s="31"/>
      <c r="X46" s="31"/>
      <c r="Y46" s="85" t="str">
        <f t="shared" si="6"/>
        <v/>
      </c>
      <c r="Z46" s="31"/>
      <c r="AA46" s="31"/>
      <c r="AB46" s="85" t="str">
        <f t="shared" si="7"/>
        <v/>
      </c>
      <c r="AC46" s="31"/>
      <c r="AD46" s="31"/>
      <c r="AE46" s="85" t="str">
        <f t="shared" si="8"/>
        <v/>
      </c>
      <c r="AF46" s="31"/>
      <c r="AG46" s="31"/>
      <c r="AH46" s="85" t="str">
        <f t="shared" si="9"/>
        <v/>
      </c>
      <c r="AI46" s="31"/>
      <c r="AJ46" s="31"/>
      <c r="AK46" s="85" t="str">
        <f t="shared" si="10"/>
        <v/>
      </c>
      <c r="AL46" s="31"/>
      <c r="AM46" s="31"/>
      <c r="AN46" s="85" t="str">
        <f t="shared" si="11"/>
        <v/>
      </c>
      <c r="AO46" s="31"/>
      <c r="AP46" s="31"/>
      <c r="AQ46" s="85" t="str">
        <f t="shared" si="12"/>
        <v/>
      </c>
      <c r="AR46" s="31"/>
      <c r="AS46" s="31"/>
      <c r="AT46" s="85" t="str">
        <f t="shared" si="13"/>
        <v/>
      </c>
      <c r="AU46" s="31"/>
      <c r="AV46" s="31"/>
      <c r="AW46" s="85" t="str">
        <f t="shared" si="14"/>
        <v/>
      </c>
      <c r="AX46" s="33"/>
      <c r="AY46" s="31"/>
      <c r="AZ46" s="85" t="str">
        <f t="shared" si="15"/>
        <v/>
      </c>
      <c r="BA46" s="33"/>
      <c r="BB46" s="31"/>
      <c r="BC46" s="85" t="str">
        <f t="shared" si="16"/>
        <v/>
      </c>
      <c r="BD46" s="33"/>
      <c r="BE46" s="31"/>
      <c r="BF46" s="85" t="str">
        <f t="shared" si="17"/>
        <v/>
      </c>
      <c r="BG46" s="33"/>
      <c r="BH46" s="31"/>
      <c r="BI46" s="85" t="str">
        <f t="shared" si="18"/>
        <v/>
      </c>
      <c r="BJ46" s="33"/>
      <c r="BK46" s="33"/>
      <c r="BL46" s="85" t="str">
        <f t="shared" si="19"/>
        <v/>
      </c>
      <c r="BM46" s="33"/>
      <c r="BN46" s="33"/>
      <c r="BO46" s="85" t="str">
        <f t="shared" si="20"/>
        <v/>
      </c>
      <c r="BP46" s="33"/>
      <c r="BQ46" s="33"/>
      <c r="BR46" s="85" t="str">
        <f t="shared" si="21"/>
        <v/>
      </c>
      <c r="BS46" s="33"/>
      <c r="BT46" s="33"/>
      <c r="BU46" s="85" t="str">
        <f t="shared" si="22"/>
        <v/>
      </c>
      <c r="BV46" s="31" t="s">
        <v>1</v>
      </c>
      <c r="BW46" s="31"/>
      <c r="BX46" s="31"/>
      <c r="BY46" s="85" t="str">
        <f t="shared" si="23"/>
        <v/>
      </c>
      <c r="BZ46" s="31"/>
      <c r="CA46" s="31"/>
      <c r="CB46" s="85" t="str">
        <f t="shared" si="24"/>
        <v/>
      </c>
      <c r="CC46" s="31"/>
      <c r="CD46" s="31"/>
      <c r="CE46" s="85" t="str">
        <f t="shared" si="25"/>
        <v/>
      </c>
      <c r="CF46" s="31"/>
      <c r="CG46" s="31"/>
      <c r="CH46" s="85" t="str">
        <f t="shared" si="26"/>
        <v/>
      </c>
      <c r="CI46" s="73">
        <v>3211</v>
      </c>
      <c r="CJ46" s="73">
        <v>128000</v>
      </c>
      <c r="CK46" s="85">
        <f t="shared" si="27"/>
        <v>39.862971037060106</v>
      </c>
      <c r="CL46" s="73">
        <v>4263</v>
      </c>
      <c r="CM46" s="73">
        <v>156000</v>
      </c>
      <c r="CN46" s="85">
        <f t="shared" si="28"/>
        <v>36.593947923997185</v>
      </c>
      <c r="CQ46" s="85" t="str">
        <f t="shared" si="29"/>
        <v/>
      </c>
    </row>
    <row r="47" spans="1:95" x14ac:dyDescent="0.3">
      <c r="A47" s="31" t="s">
        <v>222</v>
      </c>
      <c r="C47" s="30" t="s">
        <v>75</v>
      </c>
      <c r="D47" s="31" t="s">
        <v>1</v>
      </c>
      <c r="G47" s="85" t="str">
        <f t="shared" si="0"/>
        <v/>
      </c>
      <c r="H47" s="31"/>
      <c r="I47" s="31"/>
      <c r="J47" s="85" t="str">
        <f t="shared" si="1"/>
        <v/>
      </c>
      <c r="K47" s="31"/>
      <c r="L47" s="31"/>
      <c r="M47" s="85" t="str">
        <f t="shared" si="2"/>
        <v/>
      </c>
      <c r="N47" s="31"/>
      <c r="O47" s="31"/>
      <c r="P47" s="85" t="str">
        <f t="shared" si="3"/>
        <v/>
      </c>
      <c r="Q47" s="31"/>
      <c r="R47" s="31"/>
      <c r="S47" s="85" t="str">
        <f t="shared" si="4"/>
        <v/>
      </c>
      <c r="T47" s="31"/>
      <c r="U47" s="31"/>
      <c r="V47" s="85" t="str">
        <f t="shared" si="5"/>
        <v/>
      </c>
      <c r="W47" s="31"/>
      <c r="X47" s="31"/>
      <c r="Y47" s="85" t="str">
        <f t="shared" si="6"/>
        <v/>
      </c>
      <c r="Z47" s="31"/>
      <c r="AA47" s="31"/>
      <c r="AB47" s="85" t="str">
        <f t="shared" si="7"/>
        <v/>
      </c>
      <c r="AC47" s="31"/>
      <c r="AD47" s="31"/>
      <c r="AE47" s="85" t="str">
        <f t="shared" si="8"/>
        <v/>
      </c>
      <c r="AF47" s="84">
        <v>504.9</v>
      </c>
      <c r="AG47" s="83">
        <v>3088</v>
      </c>
      <c r="AH47" s="85">
        <f t="shared" si="9"/>
        <v>6.1160625866508225</v>
      </c>
      <c r="AI47" s="84">
        <v>355.5</v>
      </c>
      <c r="AJ47" s="83">
        <v>1960</v>
      </c>
      <c r="AK47" s="85">
        <f t="shared" si="10"/>
        <v>5.5133614627285512</v>
      </c>
      <c r="AL47" s="84">
        <v>728.6</v>
      </c>
      <c r="AM47" s="83">
        <v>4019</v>
      </c>
      <c r="AN47" s="85">
        <f t="shared" si="11"/>
        <v>5.5160581937963213</v>
      </c>
      <c r="AO47" s="84">
        <v>206.4</v>
      </c>
      <c r="AP47" s="83">
        <v>1225</v>
      </c>
      <c r="AQ47" s="85">
        <f t="shared" si="12"/>
        <v>5.9350775193798446</v>
      </c>
      <c r="AR47" s="31"/>
      <c r="AS47" s="31"/>
      <c r="AT47" s="85" t="str">
        <f t="shared" si="13"/>
        <v/>
      </c>
      <c r="AU47" s="31"/>
      <c r="AV47" s="31"/>
      <c r="AW47" s="85" t="str">
        <f t="shared" si="14"/>
        <v/>
      </c>
      <c r="AX47" s="33"/>
      <c r="AY47" s="31"/>
      <c r="AZ47" s="85" t="str">
        <f t="shared" si="15"/>
        <v/>
      </c>
      <c r="BA47" s="33"/>
      <c r="BB47" s="31"/>
      <c r="BC47" s="85" t="str">
        <f t="shared" si="16"/>
        <v/>
      </c>
      <c r="BD47" s="33"/>
      <c r="BE47" s="31"/>
      <c r="BF47" s="85" t="str">
        <f t="shared" si="17"/>
        <v/>
      </c>
      <c r="BG47" s="33"/>
      <c r="BH47" s="31"/>
      <c r="BI47" s="85" t="str">
        <f t="shared" si="18"/>
        <v/>
      </c>
      <c r="BJ47" s="33"/>
      <c r="BK47" s="33"/>
      <c r="BL47" s="85" t="str">
        <f t="shared" si="19"/>
        <v/>
      </c>
      <c r="BM47" s="33"/>
      <c r="BN47" s="33"/>
      <c r="BO47" s="85" t="str">
        <f t="shared" si="20"/>
        <v/>
      </c>
      <c r="BP47" s="33"/>
      <c r="BQ47" s="33"/>
      <c r="BR47" s="85" t="str">
        <f t="shared" si="21"/>
        <v/>
      </c>
      <c r="BS47" s="33"/>
      <c r="BT47" s="33"/>
      <c r="BU47" s="85" t="str">
        <f t="shared" si="22"/>
        <v/>
      </c>
      <c r="BV47" s="31" t="s">
        <v>1</v>
      </c>
      <c r="BW47" s="31"/>
      <c r="BX47" s="31"/>
      <c r="BY47" s="85" t="str">
        <f t="shared" si="23"/>
        <v/>
      </c>
      <c r="BZ47" s="31"/>
      <c r="CA47" s="31"/>
      <c r="CB47" s="85" t="str">
        <f t="shared" si="24"/>
        <v/>
      </c>
      <c r="CC47" s="31"/>
      <c r="CD47" s="31"/>
      <c r="CE47" s="85" t="str">
        <f t="shared" si="25"/>
        <v/>
      </c>
      <c r="CF47" s="31"/>
      <c r="CG47" s="31"/>
      <c r="CH47" s="85" t="str">
        <f t="shared" si="26"/>
        <v/>
      </c>
      <c r="CI47" s="66">
        <v>3089</v>
      </c>
      <c r="CJ47" s="66">
        <v>58000</v>
      </c>
      <c r="CK47" s="85">
        <f t="shared" si="27"/>
        <v>18.776303010683069</v>
      </c>
      <c r="CL47" s="66"/>
      <c r="CM47" s="66"/>
      <c r="CN47" s="85" t="str">
        <f t="shared" si="28"/>
        <v/>
      </c>
      <c r="CQ47" s="85" t="str">
        <f t="shared" si="29"/>
        <v/>
      </c>
    </row>
    <row r="48" spans="1:95" x14ac:dyDescent="0.3">
      <c r="A48" s="31" t="s">
        <v>293</v>
      </c>
      <c r="C48" s="30" t="s">
        <v>75</v>
      </c>
      <c r="D48" s="31" t="s">
        <v>1</v>
      </c>
      <c r="G48" s="85" t="str">
        <f t="shared" si="0"/>
        <v/>
      </c>
      <c r="H48" s="31"/>
      <c r="I48" s="31"/>
      <c r="J48" s="85" t="str">
        <f t="shared" si="1"/>
        <v/>
      </c>
      <c r="K48" s="31"/>
      <c r="L48" s="31"/>
      <c r="M48" s="85" t="str">
        <f t="shared" si="2"/>
        <v/>
      </c>
      <c r="N48" s="31"/>
      <c r="O48" s="31"/>
      <c r="P48" s="85" t="str">
        <f t="shared" si="3"/>
        <v/>
      </c>
      <c r="Q48" s="31"/>
      <c r="R48" s="31"/>
      <c r="S48" s="85" t="str">
        <f t="shared" si="4"/>
        <v/>
      </c>
      <c r="T48" s="31"/>
      <c r="U48" s="31"/>
      <c r="V48" s="85" t="str">
        <f t="shared" si="5"/>
        <v/>
      </c>
      <c r="W48" s="31"/>
      <c r="X48" s="31"/>
      <c r="Y48" s="85" t="str">
        <f t="shared" si="6"/>
        <v/>
      </c>
      <c r="Z48" s="31"/>
      <c r="AA48" s="31"/>
      <c r="AB48" s="85" t="str">
        <f t="shared" si="7"/>
        <v/>
      </c>
      <c r="AC48" s="31"/>
      <c r="AD48" s="31"/>
      <c r="AE48" s="85" t="str">
        <f t="shared" si="8"/>
        <v/>
      </c>
      <c r="AF48" s="84">
        <v>13452.1</v>
      </c>
      <c r="AG48" s="83">
        <v>594313</v>
      </c>
      <c r="AH48" s="85">
        <f t="shared" si="9"/>
        <v>44.179942165163801</v>
      </c>
      <c r="AI48" s="84">
        <v>27147.599999999999</v>
      </c>
      <c r="AJ48" s="83">
        <v>393922</v>
      </c>
      <c r="AK48" s="85">
        <f t="shared" si="10"/>
        <v>14.510380291443811</v>
      </c>
      <c r="AL48" s="84">
        <v>46271</v>
      </c>
      <c r="AM48" s="83">
        <v>722795</v>
      </c>
      <c r="AN48" s="85">
        <f t="shared" si="11"/>
        <v>15.620907263728901</v>
      </c>
      <c r="AO48" s="84">
        <v>26416.3</v>
      </c>
      <c r="AP48" s="83">
        <v>389118</v>
      </c>
      <c r="AQ48" s="85">
        <f t="shared" si="12"/>
        <v>14.730223384804079</v>
      </c>
      <c r="AR48" s="31">
        <f>9329+1564</f>
        <v>10893</v>
      </c>
      <c r="AS48" s="31">
        <f>181000+34900</f>
        <v>215900</v>
      </c>
      <c r="AT48" s="85">
        <f t="shared" si="13"/>
        <v>19.820067933535299</v>
      </c>
      <c r="AU48" s="31">
        <f>8725+2412</f>
        <v>11137</v>
      </c>
      <c r="AV48" s="31">
        <f>221000+58400</f>
        <v>279400</v>
      </c>
      <c r="AW48" s="85">
        <f t="shared" si="14"/>
        <v>25.087546017778575</v>
      </c>
      <c r="AX48" s="33">
        <f>5493+3320</f>
        <v>8813</v>
      </c>
      <c r="AY48" s="31">
        <f>175000+60000</f>
        <v>235000</v>
      </c>
      <c r="AZ48" s="85">
        <f t="shared" si="15"/>
        <v>26.665153750141837</v>
      </c>
      <c r="BA48" s="33">
        <f>10091+7668</f>
        <v>17759</v>
      </c>
      <c r="BB48" s="31">
        <f>258000+100000</f>
        <v>358000</v>
      </c>
      <c r="BC48" s="85">
        <f t="shared" si="16"/>
        <v>20.158792724815587</v>
      </c>
      <c r="BD48" s="33">
        <f>27147+4514</f>
        <v>31661</v>
      </c>
      <c r="BE48" s="31">
        <f>385000+88800</f>
        <v>473800</v>
      </c>
      <c r="BF48" s="85">
        <f t="shared" si="17"/>
        <v>14.964783171725466</v>
      </c>
      <c r="BG48" s="33">
        <f>6081+15152+6166</f>
        <v>27399</v>
      </c>
      <c r="BH48" s="31">
        <f>100000+274000+109000</f>
        <v>483000</v>
      </c>
      <c r="BI48" s="85">
        <f t="shared" si="18"/>
        <v>17.628380597832038</v>
      </c>
      <c r="BJ48" s="33"/>
      <c r="BK48" s="33"/>
      <c r="BL48" s="85" t="str">
        <f t="shared" si="19"/>
        <v/>
      </c>
      <c r="BM48" s="33">
        <f>4716+14791+10019</f>
        <v>29526</v>
      </c>
      <c r="BN48" s="33">
        <f>90000+245000+135000</f>
        <v>470000</v>
      </c>
      <c r="BO48" s="85">
        <f t="shared" si="20"/>
        <v>15.918173812910656</v>
      </c>
      <c r="BP48" s="33">
        <f>21397+39653+7666</f>
        <v>68716</v>
      </c>
      <c r="BQ48" s="33">
        <f>742000+326000+143000</f>
        <v>1211000</v>
      </c>
      <c r="BR48" s="85">
        <f t="shared" si="21"/>
        <v>17.623260958146574</v>
      </c>
      <c r="BS48" s="33"/>
      <c r="BT48" s="33"/>
      <c r="BU48" s="85" t="str">
        <f t="shared" si="22"/>
        <v/>
      </c>
      <c r="BV48" s="31" t="s">
        <v>1</v>
      </c>
      <c r="BW48" s="31"/>
      <c r="BX48" s="31"/>
      <c r="BY48" s="85" t="str">
        <f t="shared" si="23"/>
        <v/>
      </c>
      <c r="BZ48" s="31"/>
      <c r="CA48" s="31"/>
      <c r="CB48" s="85" t="str">
        <f t="shared" si="24"/>
        <v/>
      </c>
      <c r="CC48" s="31"/>
      <c r="CD48" s="31"/>
      <c r="CE48" s="85" t="str">
        <f t="shared" si="25"/>
        <v/>
      </c>
      <c r="CF48" s="31"/>
      <c r="CG48" s="31"/>
      <c r="CH48" s="85" t="str">
        <f t="shared" si="26"/>
        <v/>
      </c>
      <c r="CI48" s="66"/>
      <c r="CJ48" s="66"/>
      <c r="CK48" s="85" t="str">
        <f t="shared" si="27"/>
        <v/>
      </c>
      <c r="CL48" s="66"/>
      <c r="CM48" s="66"/>
      <c r="CN48" s="85" t="str">
        <f t="shared" si="28"/>
        <v/>
      </c>
      <c r="CQ48" s="85" t="str">
        <f t="shared" si="29"/>
        <v/>
      </c>
    </row>
    <row r="49" spans="1:95" x14ac:dyDescent="0.3">
      <c r="A49" s="31" t="s">
        <v>153</v>
      </c>
      <c r="C49" s="30" t="s">
        <v>75</v>
      </c>
      <c r="D49" s="31" t="s">
        <v>1</v>
      </c>
      <c r="G49" s="85" t="str">
        <f t="shared" si="0"/>
        <v/>
      </c>
      <c r="H49" s="31"/>
      <c r="I49" s="31"/>
      <c r="J49" s="85" t="str">
        <f t="shared" si="1"/>
        <v/>
      </c>
      <c r="K49" s="31"/>
      <c r="L49" s="31"/>
      <c r="M49" s="85" t="str">
        <f t="shared" si="2"/>
        <v/>
      </c>
      <c r="N49" s="31"/>
      <c r="O49" s="31"/>
      <c r="P49" s="85" t="str">
        <f t="shared" si="3"/>
        <v/>
      </c>
      <c r="Q49" s="31"/>
      <c r="R49" s="31"/>
      <c r="S49" s="85" t="str">
        <f t="shared" si="4"/>
        <v/>
      </c>
      <c r="T49" s="31"/>
      <c r="U49" s="31"/>
      <c r="V49" s="85" t="str">
        <f t="shared" si="5"/>
        <v/>
      </c>
      <c r="W49" s="31"/>
      <c r="X49" s="31"/>
      <c r="Y49" s="85" t="str">
        <f t="shared" si="6"/>
        <v/>
      </c>
      <c r="Z49" s="31"/>
      <c r="AA49" s="31"/>
      <c r="AB49" s="85" t="str">
        <f t="shared" si="7"/>
        <v/>
      </c>
      <c r="AC49" s="31"/>
      <c r="AD49" s="31"/>
      <c r="AE49" s="85" t="str">
        <f t="shared" si="8"/>
        <v/>
      </c>
      <c r="AF49" s="31"/>
      <c r="AG49" s="31"/>
      <c r="AH49" s="85" t="str">
        <f t="shared" si="9"/>
        <v/>
      </c>
      <c r="AI49" s="31"/>
      <c r="AJ49" s="31"/>
      <c r="AK49" s="85" t="str">
        <f t="shared" si="10"/>
        <v/>
      </c>
      <c r="AL49" s="31"/>
      <c r="AM49" s="31"/>
      <c r="AN49" s="85" t="str">
        <f t="shared" si="11"/>
        <v/>
      </c>
      <c r="AO49" s="31"/>
      <c r="AP49" s="31"/>
      <c r="AQ49" s="85" t="str">
        <f t="shared" si="12"/>
        <v/>
      </c>
      <c r="AR49" s="31"/>
      <c r="AS49" s="31"/>
      <c r="AT49" s="85" t="str">
        <f t="shared" si="13"/>
        <v/>
      </c>
      <c r="AU49" s="31"/>
      <c r="AV49" s="31"/>
      <c r="AW49" s="85" t="str">
        <f t="shared" si="14"/>
        <v/>
      </c>
      <c r="AX49" s="33"/>
      <c r="AY49" s="31"/>
      <c r="AZ49" s="85" t="str">
        <f t="shared" si="15"/>
        <v/>
      </c>
      <c r="BA49" s="33"/>
      <c r="BB49" s="31"/>
      <c r="BC49" s="85" t="str">
        <f t="shared" si="16"/>
        <v/>
      </c>
      <c r="BD49" s="33"/>
      <c r="BE49" s="31"/>
      <c r="BF49" s="85" t="str">
        <f t="shared" si="17"/>
        <v/>
      </c>
      <c r="BG49" s="33"/>
      <c r="BH49" s="31"/>
      <c r="BI49" s="85" t="str">
        <f t="shared" si="18"/>
        <v/>
      </c>
      <c r="BJ49" s="33"/>
      <c r="BK49" s="33"/>
      <c r="BL49" s="85" t="str">
        <f t="shared" si="19"/>
        <v/>
      </c>
      <c r="BM49" s="33"/>
      <c r="BN49" s="33"/>
      <c r="BO49" s="85" t="str">
        <f t="shared" si="20"/>
        <v/>
      </c>
      <c r="BP49" s="33"/>
      <c r="BR49" s="85" t="str">
        <f t="shared" si="21"/>
        <v/>
      </c>
      <c r="BS49" s="33"/>
      <c r="BT49" s="33"/>
      <c r="BU49" s="85" t="str">
        <f t="shared" si="22"/>
        <v/>
      </c>
      <c r="BV49" s="31" t="s">
        <v>1</v>
      </c>
      <c r="BW49" s="31"/>
      <c r="BX49" s="31"/>
      <c r="BY49" s="85" t="str">
        <f t="shared" si="23"/>
        <v/>
      </c>
      <c r="BZ49" s="31"/>
      <c r="CA49" s="31"/>
      <c r="CB49" s="85" t="str">
        <f t="shared" si="24"/>
        <v/>
      </c>
      <c r="CC49" s="31"/>
      <c r="CD49" s="31"/>
      <c r="CE49" s="85" t="str">
        <f t="shared" si="25"/>
        <v/>
      </c>
      <c r="CF49" s="31"/>
      <c r="CG49" s="31"/>
      <c r="CH49" s="85" t="str">
        <f t="shared" si="26"/>
        <v/>
      </c>
      <c r="CI49" s="66">
        <v>11966</v>
      </c>
      <c r="CJ49" s="66">
        <v>119000</v>
      </c>
      <c r="CK49" s="85">
        <f t="shared" si="27"/>
        <v>9.9448437238843397</v>
      </c>
      <c r="CL49" s="66">
        <v>13555</v>
      </c>
      <c r="CM49" s="66">
        <v>150000</v>
      </c>
      <c r="CN49" s="85">
        <f t="shared" si="28"/>
        <v>11.066027296200664</v>
      </c>
      <c r="CQ49" s="85" t="str">
        <f t="shared" si="29"/>
        <v/>
      </c>
    </row>
    <row r="50" spans="1:95" x14ac:dyDescent="0.3">
      <c r="A50" s="31" t="s">
        <v>154</v>
      </c>
      <c r="C50" s="30" t="s">
        <v>75</v>
      </c>
      <c r="D50" s="31" t="s">
        <v>1</v>
      </c>
      <c r="G50" s="85" t="str">
        <f t="shared" si="0"/>
        <v/>
      </c>
      <c r="H50" s="31"/>
      <c r="I50" s="31"/>
      <c r="J50" s="85" t="str">
        <f t="shared" si="1"/>
        <v/>
      </c>
      <c r="K50" s="31"/>
      <c r="L50" s="31"/>
      <c r="M50" s="85" t="str">
        <f t="shared" si="2"/>
        <v/>
      </c>
      <c r="N50" s="31"/>
      <c r="O50" s="31"/>
      <c r="P50" s="85" t="str">
        <f t="shared" si="3"/>
        <v/>
      </c>
      <c r="Q50" s="31"/>
      <c r="R50" s="31"/>
      <c r="S50" s="85" t="str">
        <f t="shared" si="4"/>
        <v/>
      </c>
      <c r="T50" s="31"/>
      <c r="U50" s="31"/>
      <c r="V50" s="85" t="str">
        <f t="shared" si="5"/>
        <v/>
      </c>
      <c r="W50" s="31"/>
      <c r="X50" s="31"/>
      <c r="Y50" s="85" t="str">
        <f t="shared" si="6"/>
        <v/>
      </c>
      <c r="Z50" s="31"/>
      <c r="AA50" s="31"/>
      <c r="AB50" s="85" t="str">
        <f t="shared" si="7"/>
        <v/>
      </c>
      <c r="AC50" s="31"/>
      <c r="AD50" s="31"/>
      <c r="AE50" s="85" t="str">
        <f t="shared" si="8"/>
        <v/>
      </c>
      <c r="AF50" s="31"/>
      <c r="AG50" s="31"/>
      <c r="AH50" s="85" t="str">
        <f t="shared" si="9"/>
        <v/>
      </c>
      <c r="AI50" s="31"/>
      <c r="AJ50" s="31"/>
      <c r="AK50" s="85" t="str">
        <f t="shared" si="10"/>
        <v/>
      </c>
      <c r="AL50" s="31"/>
      <c r="AM50" s="31"/>
      <c r="AN50" s="85" t="str">
        <f t="shared" si="11"/>
        <v/>
      </c>
      <c r="AO50" s="31"/>
      <c r="AP50" s="31"/>
      <c r="AQ50" s="85" t="str">
        <f t="shared" si="12"/>
        <v/>
      </c>
      <c r="AR50" s="31"/>
      <c r="AS50" s="31"/>
      <c r="AT50" s="85" t="str">
        <f t="shared" si="13"/>
        <v/>
      </c>
      <c r="AU50" s="31"/>
      <c r="AV50" s="31"/>
      <c r="AW50" s="85" t="str">
        <f t="shared" si="14"/>
        <v/>
      </c>
      <c r="AX50" s="33"/>
      <c r="AY50" s="31"/>
      <c r="AZ50" s="85" t="str">
        <f t="shared" si="15"/>
        <v/>
      </c>
      <c r="BA50" s="33"/>
      <c r="BB50" s="31"/>
      <c r="BC50" s="85" t="str">
        <f t="shared" si="16"/>
        <v/>
      </c>
      <c r="BD50" s="33">
        <f>1522+4031+391+1168</f>
        <v>7112</v>
      </c>
      <c r="BE50" s="31">
        <f>8000+34000+10000+10000</f>
        <v>62000</v>
      </c>
      <c r="BF50" s="85">
        <f t="shared" si="17"/>
        <v>8.7176602924634423</v>
      </c>
      <c r="BG50" s="33"/>
      <c r="BH50" s="31"/>
      <c r="BI50" s="85" t="str">
        <f t="shared" si="18"/>
        <v/>
      </c>
      <c r="BJ50" s="33">
        <f>2346+646+822</f>
        <v>3814</v>
      </c>
      <c r="BK50" s="33">
        <f>48000+18000+6000</f>
        <v>72000</v>
      </c>
      <c r="BL50" s="85">
        <f t="shared" si="19"/>
        <v>18.877818563188253</v>
      </c>
      <c r="BM50" s="33">
        <f>2346+646+822</f>
        <v>3814</v>
      </c>
      <c r="BN50" s="33">
        <f>20000+5000+6000</f>
        <v>31000</v>
      </c>
      <c r="BO50" s="85">
        <f t="shared" si="20"/>
        <v>8.1279496591504987</v>
      </c>
      <c r="BP50" s="33"/>
      <c r="BQ50" s="33"/>
      <c r="BR50" s="85" t="str">
        <f t="shared" si="21"/>
        <v/>
      </c>
      <c r="BS50" s="33"/>
      <c r="BT50" s="33"/>
      <c r="BU50" s="85" t="str">
        <f t="shared" si="22"/>
        <v/>
      </c>
      <c r="BV50" s="31" t="s">
        <v>1</v>
      </c>
      <c r="BW50" s="31"/>
      <c r="BX50" s="31"/>
      <c r="BY50" s="85" t="str">
        <f t="shared" si="23"/>
        <v/>
      </c>
      <c r="BZ50" s="31"/>
      <c r="CA50" s="31"/>
      <c r="CB50" s="85" t="str">
        <f t="shared" si="24"/>
        <v/>
      </c>
      <c r="CC50" s="31"/>
      <c r="CD50" s="31"/>
      <c r="CE50" s="85" t="str">
        <f t="shared" si="25"/>
        <v/>
      </c>
      <c r="CF50" s="31"/>
      <c r="CG50" s="31"/>
      <c r="CH50" s="85" t="str">
        <f t="shared" si="26"/>
        <v/>
      </c>
      <c r="CI50" s="66">
        <v>16314</v>
      </c>
      <c r="CJ50" s="66">
        <v>204000</v>
      </c>
      <c r="CK50" s="85">
        <f t="shared" si="27"/>
        <v>12.504597278411181</v>
      </c>
      <c r="CL50" s="66">
        <v>17653</v>
      </c>
      <c r="CM50" s="66">
        <v>212000</v>
      </c>
      <c r="CN50" s="85">
        <f t="shared" si="28"/>
        <v>12.009290205630771</v>
      </c>
      <c r="CQ50" s="85" t="str">
        <f t="shared" si="29"/>
        <v/>
      </c>
    </row>
    <row r="51" spans="1:95" ht="15" x14ac:dyDescent="0.3">
      <c r="A51" s="31" t="s">
        <v>265</v>
      </c>
      <c r="B51" s="67"/>
      <c r="C51" s="30" t="s">
        <v>75</v>
      </c>
      <c r="D51" s="31" t="s">
        <v>1</v>
      </c>
      <c r="G51" s="85" t="str">
        <f t="shared" si="0"/>
        <v/>
      </c>
      <c r="H51" s="31"/>
      <c r="I51" s="31"/>
      <c r="J51" s="85" t="str">
        <f t="shared" si="1"/>
        <v/>
      </c>
      <c r="K51" s="31"/>
      <c r="L51" s="31"/>
      <c r="M51" s="85" t="str">
        <f t="shared" si="2"/>
        <v/>
      </c>
      <c r="N51" s="31"/>
      <c r="O51" s="31"/>
      <c r="P51" s="85" t="str">
        <f t="shared" si="3"/>
        <v/>
      </c>
      <c r="Q51" s="31"/>
      <c r="R51" s="31"/>
      <c r="S51" s="85" t="str">
        <f t="shared" si="4"/>
        <v/>
      </c>
      <c r="T51" s="31"/>
      <c r="U51" s="31"/>
      <c r="V51" s="85" t="str">
        <f t="shared" si="5"/>
        <v/>
      </c>
      <c r="W51" s="31"/>
      <c r="X51" s="31"/>
      <c r="Y51" s="85" t="str">
        <f t="shared" si="6"/>
        <v/>
      </c>
      <c r="Z51" s="31"/>
      <c r="AA51" s="31"/>
      <c r="AB51" s="85" t="str">
        <f t="shared" si="7"/>
        <v/>
      </c>
      <c r="AC51" s="31"/>
      <c r="AD51" s="31"/>
      <c r="AE51" s="85" t="str">
        <f t="shared" si="8"/>
        <v/>
      </c>
      <c r="AF51" s="31"/>
      <c r="AG51" s="31"/>
      <c r="AH51" s="85" t="str">
        <f t="shared" si="9"/>
        <v/>
      </c>
      <c r="AI51" s="31"/>
      <c r="AJ51" s="31"/>
      <c r="AK51" s="85" t="str">
        <f t="shared" si="10"/>
        <v/>
      </c>
      <c r="AL51" s="31"/>
      <c r="AM51" s="31"/>
      <c r="AN51" s="85" t="str">
        <f t="shared" si="11"/>
        <v/>
      </c>
      <c r="AO51" s="31"/>
      <c r="AP51" s="31"/>
      <c r="AQ51" s="85" t="str">
        <f t="shared" si="12"/>
        <v/>
      </c>
      <c r="AR51" s="31"/>
      <c r="AS51" s="31"/>
      <c r="AT51" s="85" t="str">
        <f t="shared" si="13"/>
        <v/>
      </c>
      <c r="AU51" s="31"/>
      <c r="AV51" s="31"/>
      <c r="AW51" s="85" t="str">
        <f t="shared" si="14"/>
        <v/>
      </c>
      <c r="AX51" s="33"/>
      <c r="AY51" s="31"/>
      <c r="AZ51" s="85" t="str">
        <f t="shared" si="15"/>
        <v/>
      </c>
      <c r="BA51" s="33"/>
      <c r="BB51" s="31"/>
      <c r="BC51" s="85" t="str">
        <f t="shared" si="16"/>
        <v/>
      </c>
      <c r="BD51" s="33"/>
      <c r="BE51" s="31"/>
      <c r="BF51" s="85" t="str">
        <f t="shared" si="17"/>
        <v/>
      </c>
      <c r="BG51" s="33"/>
      <c r="BH51" s="31"/>
      <c r="BI51" s="85" t="str">
        <f t="shared" si="18"/>
        <v/>
      </c>
      <c r="BJ51" s="33"/>
      <c r="BK51" s="33"/>
      <c r="BL51" s="85" t="str">
        <f t="shared" si="19"/>
        <v/>
      </c>
      <c r="BM51" s="33"/>
      <c r="BN51" s="33"/>
      <c r="BO51" s="85" t="str">
        <f t="shared" si="20"/>
        <v/>
      </c>
      <c r="BP51" s="33"/>
      <c r="BQ51" s="33"/>
      <c r="BR51" s="85" t="str">
        <f t="shared" si="21"/>
        <v/>
      </c>
      <c r="BS51" s="33"/>
      <c r="BT51" s="33"/>
      <c r="BU51" s="85" t="str">
        <f t="shared" si="22"/>
        <v/>
      </c>
      <c r="BV51" s="31" t="s">
        <v>1</v>
      </c>
      <c r="BW51" s="31"/>
      <c r="BX51" s="31"/>
      <c r="BY51" s="85" t="str">
        <f t="shared" si="23"/>
        <v/>
      </c>
      <c r="BZ51" s="31"/>
      <c r="CA51" s="31"/>
      <c r="CB51" s="85" t="str">
        <f t="shared" si="24"/>
        <v/>
      </c>
      <c r="CC51" s="31"/>
      <c r="CD51" s="31"/>
      <c r="CE51" s="85" t="str">
        <f t="shared" si="25"/>
        <v/>
      </c>
      <c r="CF51" s="31"/>
      <c r="CG51" s="31"/>
      <c r="CH51" s="85" t="str">
        <f t="shared" si="26"/>
        <v/>
      </c>
      <c r="CI51" s="66">
        <v>2784</v>
      </c>
      <c r="CJ51" s="66">
        <v>93000</v>
      </c>
      <c r="CK51" s="85">
        <f t="shared" si="27"/>
        <v>33.405172413793103</v>
      </c>
      <c r="CL51" s="66">
        <v>3188</v>
      </c>
      <c r="CM51" s="66">
        <v>149000</v>
      </c>
      <c r="CN51" s="85">
        <f t="shared" si="28"/>
        <v>46.737766624843161</v>
      </c>
      <c r="CQ51" s="85" t="str">
        <f t="shared" si="29"/>
        <v/>
      </c>
    </row>
    <row r="52" spans="1:95" x14ac:dyDescent="0.3">
      <c r="A52" s="31" t="s">
        <v>91</v>
      </c>
      <c r="C52" s="30" t="s">
        <v>75</v>
      </c>
      <c r="D52" s="31" t="s">
        <v>1</v>
      </c>
      <c r="G52" s="85" t="str">
        <f t="shared" si="0"/>
        <v/>
      </c>
      <c r="H52" s="31"/>
      <c r="I52" s="31"/>
      <c r="J52" s="85" t="str">
        <f t="shared" si="1"/>
        <v/>
      </c>
      <c r="K52" s="31"/>
      <c r="L52" s="31"/>
      <c r="M52" s="85" t="str">
        <f t="shared" si="2"/>
        <v/>
      </c>
      <c r="N52" s="31"/>
      <c r="O52" s="31"/>
      <c r="P52" s="85" t="str">
        <f t="shared" si="3"/>
        <v/>
      </c>
      <c r="Q52" s="31"/>
      <c r="R52" s="31"/>
      <c r="S52" s="85" t="str">
        <f t="shared" si="4"/>
        <v/>
      </c>
      <c r="T52" s="31"/>
      <c r="U52" s="31"/>
      <c r="V52" s="85" t="str">
        <f t="shared" si="5"/>
        <v/>
      </c>
      <c r="W52" s="31"/>
      <c r="X52" s="31"/>
      <c r="Y52" s="85" t="str">
        <f t="shared" si="6"/>
        <v/>
      </c>
      <c r="Z52" s="31"/>
      <c r="AA52" s="31"/>
      <c r="AB52" s="85" t="str">
        <f t="shared" si="7"/>
        <v/>
      </c>
      <c r="AC52" s="31"/>
      <c r="AD52" s="31"/>
      <c r="AE52" s="85" t="str">
        <f t="shared" si="8"/>
        <v/>
      </c>
      <c r="AF52" s="31"/>
      <c r="AG52" s="31"/>
      <c r="AH52" s="85" t="str">
        <f t="shared" si="9"/>
        <v/>
      </c>
      <c r="AI52" s="31"/>
      <c r="AJ52" s="31"/>
      <c r="AK52" s="85" t="str">
        <f t="shared" si="10"/>
        <v/>
      </c>
      <c r="AL52" s="31"/>
      <c r="AM52" s="31"/>
      <c r="AN52" s="85" t="str">
        <f t="shared" si="11"/>
        <v/>
      </c>
      <c r="AO52" s="31"/>
      <c r="AP52" s="31"/>
      <c r="AQ52" s="85" t="str">
        <f t="shared" si="12"/>
        <v/>
      </c>
      <c r="AR52" s="31"/>
      <c r="AS52" s="31"/>
      <c r="AT52" s="85" t="str">
        <f t="shared" si="13"/>
        <v/>
      </c>
      <c r="AU52" s="31"/>
      <c r="AV52" s="31"/>
      <c r="AW52" s="85" t="str">
        <f t="shared" si="14"/>
        <v/>
      </c>
      <c r="AX52" s="33"/>
      <c r="AY52" s="31"/>
      <c r="AZ52" s="85" t="str">
        <f t="shared" si="15"/>
        <v/>
      </c>
      <c r="BA52" s="33"/>
      <c r="BB52" s="31"/>
      <c r="BC52" s="85" t="str">
        <f t="shared" si="16"/>
        <v/>
      </c>
      <c r="BD52" s="33"/>
      <c r="BE52" s="31"/>
      <c r="BF52" s="85" t="str">
        <f t="shared" si="17"/>
        <v/>
      </c>
      <c r="BG52" s="33"/>
      <c r="BH52" s="31"/>
      <c r="BI52" s="85" t="str">
        <f t="shared" si="18"/>
        <v/>
      </c>
      <c r="BJ52" s="33"/>
      <c r="BK52" s="33"/>
      <c r="BL52" s="85" t="str">
        <f t="shared" si="19"/>
        <v/>
      </c>
      <c r="BM52" s="33"/>
      <c r="BN52" s="33"/>
      <c r="BO52" s="85" t="str">
        <f t="shared" si="20"/>
        <v/>
      </c>
      <c r="BP52" s="33"/>
      <c r="BQ52" s="33"/>
      <c r="BR52" s="85" t="str">
        <f t="shared" si="21"/>
        <v/>
      </c>
      <c r="BS52" s="33"/>
      <c r="BT52" s="33"/>
      <c r="BU52" s="85" t="str">
        <f t="shared" si="22"/>
        <v/>
      </c>
      <c r="BV52" s="31" t="s">
        <v>1</v>
      </c>
      <c r="BW52" s="31"/>
      <c r="BX52" s="31"/>
      <c r="BY52" s="85" t="str">
        <f t="shared" si="23"/>
        <v/>
      </c>
      <c r="BZ52" s="31"/>
      <c r="CA52" s="31"/>
      <c r="CB52" s="85" t="str">
        <f t="shared" si="24"/>
        <v/>
      </c>
      <c r="CC52" s="31"/>
      <c r="CD52" s="31"/>
      <c r="CE52" s="85" t="str">
        <f t="shared" si="25"/>
        <v/>
      </c>
      <c r="CF52" s="31"/>
      <c r="CG52" s="31"/>
      <c r="CH52" s="85" t="str">
        <f t="shared" si="26"/>
        <v/>
      </c>
      <c r="CI52" s="66">
        <v>2378</v>
      </c>
      <c r="CJ52" s="66">
        <v>35000</v>
      </c>
      <c r="CK52" s="85">
        <f t="shared" si="27"/>
        <v>14.718250630782171</v>
      </c>
      <c r="CL52" s="66">
        <v>3541</v>
      </c>
      <c r="CM52" s="66">
        <v>60000</v>
      </c>
      <c r="CN52" s="85">
        <f t="shared" si="28"/>
        <v>16.944365998305564</v>
      </c>
      <c r="CQ52" s="85" t="str">
        <f t="shared" si="29"/>
        <v/>
      </c>
    </row>
    <row r="53" spans="1:95" x14ac:dyDescent="0.3">
      <c r="A53" s="31" t="s">
        <v>301</v>
      </c>
      <c r="C53" s="30" t="s">
        <v>75</v>
      </c>
      <c r="D53" s="31" t="s">
        <v>1</v>
      </c>
      <c r="G53" s="85" t="str">
        <f t="shared" si="0"/>
        <v/>
      </c>
      <c r="H53" s="31"/>
      <c r="I53" s="31"/>
      <c r="J53" s="85" t="str">
        <f t="shared" si="1"/>
        <v/>
      </c>
      <c r="K53" s="31"/>
      <c r="L53" s="31"/>
      <c r="M53" s="85" t="str">
        <f t="shared" si="2"/>
        <v/>
      </c>
      <c r="N53" s="31"/>
      <c r="O53" s="31"/>
      <c r="P53" s="85" t="str">
        <f t="shared" si="3"/>
        <v/>
      </c>
      <c r="Q53" s="31"/>
      <c r="R53" s="31"/>
      <c r="S53" s="85" t="str">
        <f t="shared" si="4"/>
        <v/>
      </c>
      <c r="T53" s="31"/>
      <c r="U53" s="31"/>
      <c r="V53" s="85" t="str">
        <f t="shared" si="5"/>
        <v/>
      </c>
      <c r="W53" s="31"/>
      <c r="X53" s="31"/>
      <c r="Y53" s="85" t="str">
        <f t="shared" si="6"/>
        <v/>
      </c>
      <c r="Z53" s="31"/>
      <c r="AA53" s="31"/>
      <c r="AB53" s="85" t="str">
        <f t="shared" si="7"/>
        <v/>
      </c>
      <c r="AC53" s="31"/>
      <c r="AD53" s="31"/>
      <c r="AE53" s="85" t="str">
        <f t="shared" si="8"/>
        <v/>
      </c>
      <c r="AF53" s="31"/>
      <c r="AG53" s="31"/>
      <c r="AH53" s="85" t="str">
        <f t="shared" si="9"/>
        <v/>
      </c>
      <c r="AI53" s="31"/>
      <c r="AJ53" s="31"/>
      <c r="AK53" s="85" t="str">
        <f t="shared" si="10"/>
        <v/>
      </c>
      <c r="AL53" s="31"/>
      <c r="AM53" s="31"/>
      <c r="AN53" s="85" t="str">
        <f t="shared" si="11"/>
        <v/>
      </c>
      <c r="AO53" s="31"/>
      <c r="AP53" s="31"/>
      <c r="AQ53" s="85" t="str">
        <f t="shared" si="12"/>
        <v/>
      </c>
      <c r="AR53" s="31"/>
      <c r="AS53" s="31"/>
      <c r="AT53" s="85" t="str">
        <f t="shared" si="13"/>
        <v/>
      </c>
      <c r="AU53" s="31"/>
      <c r="AV53" s="31"/>
      <c r="AW53" s="85" t="str">
        <f t="shared" si="14"/>
        <v/>
      </c>
      <c r="AX53" s="33"/>
      <c r="AY53" s="31"/>
      <c r="AZ53" s="85" t="str">
        <f t="shared" si="15"/>
        <v/>
      </c>
      <c r="BA53" s="33"/>
      <c r="BB53" s="31"/>
      <c r="BC53" s="85" t="str">
        <f t="shared" si="16"/>
        <v/>
      </c>
      <c r="BD53" s="33"/>
      <c r="BE53" s="31"/>
      <c r="BF53" s="85" t="str">
        <f t="shared" si="17"/>
        <v/>
      </c>
      <c r="BG53" s="33"/>
      <c r="BH53" s="31"/>
      <c r="BI53" s="85" t="str">
        <f t="shared" si="18"/>
        <v/>
      </c>
      <c r="BJ53" s="33"/>
      <c r="BK53" s="33"/>
      <c r="BL53" s="85" t="str">
        <f t="shared" si="19"/>
        <v/>
      </c>
      <c r="BM53" s="33"/>
      <c r="BN53" s="33"/>
      <c r="BO53" s="85" t="str">
        <f t="shared" si="20"/>
        <v/>
      </c>
      <c r="BP53" s="33"/>
      <c r="BQ53" s="33"/>
      <c r="BR53" s="85" t="str">
        <f t="shared" si="21"/>
        <v/>
      </c>
      <c r="BS53" s="33"/>
      <c r="BT53" s="33"/>
      <c r="BU53" s="85" t="str">
        <f t="shared" si="22"/>
        <v/>
      </c>
      <c r="BV53" s="31" t="s">
        <v>1</v>
      </c>
      <c r="BW53" s="31"/>
      <c r="BX53" s="31"/>
      <c r="BY53" s="85" t="str">
        <f t="shared" si="23"/>
        <v/>
      </c>
      <c r="BZ53" s="31"/>
      <c r="CA53" s="31"/>
      <c r="CB53" s="85" t="str">
        <f t="shared" si="24"/>
        <v/>
      </c>
      <c r="CC53" s="31"/>
      <c r="CD53" s="31"/>
      <c r="CE53" s="85" t="str">
        <f t="shared" si="25"/>
        <v/>
      </c>
      <c r="CF53" s="31"/>
      <c r="CG53" s="31"/>
      <c r="CH53" s="85" t="str">
        <f t="shared" si="26"/>
        <v/>
      </c>
      <c r="CI53" s="66">
        <v>1164</v>
      </c>
      <c r="CJ53" s="66">
        <v>67000</v>
      </c>
      <c r="CK53" s="85">
        <f t="shared" si="27"/>
        <v>57.560137457044675</v>
      </c>
      <c r="CL53" s="66">
        <v>1087</v>
      </c>
      <c r="CM53" s="66">
        <v>70000</v>
      </c>
      <c r="CN53" s="85">
        <f t="shared" si="28"/>
        <v>64.397424103035874</v>
      </c>
      <c r="CQ53" s="85" t="str">
        <f t="shared" si="29"/>
        <v/>
      </c>
    </row>
    <row r="54" spans="1:95" x14ac:dyDescent="0.3">
      <c r="A54" s="31" t="s">
        <v>88</v>
      </c>
      <c r="C54" s="30" t="s">
        <v>75</v>
      </c>
      <c r="D54" s="31" t="s">
        <v>1</v>
      </c>
      <c r="G54" s="85" t="str">
        <f t="shared" si="0"/>
        <v/>
      </c>
      <c r="H54" s="31"/>
      <c r="I54" s="31"/>
      <c r="J54" s="85" t="str">
        <f t="shared" si="1"/>
        <v/>
      </c>
      <c r="K54" s="31"/>
      <c r="L54" s="31"/>
      <c r="M54" s="85" t="str">
        <f t="shared" si="2"/>
        <v/>
      </c>
      <c r="N54" s="31"/>
      <c r="O54" s="31"/>
      <c r="P54" s="85" t="str">
        <f t="shared" si="3"/>
        <v/>
      </c>
      <c r="Q54" s="31"/>
      <c r="R54" s="31"/>
      <c r="S54" s="85" t="str">
        <f t="shared" si="4"/>
        <v/>
      </c>
      <c r="T54" s="31"/>
      <c r="U54" s="31"/>
      <c r="V54" s="85" t="str">
        <f t="shared" si="5"/>
        <v/>
      </c>
      <c r="W54" s="31"/>
      <c r="X54" s="31"/>
      <c r="Y54" s="85" t="str">
        <f t="shared" si="6"/>
        <v/>
      </c>
      <c r="Z54" s="31"/>
      <c r="AA54" s="31"/>
      <c r="AB54" s="85" t="str">
        <f t="shared" si="7"/>
        <v/>
      </c>
      <c r="AC54" s="31"/>
      <c r="AD54" s="31"/>
      <c r="AE54" s="85" t="str">
        <f t="shared" si="8"/>
        <v/>
      </c>
      <c r="AF54" s="31"/>
      <c r="AG54" s="31"/>
      <c r="AH54" s="85" t="str">
        <f t="shared" si="9"/>
        <v/>
      </c>
      <c r="AI54" s="31"/>
      <c r="AJ54" s="31"/>
      <c r="AK54" s="85" t="str">
        <f t="shared" si="10"/>
        <v/>
      </c>
      <c r="AL54" s="31"/>
      <c r="AM54" s="31"/>
      <c r="AN54" s="85" t="str">
        <f t="shared" si="11"/>
        <v/>
      </c>
      <c r="AO54" s="31"/>
      <c r="AP54" s="31"/>
      <c r="AQ54" s="85" t="str">
        <f t="shared" si="12"/>
        <v/>
      </c>
      <c r="AR54" s="31">
        <f>6386/$D$193</f>
        <v>319.3</v>
      </c>
      <c r="AS54" s="31">
        <v>3633</v>
      </c>
      <c r="AT54" s="85">
        <f t="shared" si="13"/>
        <v>11.37801440651425</v>
      </c>
      <c r="AU54" s="31">
        <f>4572/$D$193</f>
        <v>228.6</v>
      </c>
      <c r="AV54" s="31">
        <v>6191</v>
      </c>
      <c r="AW54" s="85">
        <f t="shared" si="14"/>
        <v>27.082239720034995</v>
      </c>
      <c r="AX54" s="33"/>
      <c r="AY54" s="31"/>
      <c r="AZ54" s="85" t="str">
        <f t="shared" si="15"/>
        <v/>
      </c>
      <c r="BA54" s="33"/>
      <c r="BB54" s="31"/>
      <c r="BC54" s="85" t="str">
        <f t="shared" si="16"/>
        <v/>
      </c>
      <c r="BD54" s="33">
        <v>97</v>
      </c>
      <c r="BE54" s="31">
        <v>10000</v>
      </c>
      <c r="BF54" s="85">
        <f t="shared" si="17"/>
        <v>103.09278350515464</v>
      </c>
      <c r="BG54" s="33"/>
      <c r="BH54" s="31"/>
      <c r="BI54" s="85" t="str">
        <f t="shared" si="18"/>
        <v/>
      </c>
      <c r="BJ54" s="33"/>
      <c r="BK54" s="33"/>
      <c r="BL54" s="85" t="str">
        <f t="shared" si="19"/>
        <v/>
      </c>
      <c r="BM54" s="33"/>
      <c r="BN54" s="33"/>
      <c r="BO54" s="85" t="str">
        <f t="shared" si="20"/>
        <v/>
      </c>
      <c r="BP54" s="33"/>
      <c r="BQ54" s="33"/>
      <c r="BR54" s="85" t="str">
        <f t="shared" si="21"/>
        <v/>
      </c>
      <c r="BS54" s="33"/>
      <c r="BT54" s="33"/>
      <c r="BU54" s="85" t="str">
        <f t="shared" si="22"/>
        <v/>
      </c>
      <c r="BV54" s="31" t="s">
        <v>1</v>
      </c>
      <c r="BW54" s="31"/>
      <c r="BX54" s="31"/>
      <c r="BY54" s="85" t="str">
        <f t="shared" si="23"/>
        <v/>
      </c>
      <c r="BZ54" s="31"/>
      <c r="CA54" s="31"/>
      <c r="CB54" s="85" t="str">
        <f t="shared" si="24"/>
        <v/>
      </c>
      <c r="CC54" s="31"/>
      <c r="CD54" s="31"/>
      <c r="CE54" s="85" t="str">
        <f t="shared" si="25"/>
        <v/>
      </c>
      <c r="CF54" s="31"/>
      <c r="CG54" s="31"/>
      <c r="CH54" s="85" t="str">
        <f t="shared" si="26"/>
        <v/>
      </c>
      <c r="CI54" s="66">
        <v>25780</v>
      </c>
      <c r="CJ54" s="66">
        <v>374000</v>
      </c>
      <c r="CK54" s="85">
        <f t="shared" si="27"/>
        <v>14.507370054305664</v>
      </c>
      <c r="CL54" s="66">
        <v>29371</v>
      </c>
      <c r="CM54" s="66">
        <v>636000</v>
      </c>
      <c r="CN54" s="85">
        <f t="shared" si="28"/>
        <v>21.654012461271321</v>
      </c>
      <c r="CQ54" s="85" t="str">
        <f t="shared" si="29"/>
        <v/>
      </c>
    </row>
    <row r="55" spans="1:95" x14ac:dyDescent="0.3">
      <c r="A55" s="31" t="s">
        <v>156</v>
      </c>
      <c r="C55" s="30" t="s">
        <v>75</v>
      </c>
      <c r="D55" s="31" t="s">
        <v>1</v>
      </c>
      <c r="G55" s="85" t="str">
        <f t="shared" si="0"/>
        <v/>
      </c>
      <c r="H55" s="31"/>
      <c r="I55" s="31"/>
      <c r="J55" s="85" t="str">
        <f t="shared" si="1"/>
        <v/>
      </c>
      <c r="K55" s="31"/>
      <c r="L55" s="31"/>
      <c r="M55" s="85" t="str">
        <f t="shared" si="2"/>
        <v/>
      </c>
      <c r="N55" s="31"/>
      <c r="O55" s="31"/>
      <c r="P55" s="85" t="str">
        <f t="shared" si="3"/>
        <v/>
      </c>
      <c r="Q55" s="31"/>
      <c r="R55" s="31"/>
      <c r="S55" s="85" t="str">
        <f t="shared" si="4"/>
        <v/>
      </c>
      <c r="T55" s="31"/>
      <c r="U55" s="31"/>
      <c r="V55" s="85" t="str">
        <f t="shared" si="5"/>
        <v/>
      </c>
      <c r="W55" s="31"/>
      <c r="X55" s="31"/>
      <c r="Y55" s="85" t="str">
        <f t="shared" si="6"/>
        <v/>
      </c>
      <c r="Z55" s="31"/>
      <c r="AA55" s="31"/>
      <c r="AB55" s="85" t="str">
        <f t="shared" si="7"/>
        <v/>
      </c>
      <c r="AC55" s="31"/>
      <c r="AD55" s="31"/>
      <c r="AE55" s="85" t="str">
        <f t="shared" si="8"/>
        <v/>
      </c>
      <c r="AF55" s="31"/>
      <c r="AG55" s="31"/>
      <c r="AH55" s="85" t="str">
        <f t="shared" si="9"/>
        <v/>
      </c>
      <c r="AI55" s="31"/>
      <c r="AJ55" s="31"/>
      <c r="AK55" s="85" t="str">
        <f t="shared" si="10"/>
        <v/>
      </c>
      <c r="AL55" s="31"/>
      <c r="AM55" s="31"/>
      <c r="AN55" s="85" t="str">
        <f t="shared" si="11"/>
        <v/>
      </c>
      <c r="AO55" s="31"/>
      <c r="AP55" s="31"/>
      <c r="AQ55" s="85" t="str">
        <f t="shared" si="12"/>
        <v/>
      </c>
      <c r="AR55" s="31"/>
      <c r="AS55" s="31"/>
      <c r="AT55" s="85" t="str">
        <f t="shared" si="13"/>
        <v/>
      </c>
      <c r="AU55" s="31"/>
      <c r="AV55" s="31"/>
      <c r="AW55" s="85" t="str">
        <f t="shared" si="14"/>
        <v/>
      </c>
      <c r="AX55" s="33"/>
      <c r="AY55" s="31"/>
      <c r="AZ55" s="85" t="str">
        <f t="shared" si="15"/>
        <v/>
      </c>
      <c r="BA55" s="33"/>
      <c r="BB55" s="31"/>
      <c r="BC55" s="85" t="str">
        <f t="shared" si="16"/>
        <v/>
      </c>
      <c r="BD55" s="33"/>
      <c r="BE55" s="31"/>
      <c r="BF55" s="85" t="str">
        <f t="shared" si="17"/>
        <v/>
      </c>
      <c r="BG55" s="33"/>
      <c r="BH55" s="31"/>
      <c r="BI55" s="85" t="str">
        <f t="shared" si="18"/>
        <v/>
      </c>
      <c r="BJ55" s="33"/>
      <c r="BK55" s="33"/>
      <c r="BL55" s="85" t="str">
        <f t="shared" si="19"/>
        <v/>
      </c>
      <c r="BM55" s="33"/>
      <c r="BN55" s="33"/>
      <c r="BO55" s="85" t="str">
        <f t="shared" si="20"/>
        <v/>
      </c>
      <c r="BP55" s="33"/>
      <c r="BQ55" s="33"/>
      <c r="BR55" s="85" t="str">
        <f t="shared" si="21"/>
        <v/>
      </c>
      <c r="BS55" s="33"/>
      <c r="BT55" s="33"/>
      <c r="BU55" s="85" t="str">
        <f t="shared" si="22"/>
        <v/>
      </c>
      <c r="BV55" s="31" t="s">
        <v>1</v>
      </c>
      <c r="BW55" s="31"/>
      <c r="BX55" s="31"/>
      <c r="BY55" s="85" t="str">
        <f t="shared" si="23"/>
        <v/>
      </c>
      <c r="BZ55" s="31"/>
      <c r="CA55" s="31"/>
      <c r="CB55" s="85" t="str">
        <f t="shared" si="24"/>
        <v/>
      </c>
      <c r="CC55" s="31"/>
      <c r="CD55" s="31"/>
      <c r="CE55" s="85" t="str">
        <f t="shared" si="25"/>
        <v/>
      </c>
      <c r="CF55" s="31"/>
      <c r="CG55" s="31"/>
      <c r="CH55" s="85" t="str">
        <f t="shared" si="26"/>
        <v/>
      </c>
      <c r="CI55" s="66">
        <v>3539</v>
      </c>
      <c r="CJ55" s="66">
        <v>264000</v>
      </c>
      <c r="CK55" s="85">
        <f t="shared" si="27"/>
        <v>74.597343882452677</v>
      </c>
      <c r="CL55" s="66">
        <v>3741</v>
      </c>
      <c r="CM55" s="66">
        <v>269000</v>
      </c>
      <c r="CN55" s="85">
        <f t="shared" si="28"/>
        <v>71.905907511360596</v>
      </c>
      <c r="CQ55" s="85" t="str">
        <f t="shared" si="29"/>
        <v/>
      </c>
    </row>
    <row r="56" spans="1:95" x14ac:dyDescent="0.3">
      <c r="A56" s="31" t="s">
        <v>157</v>
      </c>
      <c r="C56" s="30" t="s">
        <v>75</v>
      </c>
      <c r="D56" s="31" t="s">
        <v>1</v>
      </c>
      <c r="G56" s="85" t="str">
        <f t="shared" si="0"/>
        <v/>
      </c>
      <c r="H56" s="31"/>
      <c r="I56" s="31"/>
      <c r="J56" s="85" t="str">
        <f t="shared" si="1"/>
        <v/>
      </c>
      <c r="K56" s="31"/>
      <c r="L56" s="31"/>
      <c r="M56" s="85" t="str">
        <f t="shared" si="2"/>
        <v/>
      </c>
      <c r="N56" s="31"/>
      <c r="O56" s="31"/>
      <c r="P56" s="85" t="str">
        <f t="shared" si="3"/>
        <v/>
      </c>
      <c r="Q56" s="31"/>
      <c r="R56" s="31"/>
      <c r="S56" s="85" t="str">
        <f t="shared" si="4"/>
        <v/>
      </c>
      <c r="T56" s="31"/>
      <c r="U56" s="31"/>
      <c r="V56" s="85" t="str">
        <f t="shared" si="5"/>
        <v/>
      </c>
      <c r="W56" s="31"/>
      <c r="X56" s="31"/>
      <c r="Y56" s="85" t="str">
        <f t="shared" si="6"/>
        <v/>
      </c>
      <c r="Z56" s="31"/>
      <c r="AA56" s="31"/>
      <c r="AB56" s="85" t="str">
        <f t="shared" si="7"/>
        <v/>
      </c>
      <c r="AC56" s="31"/>
      <c r="AD56" s="31"/>
      <c r="AE56" s="85" t="str">
        <f t="shared" si="8"/>
        <v/>
      </c>
      <c r="AF56" s="31"/>
      <c r="AG56" s="31"/>
      <c r="AH56" s="85" t="str">
        <f t="shared" si="9"/>
        <v/>
      </c>
      <c r="AI56" s="31"/>
      <c r="AJ56" s="31"/>
      <c r="AK56" s="85" t="str">
        <f t="shared" si="10"/>
        <v/>
      </c>
      <c r="AL56" s="31"/>
      <c r="AM56" s="31"/>
      <c r="AN56" s="85" t="str">
        <f t="shared" si="11"/>
        <v/>
      </c>
      <c r="AO56" s="31"/>
      <c r="AP56" s="31"/>
      <c r="AQ56" s="85" t="str">
        <f t="shared" si="12"/>
        <v/>
      </c>
      <c r="AR56" s="31"/>
      <c r="AS56" s="31"/>
      <c r="AT56" s="85" t="str">
        <f t="shared" si="13"/>
        <v/>
      </c>
      <c r="AU56" s="31"/>
      <c r="AV56" s="31"/>
      <c r="AW56" s="85" t="str">
        <f t="shared" si="14"/>
        <v/>
      </c>
      <c r="AX56" s="33"/>
      <c r="AY56" s="31"/>
      <c r="AZ56" s="85" t="str">
        <f t="shared" si="15"/>
        <v/>
      </c>
      <c r="BA56" s="33"/>
      <c r="BB56" s="31"/>
      <c r="BC56" s="85" t="str">
        <f t="shared" si="16"/>
        <v/>
      </c>
      <c r="BD56" s="33"/>
      <c r="BE56" s="31"/>
      <c r="BF56" s="85" t="str">
        <f t="shared" si="17"/>
        <v/>
      </c>
      <c r="BG56" s="33"/>
      <c r="BH56" s="31"/>
      <c r="BI56" s="85" t="str">
        <f t="shared" si="18"/>
        <v/>
      </c>
      <c r="BJ56" s="33"/>
      <c r="BK56" s="33"/>
      <c r="BL56" s="85" t="str">
        <f t="shared" si="19"/>
        <v/>
      </c>
      <c r="BM56" s="33"/>
      <c r="BN56" s="33"/>
      <c r="BO56" s="85" t="str">
        <f t="shared" si="20"/>
        <v/>
      </c>
      <c r="BP56" s="33"/>
      <c r="BQ56" s="33"/>
      <c r="BR56" s="85" t="str">
        <f t="shared" si="21"/>
        <v/>
      </c>
      <c r="BS56" s="33"/>
      <c r="BT56" s="33"/>
      <c r="BU56" s="85" t="str">
        <f t="shared" si="22"/>
        <v/>
      </c>
      <c r="BV56" s="31" t="s">
        <v>1</v>
      </c>
      <c r="BW56" s="31"/>
      <c r="BX56" s="31"/>
      <c r="BY56" s="85" t="str">
        <f t="shared" si="23"/>
        <v/>
      </c>
      <c r="BZ56" s="31"/>
      <c r="CA56" s="31"/>
      <c r="CB56" s="85" t="str">
        <f t="shared" si="24"/>
        <v/>
      </c>
      <c r="CC56" s="31"/>
      <c r="CD56" s="31"/>
      <c r="CE56" s="85" t="str">
        <f t="shared" si="25"/>
        <v/>
      </c>
      <c r="CF56" s="31"/>
      <c r="CG56" s="31"/>
      <c r="CH56" s="85" t="str">
        <f t="shared" si="26"/>
        <v/>
      </c>
      <c r="CI56" s="1">
        <v>505</v>
      </c>
      <c r="CJ56" s="65">
        <v>77009</v>
      </c>
      <c r="CK56" s="85">
        <f t="shared" si="27"/>
        <v>152.49306930693069</v>
      </c>
      <c r="CL56" s="66">
        <v>517</v>
      </c>
      <c r="CM56" s="66">
        <v>104000</v>
      </c>
      <c r="CN56" s="85">
        <f t="shared" si="28"/>
        <v>201.16054158607349</v>
      </c>
      <c r="CQ56" s="85" t="str">
        <f t="shared" si="29"/>
        <v/>
      </c>
    </row>
    <row r="57" spans="1:95" x14ac:dyDescent="0.3">
      <c r="A57" s="31" t="s">
        <v>158</v>
      </c>
      <c r="C57" s="30" t="s">
        <v>75</v>
      </c>
      <c r="D57" s="31" t="s">
        <v>1</v>
      </c>
      <c r="G57" s="85" t="str">
        <f t="shared" si="0"/>
        <v/>
      </c>
      <c r="H57" s="31"/>
      <c r="I57" s="31"/>
      <c r="J57" s="85" t="str">
        <f t="shared" si="1"/>
        <v/>
      </c>
      <c r="K57" s="31"/>
      <c r="L57" s="31"/>
      <c r="M57" s="85" t="str">
        <f t="shared" si="2"/>
        <v/>
      </c>
      <c r="N57" s="31"/>
      <c r="O57" s="31"/>
      <c r="P57" s="85" t="str">
        <f t="shared" si="3"/>
        <v/>
      </c>
      <c r="Q57" s="31"/>
      <c r="R57" s="31"/>
      <c r="S57" s="85" t="str">
        <f t="shared" si="4"/>
        <v/>
      </c>
      <c r="T57" s="31"/>
      <c r="U57" s="31"/>
      <c r="V57" s="85" t="str">
        <f t="shared" si="5"/>
        <v/>
      </c>
      <c r="W57" s="31"/>
      <c r="X57" s="31"/>
      <c r="Y57" s="85" t="str">
        <f t="shared" si="6"/>
        <v/>
      </c>
      <c r="Z57" s="31"/>
      <c r="AA57" s="31"/>
      <c r="AB57" s="85" t="str">
        <f t="shared" si="7"/>
        <v/>
      </c>
      <c r="AC57" s="31"/>
      <c r="AD57" s="31"/>
      <c r="AE57" s="85" t="str">
        <f t="shared" si="8"/>
        <v/>
      </c>
      <c r="AF57" s="31"/>
      <c r="AG57" s="31"/>
      <c r="AH57" s="85" t="str">
        <f t="shared" si="9"/>
        <v/>
      </c>
      <c r="AI57" s="31"/>
      <c r="AJ57" s="31"/>
      <c r="AK57" s="85" t="str">
        <f t="shared" si="10"/>
        <v/>
      </c>
      <c r="AL57" s="31"/>
      <c r="AM57" s="31"/>
      <c r="AN57" s="85" t="str">
        <f t="shared" si="11"/>
        <v/>
      </c>
      <c r="AO57" s="31"/>
      <c r="AP57" s="31"/>
      <c r="AQ57" s="85" t="str">
        <f t="shared" si="12"/>
        <v/>
      </c>
      <c r="AR57" s="31"/>
      <c r="AS57" s="31"/>
      <c r="AT57" s="85" t="str">
        <f t="shared" si="13"/>
        <v/>
      </c>
      <c r="AU57" s="31"/>
      <c r="AV57" s="31"/>
      <c r="AW57" s="85" t="str">
        <f t="shared" si="14"/>
        <v/>
      </c>
      <c r="AX57" s="33"/>
      <c r="AY57" s="31"/>
      <c r="AZ57" s="85" t="str">
        <f t="shared" si="15"/>
        <v/>
      </c>
      <c r="BA57" s="33"/>
      <c r="BB57" s="31"/>
      <c r="BC57" s="85" t="str">
        <f t="shared" si="16"/>
        <v/>
      </c>
      <c r="BD57" s="33"/>
      <c r="BE57" s="31"/>
      <c r="BF57" s="85" t="str">
        <f t="shared" si="17"/>
        <v/>
      </c>
      <c r="BG57" s="33"/>
      <c r="BH57" s="31"/>
      <c r="BI57" s="85" t="str">
        <f t="shared" si="18"/>
        <v/>
      </c>
      <c r="BJ57" s="33"/>
      <c r="BK57" s="33"/>
      <c r="BL57" s="85" t="str">
        <f t="shared" si="19"/>
        <v/>
      </c>
      <c r="BM57" s="33"/>
      <c r="BN57" s="33"/>
      <c r="BO57" s="85" t="str">
        <f t="shared" si="20"/>
        <v/>
      </c>
      <c r="BP57" s="33"/>
      <c r="BQ57" s="33"/>
      <c r="BR57" s="85" t="str">
        <f t="shared" si="21"/>
        <v/>
      </c>
      <c r="BS57" s="33"/>
      <c r="BT57" s="33"/>
      <c r="BU57" s="85" t="str">
        <f t="shared" si="22"/>
        <v/>
      </c>
      <c r="BV57" s="31" t="s">
        <v>1</v>
      </c>
      <c r="BW57" s="31"/>
      <c r="BX57" s="31"/>
      <c r="BY57" s="85" t="str">
        <f t="shared" si="23"/>
        <v/>
      </c>
      <c r="BZ57" s="31"/>
      <c r="CA57" s="31"/>
      <c r="CB57" s="85" t="str">
        <f t="shared" si="24"/>
        <v/>
      </c>
      <c r="CC57" s="31"/>
      <c r="CD57" s="31"/>
      <c r="CE57" s="85" t="str">
        <f t="shared" si="25"/>
        <v/>
      </c>
      <c r="CF57" s="31"/>
      <c r="CG57" s="31"/>
      <c r="CH57" s="85" t="str">
        <f t="shared" si="26"/>
        <v/>
      </c>
      <c r="CK57" s="85" t="str">
        <f t="shared" si="27"/>
        <v/>
      </c>
      <c r="CL57" s="66">
        <v>241277</v>
      </c>
      <c r="CM57" s="66">
        <v>715000</v>
      </c>
      <c r="CN57" s="85">
        <f t="shared" si="28"/>
        <v>2.9633989149400897</v>
      </c>
      <c r="CQ57" s="85" t="str">
        <f t="shared" si="29"/>
        <v/>
      </c>
    </row>
    <row r="58" spans="1:95" x14ac:dyDescent="0.3">
      <c r="A58" s="31" t="s">
        <v>159</v>
      </c>
      <c r="C58" s="30" t="s">
        <v>75</v>
      </c>
      <c r="D58" s="31" t="s">
        <v>1</v>
      </c>
      <c r="G58" s="85" t="str">
        <f t="shared" si="0"/>
        <v/>
      </c>
      <c r="H58" s="31"/>
      <c r="I58" s="31"/>
      <c r="J58" s="85" t="str">
        <f t="shared" si="1"/>
        <v/>
      </c>
      <c r="K58" s="31"/>
      <c r="L58" s="31"/>
      <c r="M58" s="85" t="str">
        <f t="shared" si="2"/>
        <v/>
      </c>
      <c r="N58" s="31"/>
      <c r="O58" s="31"/>
      <c r="P58" s="85" t="str">
        <f t="shared" si="3"/>
        <v/>
      </c>
      <c r="Q58" s="31"/>
      <c r="R58" s="31"/>
      <c r="S58" s="85" t="str">
        <f t="shared" si="4"/>
        <v/>
      </c>
      <c r="T58" s="31"/>
      <c r="U58" s="31"/>
      <c r="V58" s="85" t="str">
        <f t="shared" si="5"/>
        <v/>
      </c>
      <c r="W58" s="31"/>
      <c r="X58" s="31"/>
      <c r="Y58" s="85" t="str">
        <f t="shared" si="6"/>
        <v/>
      </c>
      <c r="Z58" s="31"/>
      <c r="AA58" s="31"/>
      <c r="AB58" s="85" t="str">
        <f t="shared" si="7"/>
        <v/>
      </c>
      <c r="AC58" s="31"/>
      <c r="AD58" s="31"/>
      <c r="AE58" s="85" t="str">
        <f t="shared" si="8"/>
        <v/>
      </c>
      <c r="AF58" s="31"/>
      <c r="AG58" s="31"/>
      <c r="AH58" s="85" t="str">
        <f t="shared" si="9"/>
        <v/>
      </c>
      <c r="AI58" s="31"/>
      <c r="AJ58" s="31"/>
      <c r="AK58" s="85" t="str">
        <f t="shared" si="10"/>
        <v/>
      </c>
      <c r="AL58" s="31"/>
      <c r="AM58" s="31"/>
      <c r="AN58" s="85" t="str">
        <f t="shared" si="11"/>
        <v/>
      </c>
      <c r="AO58" s="31"/>
      <c r="AP58" s="31"/>
      <c r="AQ58" s="85" t="str">
        <f t="shared" si="12"/>
        <v/>
      </c>
      <c r="AR58" s="31"/>
      <c r="AS58" s="31"/>
      <c r="AT58" s="85" t="str">
        <f t="shared" si="13"/>
        <v/>
      </c>
      <c r="AU58" s="31"/>
      <c r="AV58" s="31"/>
      <c r="AW58" s="85" t="str">
        <f t="shared" si="14"/>
        <v/>
      </c>
      <c r="AX58" s="33"/>
      <c r="AY58" s="31"/>
      <c r="AZ58" s="85" t="str">
        <f t="shared" si="15"/>
        <v/>
      </c>
      <c r="BA58" s="33"/>
      <c r="BB58" s="31"/>
      <c r="BC58" s="85" t="str">
        <f t="shared" si="16"/>
        <v/>
      </c>
      <c r="BD58" s="33"/>
      <c r="BE58" s="31"/>
      <c r="BF58" s="85" t="str">
        <f t="shared" si="17"/>
        <v/>
      </c>
      <c r="BG58" s="33"/>
      <c r="BH58" s="31"/>
      <c r="BI58" s="85" t="str">
        <f t="shared" si="18"/>
        <v/>
      </c>
      <c r="BJ58" s="33"/>
      <c r="BK58" s="33"/>
      <c r="BL58" s="85" t="str">
        <f t="shared" si="19"/>
        <v/>
      </c>
      <c r="BM58" s="33"/>
      <c r="BN58" s="33"/>
      <c r="BO58" s="85" t="str">
        <f t="shared" si="20"/>
        <v/>
      </c>
      <c r="BP58" s="33"/>
      <c r="BQ58" s="33"/>
      <c r="BR58" s="85" t="str">
        <f t="shared" si="21"/>
        <v/>
      </c>
      <c r="BS58" s="33"/>
      <c r="BT58" s="33"/>
      <c r="BU58" s="85" t="str">
        <f t="shared" si="22"/>
        <v/>
      </c>
      <c r="BV58" s="31" t="s">
        <v>1</v>
      </c>
      <c r="BW58" s="31"/>
      <c r="BX58" s="31"/>
      <c r="BY58" s="85" t="str">
        <f t="shared" si="23"/>
        <v/>
      </c>
      <c r="BZ58" s="31"/>
      <c r="CA58" s="31"/>
      <c r="CB58" s="85" t="str">
        <f t="shared" si="24"/>
        <v/>
      </c>
      <c r="CC58" s="31"/>
      <c r="CD58" s="31"/>
      <c r="CE58" s="85" t="str">
        <f t="shared" si="25"/>
        <v/>
      </c>
      <c r="CF58" s="31"/>
      <c r="CG58" s="31"/>
      <c r="CH58" s="85" t="str">
        <f t="shared" si="26"/>
        <v/>
      </c>
      <c r="CI58" s="65">
        <v>8058</v>
      </c>
      <c r="CJ58" s="65">
        <v>52000</v>
      </c>
      <c r="CK58" s="85">
        <f t="shared" si="27"/>
        <v>6.4532141970712331</v>
      </c>
      <c r="CL58" s="66">
        <v>10526</v>
      </c>
      <c r="CM58" s="66">
        <v>76000</v>
      </c>
      <c r="CN58" s="85">
        <f t="shared" si="28"/>
        <v>7.2202166064981945</v>
      </c>
      <c r="CQ58" s="85" t="str">
        <f t="shared" si="29"/>
        <v/>
      </c>
    </row>
    <row r="59" spans="1:95" x14ac:dyDescent="0.3">
      <c r="A59" s="31" t="s">
        <v>309</v>
      </c>
      <c r="C59" s="30" t="s">
        <v>75</v>
      </c>
      <c r="D59" s="31" t="s">
        <v>1</v>
      </c>
      <c r="G59" s="85" t="str">
        <f t="shared" si="0"/>
        <v/>
      </c>
      <c r="H59" s="31"/>
      <c r="I59" s="31"/>
      <c r="J59" s="85" t="str">
        <f t="shared" si="1"/>
        <v/>
      </c>
      <c r="K59" s="31"/>
      <c r="L59" s="31"/>
      <c r="M59" s="85" t="str">
        <f t="shared" si="2"/>
        <v/>
      </c>
      <c r="N59" s="31"/>
      <c r="O59" s="31"/>
      <c r="P59" s="85" t="str">
        <f t="shared" si="3"/>
        <v/>
      </c>
      <c r="Q59" s="31"/>
      <c r="R59" s="31"/>
      <c r="S59" s="85" t="str">
        <f t="shared" si="4"/>
        <v/>
      </c>
      <c r="T59" s="31"/>
      <c r="U59" s="31"/>
      <c r="V59" s="85" t="str">
        <f t="shared" si="5"/>
        <v/>
      </c>
      <c r="W59" s="31"/>
      <c r="X59" s="31"/>
      <c r="Y59" s="85" t="str">
        <f t="shared" si="6"/>
        <v/>
      </c>
      <c r="Z59" s="31"/>
      <c r="AA59" s="31"/>
      <c r="AB59" s="85" t="str">
        <f t="shared" si="7"/>
        <v/>
      </c>
      <c r="AC59" s="31"/>
      <c r="AD59" s="31"/>
      <c r="AE59" s="85" t="str">
        <f t="shared" si="8"/>
        <v/>
      </c>
      <c r="AF59" s="84">
        <v>638.70000000000005</v>
      </c>
      <c r="AG59" s="83">
        <v>23435</v>
      </c>
      <c r="AH59" s="85">
        <f t="shared" si="9"/>
        <v>36.691717551276028</v>
      </c>
      <c r="AI59" s="84">
        <v>692.2</v>
      </c>
      <c r="AJ59" s="83">
        <v>19852</v>
      </c>
      <c r="AK59" s="85">
        <f t="shared" si="10"/>
        <v>28.679572377925453</v>
      </c>
      <c r="AL59" s="84">
        <v>525.5</v>
      </c>
      <c r="AM59" s="83">
        <v>16421</v>
      </c>
      <c r="AN59" s="85">
        <f t="shared" si="11"/>
        <v>31.248334919124645</v>
      </c>
      <c r="AO59" s="84">
        <v>382.3</v>
      </c>
      <c r="AP59" s="83">
        <v>12598</v>
      </c>
      <c r="AQ59" s="85">
        <f t="shared" si="12"/>
        <v>32.95317813235679</v>
      </c>
      <c r="AR59" s="31"/>
      <c r="AS59" s="31"/>
      <c r="AT59" s="85" t="str">
        <f t="shared" si="13"/>
        <v/>
      </c>
      <c r="AU59" s="31"/>
      <c r="AV59" s="31"/>
      <c r="AW59" s="85" t="str">
        <f t="shared" si="14"/>
        <v/>
      </c>
      <c r="AX59" s="33"/>
      <c r="AY59" s="31"/>
      <c r="AZ59" s="85" t="str">
        <f t="shared" si="15"/>
        <v/>
      </c>
      <c r="BA59" s="33">
        <v>2216</v>
      </c>
      <c r="BB59" s="31">
        <v>75000</v>
      </c>
      <c r="BC59" s="85">
        <f t="shared" si="16"/>
        <v>33.844765342960287</v>
      </c>
      <c r="BD59" s="33"/>
      <c r="BE59" s="31"/>
      <c r="BF59" s="85" t="str">
        <f t="shared" si="17"/>
        <v/>
      </c>
      <c r="BG59" s="33"/>
      <c r="BH59" s="31"/>
      <c r="BI59" s="85" t="str">
        <f t="shared" si="18"/>
        <v/>
      </c>
      <c r="BJ59" s="33"/>
      <c r="BK59" s="33"/>
      <c r="BL59" s="85" t="str">
        <f t="shared" si="19"/>
        <v/>
      </c>
      <c r="BM59" s="33"/>
      <c r="BN59" s="33"/>
      <c r="BO59" s="85" t="str">
        <f t="shared" si="20"/>
        <v/>
      </c>
      <c r="BP59" s="33"/>
      <c r="BQ59" s="33"/>
      <c r="BR59" s="85" t="str">
        <f t="shared" si="21"/>
        <v/>
      </c>
      <c r="BS59" s="33"/>
      <c r="BT59" s="33"/>
      <c r="BU59" s="85" t="str">
        <f t="shared" si="22"/>
        <v/>
      </c>
      <c r="BV59" s="31"/>
      <c r="BW59" s="31"/>
      <c r="BX59" s="31"/>
      <c r="BY59" s="85" t="str">
        <f t="shared" si="23"/>
        <v/>
      </c>
      <c r="BZ59" s="31"/>
      <c r="CA59" s="31"/>
      <c r="CB59" s="85" t="str">
        <f t="shared" si="24"/>
        <v/>
      </c>
      <c r="CC59" s="31"/>
      <c r="CD59" s="31"/>
      <c r="CE59" s="85" t="str">
        <f t="shared" si="25"/>
        <v/>
      </c>
      <c r="CF59" s="31"/>
      <c r="CG59" s="31"/>
      <c r="CH59" s="85" t="str">
        <f t="shared" si="26"/>
        <v/>
      </c>
      <c r="CI59" s="65"/>
      <c r="CJ59" s="65"/>
      <c r="CK59" s="85" t="str">
        <f t="shared" si="27"/>
        <v/>
      </c>
      <c r="CL59" s="66"/>
      <c r="CM59" s="66"/>
      <c r="CN59" s="85" t="str">
        <f t="shared" si="28"/>
        <v/>
      </c>
      <c r="CQ59" s="85" t="str">
        <f t="shared" si="29"/>
        <v/>
      </c>
    </row>
    <row r="60" spans="1:95" x14ac:dyDescent="0.3">
      <c r="A60" s="31" t="s">
        <v>160</v>
      </c>
      <c r="C60" s="30" t="s">
        <v>75</v>
      </c>
      <c r="D60" s="31" t="s">
        <v>1</v>
      </c>
      <c r="G60" s="85" t="str">
        <f t="shared" si="0"/>
        <v/>
      </c>
      <c r="H60" s="31"/>
      <c r="I60" s="31"/>
      <c r="J60" s="85" t="str">
        <f t="shared" si="1"/>
        <v/>
      </c>
      <c r="K60" s="31"/>
      <c r="L60" s="31"/>
      <c r="M60" s="85" t="str">
        <f t="shared" si="2"/>
        <v/>
      </c>
      <c r="N60" s="31"/>
      <c r="O60" s="31"/>
      <c r="P60" s="85" t="str">
        <f t="shared" si="3"/>
        <v/>
      </c>
      <c r="Q60" s="31"/>
      <c r="R60" s="31"/>
      <c r="S60" s="85" t="str">
        <f t="shared" si="4"/>
        <v/>
      </c>
      <c r="T60" s="31"/>
      <c r="U60" s="31"/>
      <c r="V60" s="85" t="str">
        <f t="shared" si="5"/>
        <v/>
      </c>
      <c r="W60" s="31"/>
      <c r="X60" s="31"/>
      <c r="Y60" s="85" t="str">
        <f t="shared" si="6"/>
        <v/>
      </c>
      <c r="Z60" s="31"/>
      <c r="AA60" s="31"/>
      <c r="AB60" s="85" t="str">
        <f t="shared" si="7"/>
        <v/>
      </c>
      <c r="AC60" s="31"/>
      <c r="AD60" s="31"/>
      <c r="AE60" s="85" t="str">
        <f t="shared" si="8"/>
        <v/>
      </c>
      <c r="AF60" s="31"/>
      <c r="AG60" s="31"/>
      <c r="AH60" s="85" t="str">
        <f t="shared" si="9"/>
        <v/>
      </c>
      <c r="AI60" s="31"/>
      <c r="AJ60" s="31"/>
      <c r="AK60" s="85" t="str">
        <f t="shared" si="10"/>
        <v/>
      </c>
      <c r="AL60" s="31"/>
      <c r="AM60" s="31"/>
      <c r="AN60" s="85" t="str">
        <f t="shared" si="11"/>
        <v/>
      </c>
      <c r="AO60" s="31"/>
      <c r="AP60" s="31"/>
      <c r="AQ60" s="85" t="str">
        <f t="shared" si="12"/>
        <v/>
      </c>
      <c r="AR60" s="31"/>
      <c r="AS60" s="31"/>
      <c r="AT60" s="85" t="str">
        <f t="shared" si="13"/>
        <v/>
      </c>
      <c r="AU60" s="31"/>
      <c r="AV60" s="31"/>
      <c r="AW60" s="85" t="str">
        <f t="shared" si="14"/>
        <v/>
      </c>
      <c r="AX60" s="33"/>
      <c r="AY60" s="31"/>
      <c r="AZ60" s="85" t="str">
        <f t="shared" si="15"/>
        <v/>
      </c>
      <c r="BA60" s="33"/>
      <c r="BB60" s="31"/>
      <c r="BC60" s="85" t="str">
        <f t="shared" si="16"/>
        <v/>
      </c>
      <c r="BD60" s="33"/>
      <c r="BE60" s="31"/>
      <c r="BF60" s="85" t="str">
        <f t="shared" si="17"/>
        <v/>
      </c>
      <c r="BG60" s="33"/>
      <c r="BH60" s="31"/>
      <c r="BI60" s="85" t="str">
        <f t="shared" si="18"/>
        <v/>
      </c>
      <c r="BJ60" s="33"/>
      <c r="BK60" s="33"/>
      <c r="BL60" s="85" t="str">
        <f t="shared" si="19"/>
        <v/>
      </c>
      <c r="BM60" s="33"/>
      <c r="BN60" s="33"/>
      <c r="BO60" s="85" t="str">
        <f t="shared" si="20"/>
        <v/>
      </c>
      <c r="BP60" s="33"/>
      <c r="BQ60" s="33"/>
      <c r="BR60" s="85" t="str">
        <f t="shared" si="21"/>
        <v/>
      </c>
      <c r="BS60" s="33"/>
      <c r="BT60" s="33"/>
      <c r="BU60" s="85" t="str">
        <f t="shared" si="22"/>
        <v/>
      </c>
      <c r="BV60" s="31" t="s">
        <v>1</v>
      </c>
      <c r="BW60" s="31"/>
      <c r="BX60" s="31"/>
      <c r="BY60" s="85" t="str">
        <f t="shared" si="23"/>
        <v/>
      </c>
      <c r="BZ60" s="31"/>
      <c r="CA60" s="31"/>
      <c r="CB60" s="85" t="str">
        <f t="shared" si="24"/>
        <v/>
      </c>
      <c r="CC60" s="31"/>
      <c r="CD60" s="31"/>
      <c r="CE60" s="85" t="str">
        <f t="shared" si="25"/>
        <v/>
      </c>
      <c r="CF60" s="31"/>
      <c r="CG60" s="31"/>
      <c r="CH60" s="85" t="str">
        <f t="shared" si="26"/>
        <v/>
      </c>
      <c r="CI60" s="65">
        <v>9063</v>
      </c>
      <c r="CJ60" s="65">
        <v>536000</v>
      </c>
      <c r="CK60" s="85">
        <f t="shared" si="27"/>
        <v>59.141564603332228</v>
      </c>
      <c r="CL60" s="66">
        <v>8197</v>
      </c>
      <c r="CM60" s="66">
        <v>501000</v>
      </c>
      <c r="CN60" s="85">
        <f t="shared" si="28"/>
        <v>61.119921922654626</v>
      </c>
      <c r="CQ60" s="85" t="str">
        <f t="shared" si="29"/>
        <v/>
      </c>
    </row>
    <row r="61" spans="1:95" x14ac:dyDescent="0.3">
      <c r="A61" s="31" t="s">
        <v>155</v>
      </c>
      <c r="C61" s="30" t="s">
        <v>75</v>
      </c>
      <c r="D61" s="31" t="s">
        <v>1</v>
      </c>
      <c r="G61" s="85" t="str">
        <f t="shared" si="0"/>
        <v/>
      </c>
      <c r="H61" s="31"/>
      <c r="I61" s="31"/>
      <c r="J61" s="85" t="str">
        <f t="shared" si="1"/>
        <v/>
      </c>
      <c r="K61" s="31"/>
      <c r="L61" s="31"/>
      <c r="M61" s="85" t="str">
        <f t="shared" si="2"/>
        <v/>
      </c>
      <c r="N61" s="31"/>
      <c r="O61" s="31"/>
      <c r="P61" s="85" t="str">
        <f t="shared" si="3"/>
        <v/>
      </c>
      <c r="Q61" s="31"/>
      <c r="R61" s="31"/>
      <c r="S61" s="85" t="str">
        <f t="shared" si="4"/>
        <v/>
      </c>
      <c r="T61" s="31"/>
      <c r="U61" s="31"/>
      <c r="V61" s="85" t="str">
        <f t="shared" si="5"/>
        <v/>
      </c>
      <c r="W61" s="31"/>
      <c r="X61" s="31"/>
      <c r="Y61" s="85" t="str">
        <f t="shared" si="6"/>
        <v/>
      </c>
      <c r="Z61" s="31"/>
      <c r="AA61" s="31"/>
      <c r="AB61" s="85" t="str">
        <f t="shared" si="7"/>
        <v/>
      </c>
      <c r="AC61" s="31"/>
      <c r="AD61" s="31"/>
      <c r="AE61" s="85" t="str">
        <f t="shared" si="8"/>
        <v/>
      </c>
      <c r="AF61" s="31"/>
      <c r="AG61" s="31"/>
      <c r="AH61" s="85" t="str">
        <f t="shared" si="9"/>
        <v/>
      </c>
      <c r="AI61" s="31"/>
      <c r="AJ61" s="31"/>
      <c r="AK61" s="85" t="str">
        <f t="shared" si="10"/>
        <v/>
      </c>
      <c r="AL61" s="31"/>
      <c r="AM61" s="31"/>
      <c r="AN61" s="85" t="str">
        <f t="shared" si="11"/>
        <v/>
      </c>
      <c r="AO61" s="31"/>
      <c r="AP61" s="31"/>
      <c r="AQ61" s="85" t="str">
        <f t="shared" si="12"/>
        <v/>
      </c>
      <c r="AR61" s="31"/>
      <c r="AS61" s="31"/>
      <c r="AT61" s="85" t="str">
        <f t="shared" si="13"/>
        <v/>
      </c>
      <c r="AU61" s="31"/>
      <c r="AV61" s="31"/>
      <c r="AW61" s="85" t="str">
        <f t="shared" si="14"/>
        <v/>
      </c>
      <c r="AX61" s="33"/>
      <c r="AY61" s="31"/>
      <c r="AZ61" s="85" t="str">
        <f t="shared" si="15"/>
        <v/>
      </c>
      <c r="BA61" s="33"/>
      <c r="BB61" s="31"/>
      <c r="BC61" s="85" t="str">
        <f t="shared" si="16"/>
        <v/>
      </c>
      <c r="BD61" s="33"/>
      <c r="BE61" s="31"/>
      <c r="BF61" s="85" t="str">
        <f t="shared" si="17"/>
        <v/>
      </c>
      <c r="BG61" s="33"/>
      <c r="BH61" s="31"/>
      <c r="BI61" s="85" t="str">
        <f t="shared" si="18"/>
        <v/>
      </c>
      <c r="BJ61" s="33"/>
      <c r="BK61" s="33"/>
      <c r="BL61" s="85" t="str">
        <f t="shared" si="19"/>
        <v/>
      </c>
      <c r="BM61" s="33"/>
      <c r="BN61" s="33"/>
      <c r="BO61" s="85" t="str">
        <f t="shared" si="20"/>
        <v/>
      </c>
      <c r="BP61" s="33"/>
      <c r="BQ61" s="33"/>
      <c r="BR61" s="85" t="str">
        <f t="shared" si="21"/>
        <v/>
      </c>
      <c r="BS61" s="33"/>
      <c r="BT61" s="33"/>
      <c r="BU61" s="85" t="str">
        <f t="shared" si="22"/>
        <v/>
      </c>
      <c r="BV61" s="31" t="s">
        <v>1</v>
      </c>
      <c r="BW61" s="31"/>
      <c r="BX61" s="31"/>
      <c r="BY61" s="85" t="str">
        <f t="shared" si="23"/>
        <v/>
      </c>
      <c r="BZ61" s="31"/>
      <c r="CA61" s="31"/>
      <c r="CB61" s="85" t="str">
        <f t="shared" si="24"/>
        <v/>
      </c>
      <c r="CC61" s="31"/>
      <c r="CD61" s="31"/>
      <c r="CE61" s="85" t="str">
        <f t="shared" si="25"/>
        <v/>
      </c>
      <c r="CF61" s="31"/>
      <c r="CG61" s="31"/>
      <c r="CH61" s="85" t="str">
        <f t="shared" si="26"/>
        <v/>
      </c>
      <c r="CI61" s="65">
        <v>3651</v>
      </c>
      <c r="CJ61" s="65">
        <v>404000</v>
      </c>
      <c r="CK61" s="85">
        <f t="shared" si="27"/>
        <v>110.65461517392495</v>
      </c>
      <c r="CL61" s="66">
        <v>4393</v>
      </c>
      <c r="CM61" s="66">
        <v>469000</v>
      </c>
      <c r="CN61" s="85">
        <f t="shared" si="28"/>
        <v>106.76075574778056</v>
      </c>
      <c r="CQ61" s="85" t="str">
        <f t="shared" si="29"/>
        <v/>
      </c>
    </row>
    <row r="62" spans="1:95" x14ac:dyDescent="0.3">
      <c r="A62" s="31" t="s">
        <v>161</v>
      </c>
      <c r="C62" s="30" t="s">
        <v>75</v>
      </c>
      <c r="D62" s="31" t="s">
        <v>1</v>
      </c>
      <c r="G62" s="85" t="str">
        <f t="shared" si="0"/>
        <v/>
      </c>
      <c r="H62" s="31"/>
      <c r="I62" s="31"/>
      <c r="J62" s="85" t="str">
        <f t="shared" si="1"/>
        <v/>
      </c>
      <c r="K62" s="31"/>
      <c r="L62" s="31"/>
      <c r="M62" s="85" t="str">
        <f t="shared" si="2"/>
        <v/>
      </c>
      <c r="N62" s="31"/>
      <c r="O62" s="31"/>
      <c r="P62" s="85" t="str">
        <f t="shared" si="3"/>
        <v/>
      </c>
      <c r="Q62" s="31"/>
      <c r="R62" s="31"/>
      <c r="S62" s="85" t="str">
        <f t="shared" si="4"/>
        <v/>
      </c>
      <c r="T62" s="31"/>
      <c r="U62" s="31"/>
      <c r="V62" s="85" t="str">
        <f t="shared" si="5"/>
        <v/>
      </c>
      <c r="W62" s="31"/>
      <c r="X62" s="31"/>
      <c r="Y62" s="85" t="str">
        <f t="shared" si="6"/>
        <v/>
      </c>
      <c r="Z62" s="31"/>
      <c r="AA62" s="31"/>
      <c r="AB62" s="85" t="str">
        <f t="shared" si="7"/>
        <v/>
      </c>
      <c r="AC62" s="31"/>
      <c r="AD62" s="31"/>
      <c r="AE62" s="85" t="str">
        <f t="shared" si="8"/>
        <v/>
      </c>
      <c r="AF62" s="84">
        <v>223.7</v>
      </c>
      <c r="AG62" s="83">
        <v>35588</v>
      </c>
      <c r="AH62" s="85">
        <f t="shared" si="9"/>
        <v>159.08806437192669</v>
      </c>
      <c r="AI62" s="84">
        <v>314.8</v>
      </c>
      <c r="AJ62" s="83">
        <v>41127</v>
      </c>
      <c r="AK62" s="85">
        <f t="shared" si="10"/>
        <v>130.64485387547649</v>
      </c>
      <c r="AL62" s="84">
        <v>71.3</v>
      </c>
      <c r="AM62" s="83">
        <v>28382</v>
      </c>
      <c r="AN62" s="85">
        <f t="shared" si="11"/>
        <v>398.06451612903226</v>
      </c>
      <c r="AO62" s="84">
        <v>330.6</v>
      </c>
      <c r="AP62" s="83">
        <v>33088</v>
      </c>
      <c r="AQ62" s="85">
        <f t="shared" si="12"/>
        <v>100.08469449485783</v>
      </c>
      <c r="AR62" s="31"/>
      <c r="AS62" s="31"/>
      <c r="AT62" s="85" t="str">
        <f t="shared" si="13"/>
        <v/>
      </c>
      <c r="AU62" s="31"/>
      <c r="AV62" s="31"/>
      <c r="AW62" s="85" t="str">
        <f t="shared" si="14"/>
        <v/>
      </c>
      <c r="AX62" s="33"/>
      <c r="AY62" s="31"/>
      <c r="AZ62" s="85" t="str">
        <f t="shared" si="15"/>
        <v/>
      </c>
      <c r="BA62" s="33"/>
      <c r="BB62" s="31"/>
      <c r="BC62" s="85" t="str">
        <f t="shared" si="16"/>
        <v/>
      </c>
      <c r="BD62" s="33"/>
      <c r="BE62" s="31"/>
      <c r="BF62" s="85" t="str">
        <f t="shared" si="17"/>
        <v/>
      </c>
      <c r="BG62" s="33"/>
      <c r="BH62" s="31"/>
      <c r="BI62" s="85" t="str">
        <f t="shared" si="18"/>
        <v/>
      </c>
      <c r="BJ62" s="33"/>
      <c r="BK62" s="33"/>
      <c r="BL62" s="85" t="str">
        <f t="shared" si="19"/>
        <v/>
      </c>
      <c r="BM62" s="33">
        <v>219</v>
      </c>
      <c r="BN62" s="33">
        <v>182000</v>
      </c>
      <c r="BO62" s="85">
        <f t="shared" si="20"/>
        <v>831.05022831050223</v>
      </c>
      <c r="BP62" s="33">
        <v>446</v>
      </c>
      <c r="BQ62" s="33">
        <v>181000</v>
      </c>
      <c r="BR62" s="85">
        <f t="shared" si="21"/>
        <v>405.82959641255604</v>
      </c>
      <c r="BS62" s="33"/>
      <c r="BT62" s="33"/>
      <c r="BU62" s="85" t="str">
        <f t="shared" si="22"/>
        <v/>
      </c>
      <c r="BV62" s="31" t="s">
        <v>1</v>
      </c>
      <c r="BW62" s="31"/>
      <c r="BX62" s="31"/>
      <c r="BY62" s="85" t="str">
        <f t="shared" si="23"/>
        <v/>
      </c>
      <c r="BZ62" s="31"/>
      <c r="CA62" s="31"/>
      <c r="CB62" s="85" t="str">
        <f t="shared" si="24"/>
        <v/>
      </c>
      <c r="CC62" s="31"/>
      <c r="CD62" s="31"/>
      <c r="CE62" s="85" t="str">
        <f t="shared" si="25"/>
        <v/>
      </c>
      <c r="CF62" s="31"/>
      <c r="CG62" s="31"/>
      <c r="CH62" s="85" t="str">
        <f t="shared" si="26"/>
        <v/>
      </c>
      <c r="CI62" s="65">
        <v>927</v>
      </c>
      <c r="CJ62" s="65">
        <v>320000</v>
      </c>
      <c r="CK62" s="85">
        <f t="shared" si="27"/>
        <v>345.19956850053939</v>
      </c>
      <c r="CL62" s="66">
        <v>714</v>
      </c>
      <c r="CM62" s="66">
        <v>271000</v>
      </c>
      <c r="CN62" s="85">
        <f t="shared" si="28"/>
        <v>379.55182072829132</v>
      </c>
      <c r="CQ62" s="85" t="str">
        <f t="shared" si="29"/>
        <v/>
      </c>
    </row>
    <row r="63" spans="1:95" x14ac:dyDescent="0.3">
      <c r="A63" s="31" t="s">
        <v>3</v>
      </c>
      <c r="C63" s="30" t="s">
        <v>75</v>
      </c>
      <c r="D63" s="31" t="s">
        <v>1</v>
      </c>
      <c r="G63" s="85" t="str">
        <f t="shared" si="0"/>
        <v/>
      </c>
      <c r="H63" s="31"/>
      <c r="I63" s="31"/>
      <c r="J63" s="85" t="str">
        <f t="shared" si="1"/>
        <v/>
      </c>
      <c r="K63" s="31"/>
      <c r="L63" s="31"/>
      <c r="M63" s="85" t="str">
        <f t="shared" si="2"/>
        <v/>
      </c>
      <c r="N63" s="31"/>
      <c r="O63" s="31"/>
      <c r="P63" s="85" t="str">
        <f t="shared" si="3"/>
        <v/>
      </c>
      <c r="Q63" s="31"/>
      <c r="R63" s="31"/>
      <c r="S63" s="85" t="str">
        <f t="shared" si="4"/>
        <v/>
      </c>
      <c r="T63" s="31"/>
      <c r="U63" s="31"/>
      <c r="V63" s="85" t="str">
        <f t="shared" si="5"/>
        <v/>
      </c>
      <c r="W63" s="31"/>
      <c r="X63" s="31"/>
      <c r="Y63" s="85" t="str">
        <f t="shared" si="6"/>
        <v/>
      </c>
      <c r="Z63" s="31"/>
      <c r="AA63" s="31"/>
      <c r="AB63" s="85" t="str">
        <f t="shared" si="7"/>
        <v/>
      </c>
      <c r="AC63" s="31"/>
      <c r="AD63" s="31"/>
      <c r="AE63" s="85" t="str">
        <f t="shared" si="8"/>
        <v/>
      </c>
      <c r="AF63" s="31"/>
      <c r="AG63" s="31"/>
      <c r="AH63" s="85" t="str">
        <f t="shared" si="9"/>
        <v/>
      </c>
      <c r="AI63" s="31"/>
      <c r="AJ63" s="31"/>
      <c r="AK63" s="85" t="str">
        <f t="shared" si="10"/>
        <v/>
      </c>
      <c r="AL63" s="31"/>
      <c r="AM63" s="31"/>
      <c r="AN63" s="85" t="str">
        <f t="shared" si="11"/>
        <v/>
      </c>
      <c r="AO63" s="31"/>
      <c r="AP63" s="31"/>
      <c r="AQ63" s="85" t="str">
        <f t="shared" si="12"/>
        <v/>
      </c>
      <c r="AR63" s="31"/>
      <c r="AS63" s="31"/>
      <c r="AT63" s="85" t="str">
        <f t="shared" si="13"/>
        <v/>
      </c>
      <c r="AU63" s="31"/>
      <c r="AV63" s="31"/>
      <c r="AW63" s="85" t="str">
        <f t="shared" si="14"/>
        <v/>
      </c>
      <c r="AX63" s="33"/>
      <c r="AY63" s="31"/>
      <c r="AZ63" s="85" t="str">
        <f t="shared" si="15"/>
        <v/>
      </c>
      <c r="BA63" s="33"/>
      <c r="BB63" s="31"/>
      <c r="BC63" s="85" t="str">
        <f t="shared" si="16"/>
        <v/>
      </c>
      <c r="BD63" s="33"/>
      <c r="BE63" s="31"/>
      <c r="BF63" s="85" t="str">
        <f t="shared" si="17"/>
        <v/>
      </c>
      <c r="BG63" s="33"/>
      <c r="BH63" s="31"/>
      <c r="BI63" s="85" t="str">
        <f t="shared" si="18"/>
        <v/>
      </c>
      <c r="BJ63" s="33"/>
      <c r="BK63" s="33"/>
      <c r="BL63" s="85" t="str">
        <f t="shared" si="19"/>
        <v/>
      </c>
      <c r="BM63" s="33"/>
      <c r="BN63" s="33"/>
      <c r="BO63" s="85" t="str">
        <f t="shared" si="20"/>
        <v/>
      </c>
      <c r="BP63" s="33"/>
      <c r="BQ63" s="33"/>
      <c r="BR63" s="85" t="str">
        <f t="shared" si="21"/>
        <v/>
      </c>
      <c r="BS63" s="33"/>
      <c r="BT63" s="33"/>
      <c r="BU63" s="85" t="str">
        <f t="shared" si="22"/>
        <v/>
      </c>
      <c r="BV63" s="31" t="s">
        <v>1</v>
      </c>
      <c r="BW63" s="31"/>
      <c r="BX63" s="31"/>
      <c r="BY63" s="85" t="str">
        <f t="shared" si="23"/>
        <v/>
      </c>
      <c r="BZ63" s="31"/>
      <c r="CA63" s="31"/>
      <c r="CB63" s="85" t="str">
        <f t="shared" si="24"/>
        <v/>
      </c>
      <c r="CC63" s="31"/>
      <c r="CD63" s="31"/>
      <c r="CE63" s="85" t="str">
        <f t="shared" si="25"/>
        <v/>
      </c>
      <c r="CF63" s="31"/>
      <c r="CG63" s="31"/>
      <c r="CH63" s="85" t="str">
        <f t="shared" si="26"/>
        <v/>
      </c>
      <c r="CI63" s="65">
        <v>277</v>
      </c>
      <c r="CJ63" s="65">
        <v>104060</v>
      </c>
      <c r="CK63" s="85">
        <f t="shared" si="27"/>
        <v>375.66787003610108</v>
      </c>
      <c r="CL63" s="66">
        <v>414</v>
      </c>
      <c r="CM63" s="66">
        <v>138000</v>
      </c>
      <c r="CN63" s="85">
        <f t="shared" si="28"/>
        <v>333.33333333333331</v>
      </c>
      <c r="CQ63" s="85" t="str">
        <f t="shared" si="29"/>
        <v/>
      </c>
    </row>
    <row r="64" spans="1:95" x14ac:dyDescent="0.3">
      <c r="A64" s="31" t="s">
        <v>397</v>
      </c>
      <c r="C64" s="30" t="s">
        <v>75</v>
      </c>
      <c r="D64" s="31" t="s">
        <v>1</v>
      </c>
      <c r="G64" s="85" t="str">
        <f t="shared" si="0"/>
        <v/>
      </c>
      <c r="H64" s="31"/>
      <c r="I64" s="31"/>
      <c r="J64" s="85" t="str">
        <f t="shared" si="1"/>
        <v/>
      </c>
      <c r="K64" s="31"/>
      <c r="L64" s="31"/>
      <c r="M64" s="85" t="str">
        <f t="shared" si="2"/>
        <v/>
      </c>
      <c r="N64" s="31"/>
      <c r="O64" s="31"/>
      <c r="P64" s="85" t="str">
        <f t="shared" si="3"/>
        <v/>
      </c>
      <c r="Q64" s="31"/>
      <c r="R64" s="31"/>
      <c r="S64" s="85" t="str">
        <f t="shared" si="4"/>
        <v/>
      </c>
      <c r="T64" s="31"/>
      <c r="U64" s="31"/>
      <c r="V64" s="85" t="str">
        <f t="shared" si="5"/>
        <v/>
      </c>
      <c r="W64" s="31"/>
      <c r="X64" s="31"/>
      <c r="Y64" s="85" t="str">
        <f t="shared" si="6"/>
        <v/>
      </c>
      <c r="Z64" s="31"/>
      <c r="AA64" s="31"/>
      <c r="AB64" s="85" t="str">
        <f t="shared" si="7"/>
        <v/>
      </c>
      <c r="AC64" s="31"/>
      <c r="AD64" s="31"/>
      <c r="AE64" s="85" t="str">
        <f t="shared" si="8"/>
        <v/>
      </c>
      <c r="AF64" s="84">
        <v>135.9</v>
      </c>
      <c r="AG64" s="83">
        <v>61764</v>
      </c>
      <c r="AH64" s="85">
        <f t="shared" si="9"/>
        <v>454.48123620309048</v>
      </c>
      <c r="AI64" s="84">
        <v>123.5</v>
      </c>
      <c r="AJ64" s="83">
        <v>53921</v>
      </c>
      <c r="AK64" s="85">
        <f t="shared" si="10"/>
        <v>436.60728744939269</v>
      </c>
      <c r="AL64" s="84">
        <v>125.9</v>
      </c>
      <c r="AM64" s="83">
        <v>57843</v>
      </c>
      <c r="AN64" s="85">
        <f t="shared" si="11"/>
        <v>459.43606036536931</v>
      </c>
      <c r="AO64" s="84">
        <v>110.4</v>
      </c>
      <c r="AP64" s="83">
        <v>47794</v>
      </c>
      <c r="AQ64" s="85">
        <f t="shared" si="12"/>
        <v>432.91666666666663</v>
      </c>
      <c r="AR64" s="31"/>
      <c r="AS64" s="31"/>
      <c r="AT64" s="85" t="str">
        <f t="shared" si="13"/>
        <v/>
      </c>
      <c r="AU64" s="31"/>
      <c r="AV64" s="31"/>
      <c r="AW64" s="85" t="str">
        <f t="shared" si="14"/>
        <v/>
      </c>
      <c r="AX64" s="33"/>
      <c r="AY64" s="31"/>
      <c r="AZ64" s="85" t="str">
        <f t="shared" si="15"/>
        <v/>
      </c>
      <c r="BA64" s="33">
        <v>173</v>
      </c>
      <c r="BB64" s="31">
        <v>64050</v>
      </c>
      <c r="BC64" s="85">
        <f t="shared" si="16"/>
        <v>370.23121387283237</v>
      </c>
      <c r="BD64" s="33"/>
      <c r="BE64" s="31"/>
      <c r="BF64" s="85" t="str">
        <f t="shared" si="17"/>
        <v/>
      </c>
      <c r="BG64" s="33"/>
      <c r="BH64" s="31"/>
      <c r="BI64" s="85" t="str">
        <f t="shared" si="18"/>
        <v/>
      </c>
      <c r="BJ64" s="33"/>
      <c r="BK64" s="33"/>
      <c r="BL64" s="85" t="str">
        <f t="shared" si="19"/>
        <v/>
      </c>
      <c r="BM64" s="33">
        <v>398</v>
      </c>
      <c r="BN64" s="33">
        <v>83000</v>
      </c>
      <c r="BO64" s="85">
        <f t="shared" si="20"/>
        <v>208.5427135678392</v>
      </c>
      <c r="BP64" s="33">
        <f>295+432</f>
        <v>727</v>
      </c>
      <c r="BQ64" s="33">
        <f>116000+87000</f>
        <v>203000</v>
      </c>
      <c r="BR64" s="85">
        <f t="shared" si="21"/>
        <v>279.22971114167814</v>
      </c>
      <c r="BS64" s="33"/>
      <c r="BT64" s="33"/>
      <c r="BU64" s="85" t="str">
        <f t="shared" si="22"/>
        <v/>
      </c>
      <c r="BV64" s="31" t="s">
        <v>1</v>
      </c>
      <c r="BW64" s="31"/>
      <c r="BX64" s="31"/>
      <c r="BY64" s="85" t="str">
        <f t="shared" si="23"/>
        <v/>
      </c>
      <c r="BZ64" s="31"/>
      <c r="CA64" s="31"/>
      <c r="CB64" s="85" t="str">
        <f t="shared" si="24"/>
        <v/>
      </c>
      <c r="CC64" s="31"/>
      <c r="CD64" s="31"/>
      <c r="CE64" s="85" t="str">
        <f t="shared" si="25"/>
        <v/>
      </c>
      <c r="CF64" s="31"/>
      <c r="CG64" s="31"/>
      <c r="CH64" s="85" t="str">
        <f t="shared" si="26"/>
        <v/>
      </c>
      <c r="CI64" s="65">
        <v>123</v>
      </c>
      <c r="CJ64" s="65">
        <v>28000</v>
      </c>
      <c r="CK64" s="85">
        <f t="shared" si="27"/>
        <v>227.64227642276424</v>
      </c>
      <c r="CL64" s="66">
        <v>214</v>
      </c>
      <c r="CM64" s="66">
        <v>74000</v>
      </c>
      <c r="CN64" s="85">
        <f t="shared" si="28"/>
        <v>345.79439252336448</v>
      </c>
      <c r="CQ64" s="85" t="str">
        <f t="shared" si="29"/>
        <v/>
      </c>
    </row>
    <row r="65" spans="1:95" x14ac:dyDescent="0.3">
      <c r="A65" s="31" t="s">
        <v>353</v>
      </c>
      <c r="B65" s="31" t="s">
        <v>346</v>
      </c>
      <c r="C65" s="30" t="s">
        <v>75</v>
      </c>
      <c r="D65" s="31" t="s">
        <v>1</v>
      </c>
      <c r="G65" s="85" t="str">
        <f t="shared" si="0"/>
        <v/>
      </c>
      <c r="H65" s="31"/>
      <c r="I65" s="31"/>
      <c r="J65" s="85" t="str">
        <f t="shared" si="1"/>
        <v/>
      </c>
      <c r="K65" s="31"/>
      <c r="L65" s="31"/>
      <c r="M65" s="85" t="str">
        <f t="shared" si="2"/>
        <v/>
      </c>
      <c r="N65" s="31"/>
      <c r="O65" s="31"/>
      <c r="P65" s="85" t="str">
        <f t="shared" si="3"/>
        <v/>
      </c>
      <c r="Q65" s="31"/>
      <c r="R65" s="31"/>
      <c r="S65" s="85" t="str">
        <f t="shared" si="4"/>
        <v/>
      </c>
      <c r="T65" s="31"/>
      <c r="U65" s="31"/>
      <c r="V65" s="85" t="str">
        <f t="shared" si="5"/>
        <v/>
      </c>
      <c r="W65" s="31"/>
      <c r="X65" s="31"/>
      <c r="Y65" s="85" t="str">
        <f t="shared" si="6"/>
        <v/>
      </c>
      <c r="Z65" s="31"/>
      <c r="AA65" s="31"/>
      <c r="AB65" s="85" t="str">
        <f t="shared" si="7"/>
        <v/>
      </c>
      <c r="AC65" s="31"/>
      <c r="AD65" s="31"/>
      <c r="AE65" s="85" t="str">
        <f t="shared" si="8"/>
        <v/>
      </c>
      <c r="AF65" s="31"/>
      <c r="AG65" s="31"/>
      <c r="AH65" s="85" t="str">
        <f t="shared" si="9"/>
        <v/>
      </c>
      <c r="AI65" s="31"/>
      <c r="AJ65" s="31"/>
      <c r="AK65" s="85" t="str">
        <f t="shared" si="10"/>
        <v/>
      </c>
      <c r="AL65" s="31"/>
      <c r="AM65" s="31"/>
      <c r="AN65" s="85" t="str">
        <f t="shared" si="11"/>
        <v/>
      </c>
      <c r="AO65" s="31"/>
      <c r="AP65" s="31"/>
      <c r="AQ65" s="85" t="str">
        <f t="shared" si="12"/>
        <v/>
      </c>
      <c r="AR65" s="31">
        <v>855</v>
      </c>
      <c r="AS65" s="31">
        <v>106600</v>
      </c>
      <c r="AT65" s="85">
        <f t="shared" si="13"/>
        <v>124.67836257309942</v>
      </c>
      <c r="AU65" s="31">
        <v>886</v>
      </c>
      <c r="AV65" s="31">
        <v>109400</v>
      </c>
      <c r="AW65" s="85">
        <f t="shared" si="14"/>
        <v>123.47629796839729</v>
      </c>
      <c r="AX65" s="33">
        <v>846</v>
      </c>
      <c r="AY65" s="31">
        <v>90400</v>
      </c>
      <c r="AZ65" s="85">
        <f t="shared" si="15"/>
        <v>106.85579196217495</v>
      </c>
      <c r="BA65" s="33">
        <v>775</v>
      </c>
      <c r="BB65" s="31">
        <v>97692</v>
      </c>
      <c r="BC65" s="85">
        <f t="shared" si="16"/>
        <v>126.05419354838709</v>
      </c>
      <c r="BD65" s="33">
        <v>750</v>
      </c>
      <c r="BE65" s="31">
        <v>90000</v>
      </c>
      <c r="BF65" s="85">
        <f t="shared" si="17"/>
        <v>120</v>
      </c>
      <c r="BG65" s="33">
        <v>835</v>
      </c>
      <c r="BH65" s="31">
        <v>112000</v>
      </c>
      <c r="BI65" s="85">
        <f t="shared" si="18"/>
        <v>134.1317365269461</v>
      </c>
      <c r="BJ65" s="33"/>
      <c r="BK65" s="33"/>
      <c r="BL65" s="85" t="str">
        <f t="shared" si="19"/>
        <v/>
      </c>
      <c r="BM65" s="33">
        <v>1035</v>
      </c>
      <c r="BN65" s="33">
        <v>144000</v>
      </c>
      <c r="BO65" s="85">
        <f t="shared" si="20"/>
        <v>139.13043478260869</v>
      </c>
      <c r="BP65" s="33">
        <f>1406</f>
        <v>1406</v>
      </c>
      <c r="BQ65" s="33">
        <v>226000</v>
      </c>
      <c r="BR65" s="85">
        <f t="shared" si="21"/>
        <v>160.73968705547654</v>
      </c>
      <c r="BS65" s="33"/>
      <c r="BT65" s="33"/>
      <c r="BU65" s="85" t="str">
        <f t="shared" si="22"/>
        <v/>
      </c>
      <c r="BV65" s="31" t="s">
        <v>1</v>
      </c>
      <c r="BW65" s="31"/>
      <c r="BX65" s="31"/>
      <c r="BY65" s="85" t="str">
        <f t="shared" si="23"/>
        <v/>
      </c>
      <c r="BZ65" s="31"/>
      <c r="CA65" s="31"/>
      <c r="CB65" s="85" t="str">
        <f t="shared" si="24"/>
        <v/>
      </c>
      <c r="CC65" s="31"/>
      <c r="CD65" s="31"/>
      <c r="CE65" s="85" t="str">
        <f t="shared" si="25"/>
        <v/>
      </c>
      <c r="CF65" s="31"/>
      <c r="CG65" s="31"/>
      <c r="CH65" s="85" t="str">
        <f t="shared" si="26"/>
        <v/>
      </c>
      <c r="CI65" s="65"/>
      <c r="CJ65" s="65"/>
      <c r="CK65" s="85" t="str">
        <f t="shared" si="27"/>
        <v/>
      </c>
      <c r="CL65" s="66"/>
      <c r="CM65" s="66"/>
      <c r="CN65" s="85" t="str">
        <f t="shared" si="28"/>
        <v/>
      </c>
      <c r="CQ65" s="85" t="str">
        <f t="shared" si="29"/>
        <v/>
      </c>
    </row>
    <row r="66" spans="1:95" x14ac:dyDescent="0.3">
      <c r="A66" s="31" t="s">
        <v>354</v>
      </c>
      <c r="B66" s="31" t="s">
        <v>346</v>
      </c>
      <c r="C66" s="30" t="s">
        <v>75</v>
      </c>
      <c r="D66" s="31" t="s">
        <v>1</v>
      </c>
      <c r="G66" s="85" t="str">
        <f t="shared" si="0"/>
        <v/>
      </c>
      <c r="H66" s="31"/>
      <c r="I66" s="31"/>
      <c r="J66" s="85" t="str">
        <f t="shared" si="1"/>
        <v/>
      </c>
      <c r="K66" s="31"/>
      <c r="L66" s="31"/>
      <c r="M66" s="85" t="str">
        <f t="shared" si="2"/>
        <v/>
      </c>
      <c r="N66" s="31"/>
      <c r="O66" s="31"/>
      <c r="P66" s="85" t="str">
        <f t="shared" si="3"/>
        <v/>
      </c>
      <c r="Q66" s="31"/>
      <c r="R66" s="31"/>
      <c r="S66" s="85" t="str">
        <f t="shared" si="4"/>
        <v/>
      </c>
      <c r="T66" s="31"/>
      <c r="U66" s="31"/>
      <c r="V66" s="85" t="str">
        <f t="shared" si="5"/>
        <v/>
      </c>
      <c r="W66" s="31"/>
      <c r="X66" s="31"/>
      <c r="Y66" s="85" t="str">
        <f t="shared" si="6"/>
        <v/>
      </c>
      <c r="Z66" s="31"/>
      <c r="AA66" s="31"/>
      <c r="AB66" s="85" t="str">
        <f t="shared" si="7"/>
        <v/>
      </c>
      <c r="AC66" s="31"/>
      <c r="AD66" s="31"/>
      <c r="AE66" s="85" t="str">
        <f t="shared" si="8"/>
        <v/>
      </c>
      <c r="AF66" s="31"/>
      <c r="AG66" s="31"/>
      <c r="AH66" s="85" t="str">
        <f t="shared" si="9"/>
        <v/>
      </c>
      <c r="AI66" s="31"/>
      <c r="AJ66" s="31"/>
      <c r="AK66" s="85" t="str">
        <f t="shared" si="10"/>
        <v/>
      </c>
      <c r="AL66" s="31"/>
      <c r="AM66" s="31"/>
      <c r="AN66" s="85" t="str">
        <f t="shared" si="11"/>
        <v/>
      </c>
      <c r="AO66" s="31"/>
      <c r="AP66" s="31"/>
      <c r="AQ66" s="85" t="str">
        <f t="shared" si="12"/>
        <v/>
      </c>
      <c r="AR66" s="31"/>
      <c r="AS66" s="31"/>
      <c r="AT66" s="85" t="str">
        <f t="shared" si="13"/>
        <v/>
      </c>
      <c r="AU66" s="31"/>
      <c r="AV66" s="31"/>
      <c r="AW66" s="85" t="str">
        <f t="shared" si="14"/>
        <v/>
      </c>
      <c r="AX66" s="33"/>
      <c r="AY66" s="31"/>
      <c r="AZ66" s="85" t="str">
        <f t="shared" si="15"/>
        <v/>
      </c>
      <c r="BA66" s="33">
        <v>1300</v>
      </c>
      <c r="BB66" s="31">
        <v>492826</v>
      </c>
      <c r="BC66" s="85">
        <f t="shared" si="16"/>
        <v>379.09692307692308</v>
      </c>
      <c r="BD66" s="33">
        <f>21+1691</f>
        <v>1712</v>
      </c>
      <c r="BE66" s="31">
        <f>3100+612700</f>
        <v>615800</v>
      </c>
      <c r="BF66" s="85">
        <f t="shared" si="17"/>
        <v>359.696261682243</v>
      </c>
      <c r="BG66" s="33">
        <f>1772+708+329</f>
        <v>2809</v>
      </c>
      <c r="BH66" s="31">
        <f>663000+245000+121000</f>
        <v>1029000</v>
      </c>
      <c r="BI66" s="85">
        <f t="shared" si="18"/>
        <v>366.32253470986115</v>
      </c>
      <c r="BJ66" s="33"/>
      <c r="BK66" s="33"/>
      <c r="BL66" s="85" t="str">
        <f t="shared" si="19"/>
        <v/>
      </c>
      <c r="BM66" s="33">
        <v>1657</v>
      </c>
      <c r="BN66" s="33">
        <v>639000</v>
      </c>
      <c r="BO66" s="85">
        <f t="shared" si="20"/>
        <v>385.63669281834643</v>
      </c>
      <c r="BP66" s="33">
        <v>2053</v>
      </c>
      <c r="BQ66" s="33">
        <v>705000</v>
      </c>
      <c r="BR66" s="85">
        <f t="shared" si="21"/>
        <v>343.39990258158792</v>
      </c>
      <c r="BS66" s="33"/>
      <c r="BT66" s="33"/>
      <c r="BU66" s="85" t="str">
        <f t="shared" si="22"/>
        <v/>
      </c>
      <c r="BV66" s="31" t="s">
        <v>1</v>
      </c>
      <c r="BW66" s="31"/>
      <c r="BX66" s="31"/>
      <c r="BY66" s="85" t="str">
        <f t="shared" si="23"/>
        <v/>
      </c>
      <c r="BZ66" s="31"/>
      <c r="CA66" s="31"/>
      <c r="CB66" s="85" t="str">
        <f t="shared" si="24"/>
        <v/>
      </c>
      <c r="CC66" s="31"/>
      <c r="CD66" s="31"/>
      <c r="CE66" s="85" t="str">
        <f t="shared" si="25"/>
        <v/>
      </c>
      <c r="CF66" s="31"/>
      <c r="CG66" s="31"/>
      <c r="CH66" s="85" t="str">
        <f t="shared" si="26"/>
        <v/>
      </c>
      <c r="CI66" s="65"/>
      <c r="CJ66" s="65"/>
      <c r="CK66" s="85" t="str">
        <f t="shared" si="27"/>
        <v/>
      </c>
      <c r="CL66" s="66"/>
      <c r="CM66" s="66"/>
      <c r="CN66" s="85" t="str">
        <f t="shared" si="28"/>
        <v/>
      </c>
      <c r="CQ66" s="85" t="str">
        <f t="shared" si="29"/>
        <v/>
      </c>
    </row>
    <row r="67" spans="1:95" x14ac:dyDescent="0.3">
      <c r="A67" s="31" t="s">
        <v>355</v>
      </c>
      <c r="B67" s="31" t="s">
        <v>346</v>
      </c>
      <c r="C67" s="30" t="s">
        <v>75</v>
      </c>
      <c r="D67" s="31" t="s">
        <v>1</v>
      </c>
      <c r="G67" s="85" t="str">
        <f t="shared" si="0"/>
        <v/>
      </c>
      <c r="H67" s="31"/>
      <c r="I67" s="31"/>
      <c r="J67" s="85" t="str">
        <f t="shared" ref="J67:J130" si="30">IFERROR(I67/H67,"")</f>
        <v/>
      </c>
      <c r="K67" s="31"/>
      <c r="L67" s="31"/>
      <c r="M67" s="85" t="str">
        <f t="shared" ref="M67:M130" si="31">IFERROR(L67/K67,"")</f>
        <v/>
      </c>
      <c r="N67" s="31"/>
      <c r="O67" s="31"/>
      <c r="P67" s="85" t="str">
        <f t="shared" ref="P67:P130" si="32">IFERROR(O67/N67,"")</f>
        <v/>
      </c>
      <c r="Q67" s="31"/>
      <c r="R67" s="31"/>
      <c r="S67" s="85" t="str">
        <f t="shared" ref="S67:S130" si="33">IFERROR(R67/Q67,"")</f>
        <v/>
      </c>
      <c r="T67" s="31"/>
      <c r="U67" s="31"/>
      <c r="V67" s="85" t="str">
        <f t="shared" ref="V67:V130" si="34">IFERROR(U67/T67,"")</f>
        <v/>
      </c>
      <c r="W67" s="31"/>
      <c r="X67" s="31"/>
      <c r="Y67" s="85" t="str">
        <f t="shared" ref="Y67:Y130" si="35">IFERROR(X67/W67,"")</f>
        <v/>
      </c>
      <c r="Z67" s="31"/>
      <c r="AA67" s="31"/>
      <c r="AB67" s="85" t="str">
        <f t="shared" ref="AB67:AB130" si="36">IFERROR(AA67/Z67,"")</f>
        <v/>
      </c>
      <c r="AC67" s="31"/>
      <c r="AD67" s="31"/>
      <c r="AE67" s="85" t="str">
        <f t="shared" ref="AE67:AE130" si="37">IFERROR(AD67/AC67,"")</f>
        <v/>
      </c>
      <c r="AF67" s="31"/>
      <c r="AG67" s="31"/>
      <c r="AH67" s="85" t="str">
        <f t="shared" ref="AH67:AH130" si="38">IFERROR(AG67/AF67,"")</f>
        <v/>
      </c>
      <c r="AI67" s="31"/>
      <c r="AJ67" s="31"/>
      <c r="AK67" s="85" t="str">
        <f t="shared" ref="AK67:AK130" si="39">IFERROR(AJ67/AI67,"")</f>
        <v/>
      </c>
      <c r="AL67" s="31"/>
      <c r="AM67" s="31"/>
      <c r="AN67" s="85" t="str">
        <f t="shared" ref="AN67:AN130" si="40">IFERROR(AM67/AL67,"")</f>
        <v/>
      </c>
      <c r="AO67" s="31"/>
      <c r="AP67" s="31"/>
      <c r="AQ67" s="85" t="str">
        <f t="shared" ref="AQ67:AQ130" si="41">IFERROR(AP67/AO67,"")</f>
        <v/>
      </c>
      <c r="AR67" s="31"/>
      <c r="AS67" s="31"/>
      <c r="AT67" s="85" t="str">
        <f t="shared" ref="AT67:AT130" si="42">IFERROR(AS67/AR67,"")</f>
        <v/>
      </c>
      <c r="AU67" s="31"/>
      <c r="AV67" s="31"/>
      <c r="AW67" s="85" t="str">
        <f t="shared" ref="AW67:AW130" si="43">IFERROR(AV67/AU67,"")</f>
        <v/>
      </c>
      <c r="AX67" s="33"/>
      <c r="AY67" s="31"/>
      <c r="AZ67" s="85" t="str">
        <f t="shared" ref="AZ67:AZ130" si="44">IFERROR(AY67/AX67,"")</f>
        <v/>
      </c>
      <c r="BA67" s="33"/>
      <c r="BB67" s="31"/>
      <c r="BC67" s="85" t="str">
        <f t="shared" ref="BC67:BC130" si="45">IFERROR(BB67/BA67,"")</f>
        <v/>
      </c>
      <c r="BD67" s="33"/>
      <c r="BE67" s="31"/>
      <c r="BF67" s="85" t="str">
        <f t="shared" ref="BF67:BF130" si="46">IFERROR(BE67/BD67,"")</f>
        <v/>
      </c>
      <c r="BG67" s="33">
        <v>635</v>
      </c>
      <c r="BH67" s="31">
        <v>34000</v>
      </c>
      <c r="BI67" s="85">
        <f t="shared" ref="BI67:BI130" si="47">IFERROR(BH67/BG67,"")</f>
        <v>53.54330708661417</v>
      </c>
      <c r="BJ67" s="33"/>
      <c r="BK67" s="33"/>
      <c r="BL67" s="85" t="str">
        <f t="shared" ref="BL67:BL130" si="48">IFERROR(BK67/BJ67,"")</f>
        <v/>
      </c>
      <c r="BM67" s="33">
        <v>783</v>
      </c>
      <c r="BN67" s="33">
        <v>39000</v>
      </c>
      <c r="BO67" s="85">
        <f t="shared" ref="BO67:BO130" si="49">IFERROR(BN67/BM67,"")</f>
        <v>49.808429118773944</v>
      </c>
      <c r="BP67" s="33"/>
      <c r="BQ67" s="33"/>
      <c r="BR67" s="85" t="str">
        <f t="shared" ref="BR67:BR130" si="50">IFERROR(BQ67/BP67,"")</f>
        <v/>
      </c>
      <c r="BS67" s="33"/>
      <c r="BT67" s="33"/>
      <c r="BU67" s="85" t="str">
        <f t="shared" ref="BU67:BU130" si="51">IFERROR(BT67/BS67,"")</f>
        <v/>
      </c>
      <c r="BV67" s="31"/>
      <c r="BW67" s="31"/>
      <c r="BX67" s="31"/>
      <c r="BY67" s="85" t="str">
        <f t="shared" ref="BY67:BY130" si="52">IFERROR(BX67/BW67,"")</f>
        <v/>
      </c>
      <c r="BZ67" s="31"/>
      <c r="CA67" s="31"/>
      <c r="CB67" s="85" t="str">
        <f t="shared" ref="CB67:CB130" si="53">IFERROR(CA67/BZ67,"")</f>
        <v/>
      </c>
      <c r="CC67" s="31"/>
      <c r="CD67" s="31"/>
      <c r="CE67" s="85" t="str">
        <f t="shared" ref="CE67:CE130" si="54">IFERROR(CD67/CC67,"")</f>
        <v/>
      </c>
      <c r="CF67" s="31"/>
      <c r="CG67" s="31"/>
      <c r="CH67" s="85" t="str">
        <f t="shared" ref="CH67:CH130" si="55">IFERROR(CG67/CF67,"")</f>
        <v/>
      </c>
      <c r="CI67" s="65"/>
      <c r="CJ67" s="65"/>
      <c r="CK67" s="85" t="str">
        <f t="shared" ref="CK67:CK130" si="56">IFERROR(CJ67/CI67,"")</f>
        <v/>
      </c>
      <c r="CL67" s="66"/>
      <c r="CM67" s="66"/>
      <c r="CN67" s="85" t="str">
        <f t="shared" ref="CN67:CN130" si="57">IFERROR(CM67/CL67,"")</f>
        <v/>
      </c>
      <c r="CQ67" s="85" t="str">
        <f t="shared" ref="CQ67:CQ130" si="58">IFERROR(CP67/CO67,"")</f>
        <v/>
      </c>
    </row>
    <row r="68" spans="1:95" x14ac:dyDescent="0.3">
      <c r="A68" s="31" t="s">
        <v>162</v>
      </c>
      <c r="B68" s="31" t="s">
        <v>347</v>
      </c>
      <c r="C68" s="30" t="s">
        <v>75</v>
      </c>
      <c r="D68" s="31" t="s">
        <v>1</v>
      </c>
      <c r="G68" s="85" t="str">
        <f t="shared" ref="G68:G131" si="59">IFERROR(F68/E68,"")</f>
        <v/>
      </c>
      <c r="H68" s="31"/>
      <c r="I68" s="31"/>
      <c r="J68" s="85" t="str">
        <f t="shared" si="30"/>
        <v/>
      </c>
      <c r="K68" s="31"/>
      <c r="L68" s="31"/>
      <c r="M68" s="85" t="str">
        <f t="shared" si="31"/>
        <v/>
      </c>
      <c r="N68" s="31"/>
      <c r="O68" s="31"/>
      <c r="P68" s="85" t="str">
        <f t="shared" si="32"/>
        <v/>
      </c>
      <c r="Q68" s="31"/>
      <c r="R68" s="31"/>
      <c r="S68" s="85" t="str">
        <f t="shared" si="33"/>
        <v/>
      </c>
      <c r="T68" s="31"/>
      <c r="U68" s="31"/>
      <c r="V68" s="85" t="str">
        <f t="shared" si="34"/>
        <v/>
      </c>
      <c r="W68" s="31"/>
      <c r="X68" s="31"/>
      <c r="Y68" s="85" t="str">
        <f t="shared" si="35"/>
        <v/>
      </c>
      <c r="Z68" s="31"/>
      <c r="AA68" s="31"/>
      <c r="AB68" s="85" t="str">
        <f t="shared" si="36"/>
        <v/>
      </c>
      <c r="AC68" s="31"/>
      <c r="AD68" s="31"/>
      <c r="AE68" s="85" t="str">
        <f t="shared" si="37"/>
        <v/>
      </c>
      <c r="AF68" s="31"/>
      <c r="AG68" s="31"/>
      <c r="AH68" s="85" t="str">
        <f t="shared" si="38"/>
        <v/>
      </c>
      <c r="AI68" s="31"/>
      <c r="AJ68" s="31"/>
      <c r="AK68" s="85" t="str">
        <f t="shared" si="39"/>
        <v/>
      </c>
      <c r="AL68" s="31"/>
      <c r="AM68" s="31"/>
      <c r="AN68" s="85" t="str">
        <f t="shared" si="40"/>
        <v/>
      </c>
      <c r="AO68" s="31"/>
      <c r="AP68" s="31"/>
      <c r="AQ68" s="85" t="str">
        <f t="shared" si="41"/>
        <v/>
      </c>
      <c r="AR68" s="31"/>
      <c r="AS68" s="31"/>
      <c r="AT68" s="85" t="str">
        <f t="shared" si="42"/>
        <v/>
      </c>
      <c r="AU68" s="31"/>
      <c r="AV68" s="31"/>
      <c r="AW68" s="85" t="str">
        <f t="shared" si="43"/>
        <v/>
      </c>
      <c r="AX68" s="33">
        <v>118</v>
      </c>
      <c r="AY68" s="31">
        <v>468</v>
      </c>
      <c r="AZ68" s="85">
        <f t="shared" si="44"/>
        <v>3.9661016949152543</v>
      </c>
      <c r="BA68" s="33">
        <v>137</v>
      </c>
      <c r="BB68" s="31">
        <v>546</v>
      </c>
      <c r="BC68" s="85">
        <f t="shared" si="45"/>
        <v>3.9854014598540144</v>
      </c>
      <c r="BD68" s="33"/>
      <c r="BE68" s="31"/>
      <c r="BF68" s="85" t="str">
        <f t="shared" si="46"/>
        <v/>
      </c>
      <c r="BG68" s="33"/>
      <c r="BH68" s="31"/>
      <c r="BI68" s="85" t="str">
        <f t="shared" si="47"/>
        <v/>
      </c>
      <c r="BJ68" s="33"/>
      <c r="BK68" s="33"/>
      <c r="BL68" s="85" t="str">
        <f t="shared" si="48"/>
        <v/>
      </c>
      <c r="BM68" s="33"/>
      <c r="BN68" s="33"/>
      <c r="BO68" s="85" t="str">
        <f t="shared" si="49"/>
        <v/>
      </c>
      <c r="BP68" s="33"/>
      <c r="BQ68" s="33"/>
      <c r="BR68" s="85" t="str">
        <f t="shared" si="50"/>
        <v/>
      </c>
      <c r="BS68" s="33"/>
      <c r="BT68" s="33"/>
      <c r="BU68" s="85" t="str">
        <f t="shared" si="51"/>
        <v/>
      </c>
      <c r="BV68" s="31"/>
      <c r="BW68" s="31"/>
      <c r="BX68" s="31"/>
      <c r="BY68" s="85" t="str">
        <f t="shared" si="52"/>
        <v/>
      </c>
      <c r="BZ68" s="31"/>
      <c r="CA68" s="31"/>
      <c r="CB68" s="85" t="str">
        <f t="shared" si="53"/>
        <v/>
      </c>
      <c r="CC68" s="31"/>
      <c r="CD68" s="31"/>
      <c r="CE68" s="85" t="str">
        <f t="shared" si="54"/>
        <v/>
      </c>
      <c r="CF68" s="31"/>
      <c r="CG68" s="31"/>
      <c r="CH68" s="85" t="str">
        <f t="shared" si="55"/>
        <v/>
      </c>
      <c r="CI68" s="65"/>
      <c r="CJ68" s="65"/>
      <c r="CK68" s="85" t="str">
        <f t="shared" si="56"/>
        <v/>
      </c>
      <c r="CL68" s="66"/>
      <c r="CM68" s="66"/>
      <c r="CN68" s="85" t="str">
        <f t="shared" si="57"/>
        <v/>
      </c>
      <c r="CQ68" s="85" t="str">
        <f t="shared" si="58"/>
        <v/>
      </c>
    </row>
    <row r="69" spans="1:95" x14ac:dyDescent="0.3">
      <c r="A69" s="31" t="s">
        <v>162</v>
      </c>
      <c r="C69" s="30" t="s">
        <v>75</v>
      </c>
      <c r="D69" s="31" t="s">
        <v>1</v>
      </c>
      <c r="G69" s="85" t="str">
        <f t="shared" si="59"/>
        <v/>
      </c>
      <c r="H69" s="31"/>
      <c r="I69" s="31"/>
      <c r="J69" s="85" t="str">
        <f t="shared" si="30"/>
        <v/>
      </c>
      <c r="K69" s="31"/>
      <c r="L69" s="31"/>
      <c r="M69" s="85" t="str">
        <f t="shared" si="31"/>
        <v/>
      </c>
      <c r="N69" s="31"/>
      <c r="O69" s="31"/>
      <c r="P69" s="85" t="str">
        <f t="shared" si="32"/>
        <v/>
      </c>
      <c r="Q69" s="31"/>
      <c r="R69" s="31"/>
      <c r="S69" s="85" t="str">
        <f t="shared" si="33"/>
        <v/>
      </c>
      <c r="T69" s="31"/>
      <c r="U69" s="31"/>
      <c r="V69" s="85" t="str">
        <f t="shared" si="34"/>
        <v/>
      </c>
      <c r="W69" s="31"/>
      <c r="X69" s="31"/>
      <c r="Y69" s="85" t="str">
        <f t="shared" si="35"/>
        <v/>
      </c>
      <c r="Z69" s="31"/>
      <c r="AA69" s="31"/>
      <c r="AB69" s="85" t="str">
        <f t="shared" si="36"/>
        <v/>
      </c>
      <c r="AC69" s="31"/>
      <c r="AD69" s="31"/>
      <c r="AE69" s="85" t="str">
        <f t="shared" si="37"/>
        <v/>
      </c>
      <c r="AF69" s="31"/>
      <c r="AG69" s="31"/>
      <c r="AH69" s="85" t="str">
        <f t="shared" si="38"/>
        <v/>
      </c>
      <c r="AI69" s="31"/>
      <c r="AJ69" s="31"/>
      <c r="AK69" s="85" t="str">
        <f t="shared" si="39"/>
        <v/>
      </c>
      <c r="AL69" s="31"/>
      <c r="AM69" s="31"/>
      <c r="AN69" s="85" t="str">
        <f t="shared" si="40"/>
        <v/>
      </c>
      <c r="AO69" s="31"/>
      <c r="AP69" s="31"/>
      <c r="AQ69" s="85" t="str">
        <f t="shared" si="41"/>
        <v/>
      </c>
      <c r="AR69" s="31"/>
      <c r="AS69" s="31"/>
      <c r="AT69" s="85" t="str">
        <f t="shared" si="42"/>
        <v/>
      </c>
      <c r="AU69" s="31"/>
      <c r="AV69" s="31"/>
      <c r="AW69" s="85" t="str">
        <f t="shared" si="43"/>
        <v/>
      </c>
      <c r="AX69" s="33"/>
      <c r="AY69" s="31"/>
      <c r="AZ69" s="85" t="str">
        <f t="shared" si="44"/>
        <v/>
      </c>
      <c r="BA69" s="33"/>
      <c r="BB69" s="31"/>
      <c r="BC69" s="85" t="str">
        <f t="shared" si="45"/>
        <v/>
      </c>
      <c r="BD69" s="33"/>
      <c r="BE69" s="31"/>
      <c r="BF69" s="85" t="str">
        <f t="shared" si="46"/>
        <v/>
      </c>
      <c r="BG69" s="33"/>
      <c r="BH69" s="31"/>
      <c r="BI69" s="85" t="str">
        <f t="shared" si="47"/>
        <v/>
      </c>
      <c r="BJ69" s="33"/>
      <c r="BK69" s="33"/>
      <c r="BL69" s="85" t="str">
        <f t="shared" si="48"/>
        <v/>
      </c>
      <c r="BM69" s="33"/>
      <c r="BN69" s="33"/>
      <c r="BO69" s="85" t="str">
        <f t="shared" si="49"/>
        <v/>
      </c>
      <c r="BP69" s="33"/>
      <c r="BQ69" s="33"/>
      <c r="BR69" s="85" t="str">
        <f t="shared" si="50"/>
        <v/>
      </c>
      <c r="BS69" s="33"/>
      <c r="BT69" s="33"/>
      <c r="BU69" s="85" t="str">
        <f t="shared" si="51"/>
        <v/>
      </c>
      <c r="BV69" s="31" t="s">
        <v>1</v>
      </c>
      <c r="BW69" s="31"/>
      <c r="BX69" s="31"/>
      <c r="BY69" s="85" t="str">
        <f t="shared" si="52"/>
        <v/>
      </c>
      <c r="BZ69" s="31"/>
      <c r="CA69" s="31"/>
      <c r="CB69" s="85" t="str">
        <f t="shared" si="53"/>
        <v/>
      </c>
      <c r="CC69" s="31"/>
      <c r="CD69" s="31"/>
      <c r="CE69" s="85" t="str">
        <f t="shared" si="54"/>
        <v/>
      </c>
      <c r="CF69" s="31"/>
      <c r="CG69" s="31"/>
      <c r="CH69" s="85" t="str">
        <f t="shared" si="55"/>
        <v/>
      </c>
      <c r="CI69" s="65">
        <v>16035</v>
      </c>
      <c r="CJ69" s="65">
        <v>1454000</v>
      </c>
      <c r="CK69" s="85">
        <f t="shared" si="56"/>
        <v>90.676644839413783</v>
      </c>
      <c r="CL69" s="66">
        <v>13128</v>
      </c>
      <c r="CM69" s="66">
        <v>1279000</v>
      </c>
      <c r="CN69" s="85">
        <f t="shared" si="57"/>
        <v>97.425350396099944</v>
      </c>
      <c r="CQ69" s="85" t="str">
        <f t="shared" si="58"/>
        <v/>
      </c>
    </row>
    <row r="70" spans="1:95" x14ac:dyDescent="0.3">
      <c r="A70" s="31" t="s">
        <v>87</v>
      </c>
      <c r="B70" s="31" t="s">
        <v>345</v>
      </c>
      <c r="C70" s="30" t="s">
        <v>75</v>
      </c>
      <c r="D70" s="31" t="s">
        <v>1</v>
      </c>
      <c r="G70" s="85" t="str">
        <f t="shared" si="59"/>
        <v/>
      </c>
      <c r="H70" s="31"/>
      <c r="I70" s="31"/>
      <c r="J70" s="85" t="str">
        <f t="shared" si="30"/>
        <v/>
      </c>
      <c r="K70" s="31">
        <v>1313.7</v>
      </c>
      <c r="L70" s="31">
        <v>244852</v>
      </c>
      <c r="M70" s="85">
        <f t="shared" si="31"/>
        <v>186.38349699322524</v>
      </c>
      <c r="N70" s="31">
        <v>1457.4</v>
      </c>
      <c r="O70" s="31">
        <v>249714</v>
      </c>
      <c r="P70" s="85">
        <f t="shared" si="32"/>
        <v>171.34211609715931</v>
      </c>
      <c r="Q70" s="31">
        <v>1193.8</v>
      </c>
      <c r="R70" s="31">
        <v>213676</v>
      </c>
      <c r="S70" s="85">
        <f t="shared" si="33"/>
        <v>178.98810521025297</v>
      </c>
      <c r="T70" s="31"/>
      <c r="U70" s="31"/>
      <c r="V70" s="85" t="str">
        <f t="shared" si="34"/>
        <v/>
      </c>
      <c r="W70" s="31"/>
      <c r="X70" s="31"/>
      <c r="Y70" s="85" t="str">
        <f t="shared" si="35"/>
        <v/>
      </c>
      <c r="Z70" s="31"/>
      <c r="AA70" s="31"/>
      <c r="AB70" s="85" t="str">
        <f t="shared" si="36"/>
        <v/>
      </c>
      <c r="AC70" s="31"/>
      <c r="AD70" s="31"/>
      <c r="AE70" s="85" t="str">
        <f t="shared" si="37"/>
        <v/>
      </c>
      <c r="AF70" s="84">
        <v>1313.7</v>
      </c>
      <c r="AG70" s="83">
        <v>244852</v>
      </c>
      <c r="AH70" s="85">
        <f t="shared" si="38"/>
        <v>186.38349699322524</v>
      </c>
      <c r="AI70" s="84">
        <v>1457.4</v>
      </c>
      <c r="AJ70" s="83">
        <v>249714</v>
      </c>
      <c r="AK70" s="85">
        <f t="shared" si="39"/>
        <v>171.34211609715931</v>
      </c>
      <c r="AL70" s="84">
        <v>1193.8</v>
      </c>
      <c r="AM70" s="83">
        <v>213676</v>
      </c>
      <c r="AN70" s="85">
        <f t="shared" si="40"/>
        <v>178.98810521025297</v>
      </c>
      <c r="AO70" s="84">
        <v>1039.4000000000001</v>
      </c>
      <c r="AP70" s="83">
        <v>3994</v>
      </c>
      <c r="AQ70" s="85">
        <f t="shared" si="41"/>
        <v>3.842601500865884</v>
      </c>
      <c r="AR70" s="31"/>
      <c r="AS70" s="31"/>
      <c r="AT70" s="85" t="str">
        <f t="shared" si="42"/>
        <v/>
      </c>
      <c r="AU70" s="31"/>
      <c r="AV70" s="31"/>
      <c r="AW70" s="85" t="str">
        <f t="shared" si="43"/>
        <v/>
      </c>
      <c r="AX70" s="33"/>
      <c r="AY70" s="31"/>
      <c r="AZ70" s="85" t="str">
        <f t="shared" si="44"/>
        <v/>
      </c>
      <c r="BA70" s="33"/>
      <c r="BB70" s="31"/>
      <c r="BC70" s="85" t="str">
        <f t="shared" si="45"/>
        <v/>
      </c>
      <c r="BD70" s="33"/>
      <c r="BE70" s="31"/>
      <c r="BF70" s="85" t="str">
        <f t="shared" si="46"/>
        <v/>
      </c>
      <c r="BG70" s="33"/>
      <c r="BH70" s="31"/>
      <c r="BI70" s="85" t="str">
        <f t="shared" si="47"/>
        <v/>
      </c>
      <c r="BJ70" s="33"/>
      <c r="BK70" s="33"/>
      <c r="BL70" s="85" t="str">
        <f t="shared" si="48"/>
        <v/>
      </c>
      <c r="BM70" s="33"/>
      <c r="BN70" s="33"/>
      <c r="BO70" s="85" t="str">
        <f t="shared" si="49"/>
        <v/>
      </c>
      <c r="BP70" s="33"/>
      <c r="BQ70" s="33"/>
      <c r="BR70" s="85" t="str">
        <f t="shared" si="50"/>
        <v/>
      </c>
      <c r="BS70" s="33"/>
      <c r="BT70" s="33"/>
      <c r="BU70" s="85" t="str">
        <f t="shared" si="51"/>
        <v/>
      </c>
      <c r="BV70" s="31"/>
      <c r="BW70" s="31"/>
      <c r="BX70" s="31"/>
      <c r="BY70" s="85" t="str">
        <f t="shared" si="52"/>
        <v/>
      </c>
      <c r="BZ70" s="31"/>
      <c r="CA70" s="31"/>
      <c r="CB70" s="85" t="str">
        <f t="shared" si="53"/>
        <v/>
      </c>
      <c r="CC70" s="31"/>
      <c r="CD70" s="31"/>
      <c r="CE70" s="85" t="str">
        <f t="shared" si="54"/>
        <v/>
      </c>
      <c r="CF70" s="31"/>
      <c r="CG70" s="31"/>
      <c r="CH70" s="85" t="str">
        <f t="shared" si="55"/>
        <v/>
      </c>
      <c r="CI70" s="65"/>
      <c r="CJ70" s="65"/>
      <c r="CK70" s="85" t="str">
        <f t="shared" si="56"/>
        <v/>
      </c>
      <c r="CL70" s="66"/>
      <c r="CM70" s="66"/>
      <c r="CN70" s="85" t="str">
        <f t="shared" si="57"/>
        <v/>
      </c>
      <c r="CQ70" s="85" t="str">
        <f t="shared" si="58"/>
        <v/>
      </c>
    </row>
    <row r="71" spans="1:95" x14ac:dyDescent="0.3">
      <c r="A71" s="31" t="s">
        <v>399</v>
      </c>
      <c r="C71" s="30" t="s">
        <v>75</v>
      </c>
      <c r="D71" s="31" t="s">
        <v>1</v>
      </c>
      <c r="G71" s="85" t="str">
        <f t="shared" si="59"/>
        <v/>
      </c>
      <c r="H71" s="31"/>
      <c r="I71" s="31"/>
      <c r="J71" s="85" t="str">
        <f t="shared" si="30"/>
        <v/>
      </c>
      <c r="K71" s="31"/>
      <c r="L71" s="31"/>
      <c r="M71" s="85" t="str">
        <f t="shared" si="31"/>
        <v/>
      </c>
      <c r="N71" s="31"/>
      <c r="O71" s="31"/>
      <c r="P71" s="85" t="str">
        <f t="shared" si="32"/>
        <v/>
      </c>
      <c r="Q71" s="31"/>
      <c r="R71" s="31"/>
      <c r="S71" s="85" t="str">
        <f t="shared" si="33"/>
        <v/>
      </c>
      <c r="T71" s="31"/>
      <c r="U71" s="31"/>
      <c r="V71" s="85" t="str">
        <f t="shared" si="34"/>
        <v/>
      </c>
      <c r="W71" s="31"/>
      <c r="X71" s="31"/>
      <c r="Y71" s="85" t="str">
        <f t="shared" si="35"/>
        <v/>
      </c>
      <c r="Z71" s="31"/>
      <c r="AA71" s="31"/>
      <c r="AB71" s="85" t="str">
        <f t="shared" si="36"/>
        <v/>
      </c>
      <c r="AC71" s="31"/>
      <c r="AD71" s="31"/>
      <c r="AE71" s="85" t="str">
        <f t="shared" si="37"/>
        <v/>
      </c>
      <c r="AF71" s="31"/>
      <c r="AG71" s="31"/>
      <c r="AH71" s="85" t="str">
        <f t="shared" si="38"/>
        <v/>
      </c>
      <c r="AI71" s="31"/>
      <c r="AJ71" s="31"/>
      <c r="AK71" s="85" t="str">
        <f t="shared" si="39"/>
        <v/>
      </c>
      <c r="AL71" s="31"/>
      <c r="AM71" s="31"/>
      <c r="AN71" s="85" t="str">
        <f t="shared" si="40"/>
        <v/>
      </c>
      <c r="AO71" s="31"/>
      <c r="AP71" s="31"/>
      <c r="AQ71" s="85" t="str">
        <f t="shared" si="41"/>
        <v/>
      </c>
      <c r="AR71" s="31"/>
      <c r="AS71" s="31"/>
      <c r="AT71" s="85" t="str">
        <f t="shared" si="42"/>
        <v/>
      </c>
      <c r="AU71" s="31"/>
      <c r="AV71" s="31"/>
      <c r="AW71" s="85" t="str">
        <f t="shared" si="43"/>
        <v/>
      </c>
      <c r="AX71" s="33"/>
      <c r="AY71" s="31"/>
      <c r="AZ71" s="85" t="str">
        <f t="shared" si="44"/>
        <v/>
      </c>
      <c r="BA71" s="33"/>
      <c r="BB71" s="31"/>
      <c r="BC71" s="85" t="str">
        <f t="shared" si="45"/>
        <v/>
      </c>
      <c r="BD71" s="33"/>
      <c r="BE71" s="31"/>
      <c r="BF71" s="85" t="str">
        <f t="shared" si="46"/>
        <v/>
      </c>
      <c r="BG71" s="33"/>
      <c r="BH71" s="31"/>
      <c r="BI71" s="85" t="str">
        <f t="shared" si="47"/>
        <v/>
      </c>
      <c r="BJ71" s="33"/>
      <c r="BK71" s="33"/>
      <c r="BL71" s="85" t="str">
        <f t="shared" si="48"/>
        <v/>
      </c>
      <c r="BM71" s="33"/>
      <c r="BN71" s="33"/>
      <c r="BO71" s="85" t="str">
        <f t="shared" si="49"/>
        <v/>
      </c>
      <c r="BP71" s="33"/>
      <c r="BQ71" s="33"/>
      <c r="BR71" s="85" t="str">
        <f t="shared" si="50"/>
        <v/>
      </c>
      <c r="BS71" s="33"/>
      <c r="BT71" s="33"/>
      <c r="BU71" s="85" t="str">
        <f t="shared" si="51"/>
        <v/>
      </c>
      <c r="BV71" s="31" t="s">
        <v>1</v>
      </c>
      <c r="BW71" s="31"/>
      <c r="BX71" s="31"/>
      <c r="BY71" s="85" t="str">
        <f t="shared" si="52"/>
        <v/>
      </c>
      <c r="BZ71" s="31"/>
      <c r="CA71" s="31"/>
      <c r="CB71" s="85" t="str">
        <f t="shared" si="53"/>
        <v/>
      </c>
      <c r="CC71" s="31"/>
      <c r="CD71" s="31"/>
      <c r="CE71" s="85" t="str">
        <f t="shared" si="54"/>
        <v/>
      </c>
      <c r="CF71" s="31"/>
      <c r="CG71" s="31"/>
      <c r="CH71" s="85" t="str">
        <f t="shared" si="55"/>
        <v/>
      </c>
      <c r="CI71" s="65">
        <v>15837</v>
      </c>
      <c r="CJ71" s="65">
        <v>1450000</v>
      </c>
      <c r="CK71" s="85">
        <f t="shared" si="56"/>
        <v>91.557744522321144</v>
      </c>
      <c r="CL71" s="66">
        <v>18027</v>
      </c>
      <c r="CM71" s="66">
        <v>1606000</v>
      </c>
      <c r="CN71" s="85">
        <f t="shared" si="57"/>
        <v>89.088589338214902</v>
      </c>
      <c r="CQ71" s="85" t="str">
        <f t="shared" si="58"/>
        <v/>
      </c>
    </row>
    <row r="72" spans="1:95" x14ac:dyDescent="0.3">
      <c r="A72" s="31" t="s">
        <v>398</v>
      </c>
      <c r="C72" s="30" t="s">
        <v>75</v>
      </c>
      <c r="D72" s="31" t="s">
        <v>1</v>
      </c>
      <c r="G72" s="85" t="str">
        <f t="shared" si="59"/>
        <v/>
      </c>
      <c r="H72" s="31"/>
      <c r="I72" s="31"/>
      <c r="J72" s="85" t="str">
        <f t="shared" si="30"/>
        <v/>
      </c>
      <c r="K72" s="31"/>
      <c r="L72" s="31"/>
      <c r="M72" s="85" t="str">
        <f t="shared" si="31"/>
        <v/>
      </c>
      <c r="N72" s="31"/>
      <c r="O72" s="31"/>
      <c r="P72" s="85" t="str">
        <f t="shared" si="32"/>
        <v/>
      </c>
      <c r="Q72" s="31"/>
      <c r="R72" s="31"/>
      <c r="S72" s="85" t="str">
        <f t="shared" si="33"/>
        <v/>
      </c>
      <c r="T72" s="31"/>
      <c r="U72" s="31"/>
      <c r="V72" s="85" t="str">
        <f t="shared" si="34"/>
        <v/>
      </c>
      <c r="W72" s="31"/>
      <c r="X72" s="31"/>
      <c r="Y72" s="85" t="str">
        <f t="shared" si="35"/>
        <v/>
      </c>
      <c r="Z72" s="31"/>
      <c r="AA72" s="31"/>
      <c r="AB72" s="85" t="str">
        <f t="shared" si="36"/>
        <v/>
      </c>
      <c r="AC72" s="31"/>
      <c r="AD72" s="31"/>
      <c r="AE72" s="85" t="str">
        <f t="shared" si="37"/>
        <v/>
      </c>
      <c r="AF72" s="31"/>
      <c r="AG72" s="31"/>
      <c r="AH72" s="85" t="str">
        <f t="shared" si="38"/>
        <v/>
      </c>
      <c r="AI72" s="31"/>
      <c r="AJ72" s="31"/>
      <c r="AK72" s="85" t="str">
        <f t="shared" si="39"/>
        <v/>
      </c>
      <c r="AL72" s="31"/>
      <c r="AM72" s="31"/>
      <c r="AN72" s="85" t="str">
        <f t="shared" si="40"/>
        <v/>
      </c>
      <c r="AO72" s="31"/>
      <c r="AP72" s="31"/>
      <c r="AQ72" s="85" t="str">
        <f t="shared" si="41"/>
        <v/>
      </c>
      <c r="AR72" s="31"/>
      <c r="AS72" s="31"/>
      <c r="AT72" s="85" t="str">
        <f t="shared" si="42"/>
        <v/>
      </c>
      <c r="AU72" s="31"/>
      <c r="AV72" s="31"/>
      <c r="AW72" s="85" t="str">
        <f t="shared" si="43"/>
        <v/>
      </c>
      <c r="AX72" s="33"/>
      <c r="AY72" s="31"/>
      <c r="AZ72" s="85" t="str">
        <f t="shared" si="44"/>
        <v/>
      </c>
      <c r="BA72" s="33"/>
      <c r="BB72" s="31"/>
      <c r="BC72" s="85" t="str">
        <f t="shared" si="45"/>
        <v/>
      </c>
      <c r="BD72" s="33"/>
      <c r="BE72" s="31"/>
      <c r="BF72" s="85" t="str">
        <f t="shared" si="46"/>
        <v/>
      </c>
      <c r="BG72" s="33"/>
      <c r="BH72" s="31"/>
      <c r="BI72" s="85" t="str">
        <f t="shared" si="47"/>
        <v/>
      </c>
      <c r="BJ72" s="33"/>
      <c r="BK72" s="33"/>
      <c r="BL72" s="85" t="str">
        <f t="shared" si="48"/>
        <v/>
      </c>
      <c r="BM72" s="33"/>
      <c r="BN72" s="33"/>
      <c r="BO72" s="85" t="str">
        <f t="shared" si="49"/>
        <v/>
      </c>
      <c r="BP72" s="33"/>
      <c r="BQ72" s="33"/>
      <c r="BR72" s="85" t="str">
        <f t="shared" si="50"/>
        <v/>
      </c>
      <c r="BS72" s="33"/>
      <c r="BT72" s="33"/>
      <c r="BU72" s="85" t="str">
        <f t="shared" si="51"/>
        <v/>
      </c>
      <c r="BV72" s="31" t="s">
        <v>1</v>
      </c>
      <c r="BW72" s="31"/>
      <c r="BX72" s="31"/>
      <c r="BY72" s="85" t="str">
        <f t="shared" si="52"/>
        <v/>
      </c>
      <c r="BZ72" s="31"/>
      <c r="CA72" s="31"/>
      <c r="CB72" s="85" t="str">
        <f t="shared" si="53"/>
        <v/>
      </c>
      <c r="CC72" s="31"/>
      <c r="CD72" s="31"/>
      <c r="CE72" s="85" t="str">
        <f t="shared" si="54"/>
        <v/>
      </c>
      <c r="CF72" s="31"/>
      <c r="CG72" s="31"/>
      <c r="CH72" s="85" t="str">
        <f t="shared" si="55"/>
        <v/>
      </c>
      <c r="CI72" s="65">
        <v>5627</v>
      </c>
      <c r="CJ72" s="65">
        <v>684000</v>
      </c>
      <c r="CK72" s="85">
        <f t="shared" si="56"/>
        <v>121.55677981162253</v>
      </c>
      <c r="CL72" s="66">
        <v>6085</v>
      </c>
      <c r="CM72" s="66">
        <v>763000</v>
      </c>
      <c r="CN72" s="85">
        <f t="shared" si="57"/>
        <v>125.39030402629416</v>
      </c>
      <c r="CQ72" s="85" t="str">
        <f t="shared" si="58"/>
        <v/>
      </c>
    </row>
    <row r="73" spans="1:95" x14ac:dyDescent="0.3">
      <c r="A73" s="31" t="s">
        <v>163</v>
      </c>
      <c r="C73" s="30" t="s">
        <v>75</v>
      </c>
      <c r="D73" s="31" t="s">
        <v>1</v>
      </c>
      <c r="G73" s="85" t="str">
        <f t="shared" si="59"/>
        <v/>
      </c>
      <c r="H73" s="31"/>
      <c r="I73" s="31"/>
      <c r="J73" s="85" t="str">
        <f t="shared" si="30"/>
        <v/>
      </c>
      <c r="K73" s="31"/>
      <c r="L73" s="31"/>
      <c r="M73" s="85" t="str">
        <f t="shared" si="31"/>
        <v/>
      </c>
      <c r="N73" s="31"/>
      <c r="O73" s="31"/>
      <c r="P73" s="85" t="str">
        <f t="shared" si="32"/>
        <v/>
      </c>
      <c r="Q73" s="31"/>
      <c r="R73" s="31"/>
      <c r="S73" s="85" t="str">
        <f t="shared" si="33"/>
        <v/>
      </c>
      <c r="T73" s="31"/>
      <c r="U73" s="31"/>
      <c r="V73" s="85" t="str">
        <f t="shared" si="34"/>
        <v/>
      </c>
      <c r="W73" s="31"/>
      <c r="X73" s="31"/>
      <c r="Y73" s="85" t="str">
        <f t="shared" si="35"/>
        <v/>
      </c>
      <c r="Z73" s="31"/>
      <c r="AA73" s="31"/>
      <c r="AB73" s="85" t="str">
        <f t="shared" si="36"/>
        <v/>
      </c>
      <c r="AC73" s="31"/>
      <c r="AD73" s="31"/>
      <c r="AE73" s="85" t="str">
        <f t="shared" si="37"/>
        <v/>
      </c>
      <c r="AF73" s="31"/>
      <c r="AG73" s="31"/>
      <c r="AH73" s="85" t="str">
        <f t="shared" si="38"/>
        <v/>
      </c>
      <c r="AI73" s="31"/>
      <c r="AJ73" s="31"/>
      <c r="AK73" s="85" t="str">
        <f t="shared" si="39"/>
        <v/>
      </c>
      <c r="AL73" s="31"/>
      <c r="AM73" s="31"/>
      <c r="AN73" s="85" t="str">
        <f t="shared" si="40"/>
        <v/>
      </c>
      <c r="AO73" s="31"/>
      <c r="AP73" s="31"/>
      <c r="AQ73" s="85" t="str">
        <f t="shared" si="41"/>
        <v/>
      </c>
      <c r="AR73" s="31"/>
      <c r="AS73" s="31"/>
      <c r="AT73" s="85" t="str">
        <f t="shared" si="42"/>
        <v/>
      </c>
      <c r="AU73" s="31"/>
      <c r="AV73" s="31"/>
      <c r="AW73" s="85" t="str">
        <f t="shared" si="43"/>
        <v/>
      </c>
      <c r="AX73" s="33"/>
      <c r="AY73" s="31"/>
      <c r="AZ73" s="85" t="str">
        <f t="shared" si="44"/>
        <v/>
      </c>
      <c r="BA73" s="33"/>
      <c r="BB73" s="31"/>
      <c r="BC73" s="85" t="str">
        <f t="shared" si="45"/>
        <v/>
      </c>
      <c r="BD73" s="33"/>
      <c r="BE73" s="31"/>
      <c r="BF73" s="85" t="str">
        <f t="shared" si="46"/>
        <v/>
      </c>
      <c r="BG73" s="33"/>
      <c r="BH73" s="31"/>
      <c r="BI73" s="85" t="str">
        <f t="shared" si="47"/>
        <v/>
      </c>
      <c r="BJ73" s="33"/>
      <c r="BK73" s="33"/>
      <c r="BL73" s="85" t="str">
        <f t="shared" si="48"/>
        <v/>
      </c>
      <c r="BM73" s="33"/>
      <c r="BN73" s="33"/>
      <c r="BO73" s="85" t="str">
        <f t="shared" si="49"/>
        <v/>
      </c>
      <c r="BP73" s="33"/>
      <c r="BQ73" s="33"/>
      <c r="BR73" s="85" t="str">
        <f t="shared" si="50"/>
        <v/>
      </c>
      <c r="BS73" s="33"/>
      <c r="BT73" s="33"/>
      <c r="BU73" s="85" t="str">
        <f t="shared" si="51"/>
        <v/>
      </c>
      <c r="BV73" s="31" t="s">
        <v>1</v>
      </c>
      <c r="BW73" s="31"/>
      <c r="BX73" s="31"/>
      <c r="BY73" s="85" t="str">
        <f t="shared" si="52"/>
        <v/>
      </c>
      <c r="BZ73" s="31"/>
      <c r="CA73" s="31"/>
      <c r="CB73" s="85" t="str">
        <f t="shared" si="53"/>
        <v/>
      </c>
      <c r="CC73" s="31"/>
      <c r="CD73" s="31"/>
      <c r="CE73" s="85" t="str">
        <f t="shared" si="54"/>
        <v/>
      </c>
      <c r="CF73" s="31"/>
      <c r="CG73" s="31"/>
      <c r="CH73" s="85" t="str">
        <f t="shared" si="55"/>
        <v/>
      </c>
      <c r="CI73" s="65">
        <v>3074</v>
      </c>
      <c r="CJ73" s="65">
        <v>529000</v>
      </c>
      <c r="CK73" s="85">
        <f t="shared" si="56"/>
        <v>172.08848405985685</v>
      </c>
      <c r="CL73" s="66">
        <v>2935</v>
      </c>
      <c r="CM73" s="66">
        <v>554000</v>
      </c>
      <c r="CN73" s="85">
        <f t="shared" si="57"/>
        <v>188.75638841567292</v>
      </c>
      <c r="CQ73" s="85" t="str">
        <f t="shared" si="58"/>
        <v/>
      </c>
    </row>
    <row r="74" spans="1:95" x14ac:dyDescent="0.3">
      <c r="A74" s="31" t="s">
        <v>400</v>
      </c>
      <c r="C74" s="30" t="s">
        <v>75</v>
      </c>
      <c r="D74" s="31" t="s">
        <v>1</v>
      </c>
      <c r="G74" s="85" t="str">
        <f t="shared" si="59"/>
        <v/>
      </c>
      <c r="H74" s="31"/>
      <c r="I74" s="31"/>
      <c r="J74" s="85" t="str">
        <f t="shared" si="30"/>
        <v/>
      </c>
      <c r="K74" s="31"/>
      <c r="L74" s="31"/>
      <c r="M74" s="85" t="str">
        <f t="shared" si="31"/>
        <v/>
      </c>
      <c r="N74" s="31"/>
      <c r="O74" s="31"/>
      <c r="P74" s="85" t="str">
        <f t="shared" si="32"/>
        <v/>
      </c>
      <c r="Q74" s="31"/>
      <c r="R74" s="31"/>
      <c r="S74" s="85" t="str">
        <f t="shared" si="33"/>
        <v/>
      </c>
      <c r="T74" s="31"/>
      <c r="U74" s="31"/>
      <c r="V74" s="85" t="str">
        <f t="shared" si="34"/>
        <v/>
      </c>
      <c r="W74" s="31"/>
      <c r="X74" s="31"/>
      <c r="Y74" s="85" t="str">
        <f t="shared" si="35"/>
        <v/>
      </c>
      <c r="Z74" s="31"/>
      <c r="AA74" s="31"/>
      <c r="AB74" s="85" t="str">
        <f t="shared" si="36"/>
        <v/>
      </c>
      <c r="AC74" s="31"/>
      <c r="AD74" s="31"/>
      <c r="AE74" s="85" t="str">
        <f t="shared" si="37"/>
        <v/>
      </c>
      <c r="AF74" s="31"/>
      <c r="AG74" s="31"/>
      <c r="AH74" s="85" t="str">
        <f t="shared" si="38"/>
        <v/>
      </c>
      <c r="AI74" s="31"/>
      <c r="AJ74" s="31"/>
      <c r="AK74" s="85" t="str">
        <f t="shared" si="39"/>
        <v/>
      </c>
      <c r="AL74" s="31"/>
      <c r="AM74" s="31"/>
      <c r="AN74" s="85" t="str">
        <f t="shared" si="40"/>
        <v/>
      </c>
      <c r="AO74" s="31"/>
      <c r="AP74" s="31"/>
      <c r="AQ74" s="85" t="str">
        <f t="shared" si="41"/>
        <v/>
      </c>
      <c r="AR74" s="31"/>
      <c r="AS74" s="31"/>
      <c r="AT74" s="85" t="str">
        <f t="shared" si="42"/>
        <v/>
      </c>
      <c r="AU74" s="31"/>
      <c r="AV74" s="31"/>
      <c r="AW74" s="85" t="str">
        <f t="shared" si="43"/>
        <v/>
      </c>
      <c r="AX74" s="33"/>
      <c r="AY74" s="31"/>
      <c r="AZ74" s="85" t="str">
        <f t="shared" si="44"/>
        <v/>
      </c>
      <c r="BA74" s="33"/>
      <c r="BB74" s="31"/>
      <c r="BC74" s="85" t="str">
        <f t="shared" si="45"/>
        <v/>
      </c>
      <c r="BD74" s="33"/>
      <c r="BE74" s="31"/>
      <c r="BF74" s="85" t="str">
        <f t="shared" si="46"/>
        <v/>
      </c>
      <c r="BG74" s="33"/>
      <c r="BH74" s="31"/>
      <c r="BI74" s="85" t="str">
        <f t="shared" si="47"/>
        <v/>
      </c>
      <c r="BJ74" s="33"/>
      <c r="BK74" s="33"/>
      <c r="BL74" s="85" t="str">
        <f t="shared" si="48"/>
        <v/>
      </c>
      <c r="BM74" s="33"/>
      <c r="BN74" s="33"/>
      <c r="BO74" s="85" t="str">
        <f t="shared" si="49"/>
        <v/>
      </c>
      <c r="BP74" s="33"/>
      <c r="BQ74" s="33"/>
      <c r="BR74" s="85" t="str">
        <f t="shared" si="50"/>
        <v/>
      </c>
      <c r="BS74" s="33"/>
      <c r="BT74" s="33"/>
      <c r="BU74" s="85" t="str">
        <f t="shared" si="51"/>
        <v/>
      </c>
      <c r="BV74" s="31" t="s">
        <v>1</v>
      </c>
      <c r="BW74" s="31"/>
      <c r="BX74" s="31"/>
      <c r="BY74" s="85" t="str">
        <f t="shared" si="52"/>
        <v/>
      </c>
      <c r="BZ74" s="31"/>
      <c r="CA74" s="31"/>
      <c r="CB74" s="85" t="str">
        <f t="shared" si="53"/>
        <v/>
      </c>
      <c r="CC74" s="31"/>
      <c r="CD74" s="31"/>
      <c r="CE74" s="85" t="str">
        <f t="shared" si="54"/>
        <v/>
      </c>
      <c r="CF74" s="31"/>
      <c r="CG74" s="31"/>
      <c r="CH74" s="85" t="str">
        <f t="shared" si="55"/>
        <v/>
      </c>
      <c r="CI74" s="65">
        <v>24689</v>
      </c>
      <c r="CJ74" s="65">
        <v>3555000</v>
      </c>
      <c r="CK74" s="85">
        <f t="shared" si="56"/>
        <v>143.99125116448621</v>
      </c>
      <c r="CL74" s="66">
        <v>25862</v>
      </c>
      <c r="CM74" s="66">
        <v>3988000</v>
      </c>
      <c r="CN74" s="85">
        <f t="shared" si="57"/>
        <v>154.20307787487434</v>
      </c>
      <c r="CQ74" s="85" t="str">
        <f t="shared" si="58"/>
        <v/>
      </c>
    </row>
    <row r="75" spans="1:95" x14ac:dyDescent="0.3">
      <c r="A75" s="31" t="s">
        <v>300</v>
      </c>
      <c r="C75" s="30" t="s">
        <v>75</v>
      </c>
      <c r="D75" s="31" t="s">
        <v>1</v>
      </c>
      <c r="G75" s="85" t="str">
        <f t="shared" si="59"/>
        <v/>
      </c>
      <c r="H75" s="31"/>
      <c r="I75" s="31"/>
      <c r="J75" s="85" t="str">
        <f t="shared" si="30"/>
        <v/>
      </c>
      <c r="K75" s="31"/>
      <c r="L75" s="31"/>
      <c r="M75" s="85" t="str">
        <f t="shared" si="31"/>
        <v/>
      </c>
      <c r="N75" s="31"/>
      <c r="O75" s="31"/>
      <c r="P75" s="85" t="str">
        <f t="shared" si="32"/>
        <v/>
      </c>
      <c r="Q75" s="31"/>
      <c r="R75" s="31"/>
      <c r="S75" s="85" t="str">
        <f t="shared" si="33"/>
        <v/>
      </c>
      <c r="T75" s="31"/>
      <c r="U75" s="31"/>
      <c r="V75" s="85" t="str">
        <f t="shared" si="34"/>
        <v/>
      </c>
      <c r="W75" s="31"/>
      <c r="X75" s="31"/>
      <c r="Y75" s="85" t="str">
        <f t="shared" si="35"/>
        <v/>
      </c>
      <c r="Z75" s="31"/>
      <c r="AA75" s="31"/>
      <c r="AB75" s="85" t="str">
        <f t="shared" si="36"/>
        <v/>
      </c>
      <c r="AC75" s="31"/>
      <c r="AD75" s="31"/>
      <c r="AE75" s="85" t="str">
        <f t="shared" si="37"/>
        <v/>
      </c>
      <c r="AF75" s="31"/>
      <c r="AG75" s="31"/>
      <c r="AH75" s="85" t="str">
        <f t="shared" si="38"/>
        <v/>
      </c>
      <c r="AI75" s="31"/>
      <c r="AJ75" s="31"/>
      <c r="AK75" s="85" t="str">
        <f t="shared" si="39"/>
        <v/>
      </c>
      <c r="AL75" s="31"/>
      <c r="AM75" s="31"/>
      <c r="AN75" s="85" t="str">
        <f t="shared" si="40"/>
        <v/>
      </c>
      <c r="AO75" s="31"/>
      <c r="AP75" s="31"/>
      <c r="AQ75" s="85" t="str">
        <f t="shared" si="41"/>
        <v/>
      </c>
      <c r="AR75" s="31"/>
      <c r="AS75" s="31"/>
      <c r="AT75" s="85" t="str">
        <f t="shared" si="42"/>
        <v/>
      </c>
      <c r="AU75" s="31"/>
      <c r="AV75" s="31"/>
      <c r="AW75" s="85" t="str">
        <f t="shared" si="43"/>
        <v/>
      </c>
      <c r="AX75" s="33"/>
      <c r="AY75" s="31"/>
      <c r="AZ75" s="85" t="str">
        <f t="shared" si="44"/>
        <v/>
      </c>
      <c r="BA75" s="33">
        <v>104</v>
      </c>
      <c r="BB75" s="31">
        <v>10000</v>
      </c>
      <c r="BC75" s="85">
        <f t="shared" si="45"/>
        <v>96.15384615384616</v>
      </c>
      <c r="BD75" s="33">
        <v>6</v>
      </c>
      <c r="BE75" s="31">
        <v>1700</v>
      </c>
      <c r="BF75" s="85">
        <f t="shared" si="46"/>
        <v>283.33333333333331</v>
      </c>
      <c r="BG75" s="33"/>
      <c r="BH75" s="31"/>
      <c r="BI75" s="85" t="str">
        <f t="shared" si="47"/>
        <v/>
      </c>
      <c r="BJ75" s="33"/>
      <c r="BK75" s="33"/>
      <c r="BL75" s="85" t="str">
        <f t="shared" si="48"/>
        <v/>
      </c>
      <c r="BM75" s="33"/>
      <c r="BN75" s="33"/>
      <c r="BO75" s="85" t="str">
        <f t="shared" si="49"/>
        <v/>
      </c>
      <c r="BP75" s="33"/>
      <c r="BQ75" s="33"/>
      <c r="BR75" s="85" t="str">
        <f t="shared" si="50"/>
        <v/>
      </c>
      <c r="BS75" s="33"/>
      <c r="BT75" s="33"/>
      <c r="BU75" s="85" t="str">
        <f t="shared" si="51"/>
        <v/>
      </c>
      <c r="BV75" s="31" t="s">
        <v>1</v>
      </c>
      <c r="BW75" s="31"/>
      <c r="BX75" s="31"/>
      <c r="BY75" s="85" t="str">
        <f t="shared" si="52"/>
        <v/>
      </c>
      <c r="BZ75" s="31"/>
      <c r="CA75" s="31"/>
      <c r="CB75" s="85" t="str">
        <f t="shared" si="53"/>
        <v/>
      </c>
      <c r="CC75" s="31"/>
      <c r="CD75" s="31"/>
      <c r="CE75" s="85" t="str">
        <f t="shared" si="54"/>
        <v/>
      </c>
      <c r="CF75" s="31"/>
      <c r="CG75" s="31"/>
      <c r="CH75" s="85" t="str">
        <f t="shared" si="55"/>
        <v/>
      </c>
      <c r="CI75" s="65">
        <v>450</v>
      </c>
      <c r="CJ75" s="65">
        <v>136000</v>
      </c>
      <c r="CK75" s="85">
        <f t="shared" si="56"/>
        <v>302.22222222222223</v>
      </c>
      <c r="CL75" s="66">
        <v>303</v>
      </c>
      <c r="CM75" s="66">
        <v>116000</v>
      </c>
      <c r="CN75" s="85">
        <f t="shared" si="57"/>
        <v>382.83828382838283</v>
      </c>
      <c r="CQ75" s="85" t="str">
        <f t="shared" si="58"/>
        <v/>
      </c>
    </row>
    <row r="76" spans="1:95" x14ac:dyDescent="0.3">
      <c r="A76" s="31" t="s">
        <v>164</v>
      </c>
      <c r="C76" s="30" t="s">
        <v>75</v>
      </c>
      <c r="D76" s="31" t="s">
        <v>1</v>
      </c>
      <c r="G76" s="85" t="str">
        <f t="shared" si="59"/>
        <v/>
      </c>
      <c r="H76" s="31"/>
      <c r="I76" s="31"/>
      <c r="J76" s="85" t="str">
        <f t="shared" si="30"/>
        <v/>
      </c>
      <c r="K76" s="31"/>
      <c r="L76" s="31"/>
      <c r="M76" s="85" t="str">
        <f t="shared" si="31"/>
        <v/>
      </c>
      <c r="N76" s="31"/>
      <c r="O76" s="31"/>
      <c r="P76" s="85" t="str">
        <f t="shared" si="32"/>
        <v/>
      </c>
      <c r="Q76" s="31"/>
      <c r="R76" s="31"/>
      <c r="S76" s="85" t="str">
        <f t="shared" si="33"/>
        <v/>
      </c>
      <c r="T76" s="31"/>
      <c r="U76" s="31"/>
      <c r="V76" s="85" t="str">
        <f t="shared" si="34"/>
        <v/>
      </c>
      <c r="W76" s="31"/>
      <c r="X76" s="31"/>
      <c r="Y76" s="85" t="str">
        <f t="shared" si="35"/>
        <v/>
      </c>
      <c r="Z76" s="31"/>
      <c r="AA76" s="31"/>
      <c r="AB76" s="85" t="str">
        <f t="shared" si="36"/>
        <v/>
      </c>
      <c r="AC76" s="31"/>
      <c r="AD76" s="31"/>
      <c r="AE76" s="85" t="str">
        <f t="shared" si="37"/>
        <v/>
      </c>
      <c r="AF76" s="31"/>
      <c r="AG76" s="31"/>
      <c r="AH76" s="85" t="str">
        <f t="shared" si="38"/>
        <v/>
      </c>
      <c r="AI76" s="31"/>
      <c r="AJ76" s="31"/>
      <c r="AK76" s="85" t="str">
        <f t="shared" si="39"/>
        <v/>
      </c>
      <c r="AL76" s="31"/>
      <c r="AM76" s="31"/>
      <c r="AN76" s="85" t="str">
        <f t="shared" si="40"/>
        <v/>
      </c>
      <c r="AO76" s="31"/>
      <c r="AP76" s="31"/>
      <c r="AQ76" s="85" t="str">
        <f t="shared" si="41"/>
        <v/>
      </c>
      <c r="AR76" s="31"/>
      <c r="AS76" s="31"/>
      <c r="AT76" s="85" t="str">
        <f t="shared" si="42"/>
        <v/>
      </c>
      <c r="AU76" s="31"/>
      <c r="AV76" s="31"/>
      <c r="AW76" s="85" t="str">
        <f t="shared" si="43"/>
        <v/>
      </c>
      <c r="AX76" s="33"/>
      <c r="AY76" s="31"/>
      <c r="AZ76" s="85" t="str">
        <f t="shared" si="44"/>
        <v/>
      </c>
      <c r="BA76" s="33"/>
      <c r="BB76" s="31"/>
      <c r="BC76" s="85" t="str">
        <f t="shared" si="45"/>
        <v/>
      </c>
      <c r="BD76" s="33"/>
      <c r="BE76" s="31"/>
      <c r="BF76" s="85" t="str">
        <f t="shared" si="46"/>
        <v/>
      </c>
      <c r="BG76" s="33"/>
      <c r="BH76" s="31"/>
      <c r="BI76" s="85" t="str">
        <f t="shared" si="47"/>
        <v/>
      </c>
      <c r="BJ76" s="33"/>
      <c r="BK76" s="33"/>
      <c r="BL76" s="85" t="str">
        <f t="shared" si="48"/>
        <v/>
      </c>
      <c r="BM76" s="33"/>
      <c r="BN76" s="33"/>
      <c r="BO76" s="85" t="str">
        <f t="shared" si="49"/>
        <v/>
      </c>
      <c r="BP76" s="33"/>
      <c r="BQ76" s="33"/>
      <c r="BR76" s="85" t="str">
        <f t="shared" si="50"/>
        <v/>
      </c>
      <c r="BS76" s="33"/>
      <c r="BT76" s="33"/>
      <c r="BU76" s="85" t="str">
        <f t="shared" si="51"/>
        <v/>
      </c>
      <c r="BV76" s="31" t="s">
        <v>1</v>
      </c>
      <c r="BW76" s="31"/>
      <c r="BX76" s="31"/>
      <c r="BY76" s="85" t="str">
        <f t="shared" si="52"/>
        <v/>
      </c>
      <c r="BZ76" s="31"/>
      <c r="CA76" s="31"/>
      <c r="CB76" s="85" t="str">
        <f t="shared" si="53"/>
        <v/>
      </c>
      <c r="CC76" s="31"/>
      <c r="CD76" s="31"/>
      <c r="CE76" s="85" t="str">
        <f t="shared" si="54"/>
        <v/>
      </c>
      <c r="CF76" s="31"/>
      <c r="CG76" s="31"/>
      <c r="CH76" s="85" t="str">
        <f t="shared" si="55"/>
        <v/>
      </c>
      <c r="CI76" s="65">
        <v>342</v>
      </c>
      <c r="CJ76" s="65">
        <v>67000</v>
      </c>
      <c r="CK76" s="85">
        <f t="shared" si="56"/>
        <v>195.90643274853801</v>
      </c>
      <c r="CL76" s="66">
        <v>733</v>
      </c>
      <c r="CM76" s="66">
        <v>159000</v>
      </c>
      <c r="CN76" s="85">
        <f t="shared" si="57"/>
        <v>216.91678035470667</v>
      </c>
      <c r="CQ76" s="85" t="str">
        <f t="shared" si="58"/>
        <v/>
      </c>
    </row>
    <row r="77" spans="1:95" x14ac:dyDescent="0.3">
      <c r="A77" s="31" t="s">
        <v>165</v>
      </c>
      <c r="C77" s="30" t="s">
        <v>75</v>
      </c>
      <c r="D77" s="31" t="s">
        <v>1</v>
      </c>
      <c r="G77" s="85" t="str">
        <f t="shared" si="59"/>
        <v/>
      </c>
      <c r="H77" s="31"/>
      <c r="I77" s="31"/>
      <c r="J77" s="85" t="str">
        <f t="shared" si="30"/>
        <v/>
      </c>
      <c r="K77" s="31"/>
      <c r="L77" s="31"/>
      <c r="M77" s="85" t="str">
        <f t="shared" si="31"/>
        <v/>
      </c>
      <c r="N77" s="31"/>
      <c r="O77" s="31"/>
      <c r="P77" s="85" t="str">
        <f t="shared" si="32"/>
        <v/>
      </c>
      <c r="Q77" s="31"/>
      <c r="R77" s="31"/>
      <c r="S77" s="85" t="str">
        <f t="shared" si="33"/>
        <v/>
      </c>
      <c r="T77" s="31"/>
      <c r="U77" s="31"/>
      <c r="V77" s="85" t="str">
        <f t="shared" si="34"/>
        <v/>
      </c>
      <c r="W77" s="31"/>
      <c r="X77" s="31"/>
      <c r="Y77" s="85" t="str">
        <f t="shared" si="35"/>
        <v/>
      </c>
      <c r="Z77" s="31"/>
      <c r="AA77" s="31"/>
      <c r="AB77" s="85" t="str">
        <f t="shared" si="36"/>
        <v/>
      </c>
      <c r="AC77" s="31"/>
      <c r="AD77" s="31"/>
      <c r="AE77" s="85" t="str">
        <f t="shared" si="37"/>
        <v/>
      </c>
      <c r="AF77" s="31"/>
      <c r="AG77" s="31"/>
      <c r="AH77" s="85" t="str">
        <f t="shared" si="38"/>
        <v/>
      </c>
      <c r="AI77" s="31"/>
      <c r="AJ77" s="31"/>
      <c r="AK77" s="85" t="str">
        <f t="shared" si="39"/>
        <v/>
      </c>
      <c r="AL77" s="31"/>
      <c r="AM77" s="31"/>
      <c r="AN77" s="85" t="str">
        <f t="shared" si="40"/>
        <v/>
      </c>
      <c r="AO77" s="31"/>
      <c r="AP77" s="31"/>
      <c r="AQ77" s="85" t="str">
        <f t="shared" si="41"/>
        <v/>
      </c>
      <c r="AR77" s="31"/>
      <c r="AS77" s="31"/>
      <c r="AT77" s="85" t="str">
        <f t="shared" si="42"/>
        <v/>
      </c>
      <c r="AU77" s="31"/>
      <c r="AV77" s="31"/>
      <c r="AW77" s="85" t="str">
        <f t="shared" si="43"/>
        <v/>
      </c>
      <c r="AX77" s="33"/>
      <c r="AY77" s="31"/>
      <c r="AZ77" s="85" t="str">
        <f t="shared" si="44"/>
        <v/>
      </c>
      <c r="BA77" s="33"/>
      <c r="BB77" s="31"/>
      <c r="BC77" s="85" t="str">
        <f t="shared" si="45"/>
        <v/>
      </c>
      <c r="BD77" s="33"/>
      <c r="BE77" s="31"/>
      <c r="BF77" s="85" t="str">
        <f t="shared" si="46"/>
        <v/>
      </c>
      <c r="BG77" s="33"/>
      <c r="BH77" s="31"/>
      <c r="BI77" s="85" t="str">
        <f t="shared" si="47"/>
        <v/>
      </c>
      <c r="BJ77" s="33"/>
      <c r="BK77" s="33"/>
      <c r="BL77" s="85" t="str">
        <f t="shared" si="48"/>
        <v/>
      </c>
      <c r="BM77" s="33"/>
      <c r="BN77" s="33"/>
      <c r="BO77" s="85" t="str">
        <f t="shared" si="49"/>
        <v/>
      </c>
      <c r="BP77" s="33"/>
      <c r="BQ77" s="33"/>
      <c r="BR77" s="85" t="str">
        <f t="shared" si="50"/>
        <v/>
      </c>
      <c r="BS77" s="33"/>
      <c r="BT77" s="33"/>
      <c r="BU77" s="85" t="str">
        <f t="shared" si="51"/>
        <v/>
      </c>
      <c r="BV77" s="31" t="s">
        <v>1</v>
      </c>
      <c r="BW77" s="31"/>
      <c r="BX77" s="31"/>
      <c r="BY77" s="85" t="str">
        <f t="shared" si="52"/>
        <v/>
      </c>
      <c r="BZ77" s="31"/>
      <c r="CA77" s="31"/>
      <c r="CB77" s="85" t="str">
        <f t="shared" si="53"/>
        <v/>
      </c>
      <c r="CC77" s="31"/>
      <c r="CD77" s="31"/>
      <c r="CE77" s="85" t="str">
        <f t="shared" si="54"/>
        <v/>
      </c>
      <c r="CF77" s="31"/>
      <c r="CG77" s="31"/>
      <c r="CH77" s="85" t="str">
        <f t="shared" si="55"/>
        <v/>
      </c>
      <c r="CI77" s="65">
        <v>1074</v>
      </c>
      <c r="CJ77" s="65">
        <v>180000</v>
      </c>
      <c r="CK77" s="85">
        <f t="shared" si="56"/>
        <v>167.5977653631285</v>
      </c>
      <c r="CL77" s="66">
        <v>912</v>
      </c>
      <c r="CM77" s="66">
        <v>140000</v>
      </c>
      <c r="CN77" s="85">
        <f t="shared" si="57"/>
        <v>153.50877192982455</v>
      </c>
      <c r="CQ77" s="85" t="str">
        <f t="shared" si="58"/>
        <v/>
      </c>
    </row>
    <row r="78" spans="1:95" x14ac:dyDescent="0.3">
      <c r="A78" s="31" t="s">
        <v>166</v>
      </c>
      <c r="C78" s="30" t="s">
        <v>75</v>
      </c>
      <c r="D78" s="31" t="s">
        <v>1</v>
      </c>
      <c r="G78" s="85" t="str">
        <f t="shared" si="59"/>
        <v/>
      </c>
      <c r="H78" s="31"/>
      <c r="I78" s="31"/>
      <c r="J78" s="85" t="str">
        <f t="shared" si="30"/>
        <v/>
      </c>
      <c r="K78" s="31"/>
      <c r="L78" s="31"/>
      <c r="M78" s="85" t="str">
        <f t="shared" si="31"/>
        <v/>
      </c>
      <c r="N78" s="31"/>
      <c r="O78" s="31"/>
      <c r="P78" s="85" t="str">
        <f t="shared" si="32"/>
        <v/>
      </c>
      <c r="Q78" s="31"/>
      <c r="R78" s="31"/>
      <c r="S78" s="85" t="str">
        <f t="shared" si="33"/>
        <v/>
      </c>
      <c r="T78" s="31"/>
      <c r="U78" s="31"/>
      <c r="V78" s="85" t="str">
        <f t="shared" si="34"/>
        <v/>
      </c>
      <c r="W78" s="31"/>
      <c r="X78" s="31"/>
      <c r="Y78" s="85" t="str">
        <f t="shared" si="35"/>
        <v/>
      </c>
      <c r="Z78" s="31"/>
      <c r="AA78" s="31"/>
      <c r="AB78" s="85" t="str">
        <f t="shared" si="36"/>
        <v/>
      </c>
      <c r="AC78" s="31"/>
      <c r="AD78" s="31"/>
      <c r="AE78" s="85" t="str">
        <f t="shared" si="37"/>
        <v/>
      </c>
      <c r="AF78" s="31"/>
      <c r="AG78" s="31"/>
      <c r="AH78" s="85" t="str">
        <f t="shared" si="38"/>
        <v/>
      </c>
      <c r="AI78" s="31"/>
      <c r="AJ78" s="31"/>
      <c r="AK78" s="85" t="str">
        <f t="shared" si="39"/>
        <v/>
      </c>
      <c r="AL78" s="31"/>
      <c r="AM78" s="31"/>
      <c r="AN78" s="85" t="str">
        <f t="shared" si="40"/>
        <v/>
      </c>
      <c r="AO78" s="31"/>
      <c r="AP78" s="31"/>
      <c r="AQ78" s="85" t="str">
        <f t="shared" si="41"/>
        <v/>
      </c>
      <c r="AR78" s="31"/>
      <c r="AS78" s="31"/>
      <c r="AT78" s="85" t="str">
        <f t="shared" si="42"/>
        <v/>
      </c>
      <c r="AU78" s="31"/>
      <c r="AV78" s="31"/>
      <c r="AW78" s="85" t="str">
        <f t="shared" si="43"/>
        <v/>
      </c>
      <c r="AX78" s="33"/>
      <c r="AY78" s="31"/>
      <c r="AZ78" s="85" t="str">
        <f t="shared" si="44"/>
        <v/>
      </c>
      <c r="BA78" s="33"/>
      <c r="BB78" s="31"/>
      <c r="BC78" s="85" t="str">
        <f t="shared" si="45"/>
        <v/>
      </c>
      <c r="BD78" s="33"/>
      <c r="BE78" s="31"/>
      <c r="BF78" s="85" t="str">
        <f t="shared" si="46"/>
        <v/>
      </c>
      <c r="BG78" s="33"/>
      <c r="BH78" s="31"/>
      <c r="BI78" s="85" t="str">
        <f t="shared" si="47"/>
        <v/>
      </c>
      <c r="BJ78" s="33"/>
      <c r="BK78" s="33"/>
      <c r="BL78" s="85" t="str">
        <f t="shared" si="48"/>
        <v/>
      </c>
      <c r="BM78" s="33"/>
      <c r="BN78" s="33"/>
      <c r="BO78" s="85" t="str">
        <f t="shared" si="49"/>
        <v/>
      </c>
      <c r="BP78" s="33"/>
      <c r="BQ78" s="33"/>
      <c r="BR78" s="85" t="str">
        <f t="shared" si="50"/>
        <v/>
      </c>
      <c r="BS78" s="33"/>
      <c r="BT78" s="33"/>
      <c r="BU78" s="85" t="str">
        <f t="shared" si="51"/>
        <v/>
      </c>
      <c r="BV78" s="31" t="s">
        <v>1</v>
      </c>
      <c r="BW78" s="31"/>
      <c r="BX78" s="31"/>
      <c r="BY78" s="85" t="str">
        <f t="shared" si="52"/>
        <v/>
      </c>
      <c r="BZ78" s="31"/>
      <c r="CA78" s="31"/>
      <c r="CB78" s="85" t="str">
        <f t="shared" si="53"/>
        <v/>
      </c>
      <c r="CC78" s="31"/>
      <c r="CD78" s="31"/>
      <c r="CE78" s="85" t="str">
        <f t="shared" si="54"/>
        <v/>
      </c>
      <c r="CF78" s="31"/>
      <c r="CG78" s="31"/>
      <c r="CH78" s="85" t="str">
        <f t="shared" si="55"/>
        <v/>
      </c>
      <c r="CI78" s="65">
        <v>314</v>
      </c>
      <c r="CJ78" s="65">
        <v>37000</v>
      </c>
      <c r="CK78" s="85">
        <f t="shared" si="56"/>
        <v>117.83439490445861</v>
      </c>
      <c r="CL78" s="66">
        <v>286</v>
      </c>
      <c r="CM78" s="66">
        <v>52000</v>
      </c>
      <c r="CN78" s="85">
        <f t="shared" si="57"/>
        <v>181.81818181818181</v>
      </c>
      <c r="CQ78" s="85" t="str">
        <f t="shared" si="58"/>
        <v/>
      </c>
    </row>
    <row r="79" spans="1:95" x14ac:dyDescent="0.3">
      <c r="A79" s="31" t="s">
        <v>167</v>
      </c>
      <c r="C79" s="30" t="s">
        <v>75</v>
      </c>
      <c r="D79" s="31" t="s">
        <v>1</v>
      </c>
      <c r="G79" s="85" t="str">
        <f t="shared" si="59"/>
        <v/>
      </c>
      <c r="H79" s="31"/>
      <c r="I79" s="31"/>
      <c r="J79" s="85" t="str">
        <f t="shared" si="30"/>
        <v/>
      </c>
      <c r="K79" s="31"/>
      <c r="L79" s="31"/>
      <c r="M79" s="85" t="str">
        <f t="shared" si="31"/>
        <v/>
      </c>
      <c r="N79" s="31"/>
      <c r="O79" s="31"/>
      <c r="P79" s="85" t="str">
        <f t="shared" si="32"/>
        <v/>
      </c>
      <c r="Q79" s="31"/>
      <c r="R79" s="31"/>
      <c r="S79" s="85" t="str">
        <f t="shared" si="33"/>
        <v/>
      </c>
      <c r="T79" s="31"/>
      <c r="U79" s="31"/>
      <c r="V79" s="85" t="str">
        <f t="shared" si="34"/>
        <v/>
      </c>
      <c r="W79" s="31"/>
      <c r="X79" s="31"/>
      <c r="Y79" s="85" t="str">
        <f t="shared" si="35"/>
        <v/>
      </c>
      <c r="Z79" s="31"/>
      <c r="AA79" s="31"/>
      <c r="AB79" s="85" t="str">
        <f t="shared" si="36"/>
        <v/>
      </c>
      <c r="AC79" s="31"/>
      <c r="AD79" s="31"/>
      <c r="AE79" s="85" t="str">
        <f t="shared" si="37"/>
        <v/>
      </c>
      <c r="AF79" s="31"/>
      <c r="AG79" s="31"/>
      <c r="AH79" s="85" t="str">
        <f t="shared" si="38"/>
        <v/>
      </c>
      <c r="AI79" s="31"/>
      <c r="AJ79" s="31"/>
      <c r="AK79" s="85" t="str">
        <f t="shared" si="39"/>
        <v/>
      </c>
      <c r="AL79" s="31"/>
      <c r="AM79" s="31"/>
      <c r="AN79" s="85" t="str">
        <f t="shared" si="40"/>
        <v/>
      </c>
      <c r="AO79" s="31"/>
      <c r="AP79" s="31"/>
      <c r="AQ79" s="85" t="str">
        <f t="shared" si="41"/>
        <v/>
      </c>
      <c r="AR79" s="31"/>
      <c r="AS79" s="31"/>
      <c r="AT79" s="85" t="str">
        <f t="shared" si="42"/>
        <v/>
      </c>
      <c r="AU79" s="31"/>
      <c r="AV79" s="31"/>
      <c r="AW79" s="85" t="str">
        <f t="shared" si="43"/>
        <v/>
      </c>
      <c r="AX79" s="33"/>
      <c r="AY79" s="31"/>
      <c r="AZ79" s="85" t="str">
        <f t="shared" si="44"/>
        <v/>
      </c>
      <c r="BA79" s="33"/>
      <c r="BB79" s="31"/>
      <c r="BC79" s="85" t="str">
        <f t="shared" si="45"/>
        <v/>
      </c>
      <c r="BD79" s="33"/>
      <c r="BE79" s="31"/>
      <c r="BF79" s="85" t="str">
        <f t="shared" si="46"/>
        <v/>
      </c>
      <c r="BG79" s="33"/>
      <c r="BH79" s="31"/>
      <c r="BI79" s="85" t="str">
        <f t="shared" si="47"/>
        <v/>
      </c>
      <c r="BJ79" s="33"/>
      <c r="BK79" s="33"/>
      <c r="BL79" s="85" t="str">
        <f t="shared" si="48"/>
        <v/>
      </c>
      <c r="BM79" s="33"/>
      <c r="BN79" s="33"/>
      <c r="BO79" s="85" t="str">
        <f t="shared" si="49"/>
        <v/>
      </c>
      <c r="BP79" s="33"/>
      <c r="BQ79" s="33"/>
      <c r="BR79" s="85" t="str">
        <f t="shared" si="50"/>
        <v/>
      </c>
      <c r="BS79" s="33"/>
      <c r="BT79" s="33"/>
      <c r="BU79" s="85" t="str">
        <f t="shared" si="51"/>
        <v/>
      </c>
      <c r="BV79" s="31" t="s">
        <v>1</v>
      </c>
      <c r="BW79" s="31"/>
      <c r="BX79" s="31"/>
      <c r="BY79" s="85" t="str">
        <f t="shared" si="52"/>
        <v/>
      </c>
      <c r="BZ79" s="31"/>
      <c r="CA79" s="31"/>
      <c r="CB79" s="85" t="str">
        <f t="shared" si="53"/>
        <v/>
      </c>
      <c r="CC79" s="31"/>
      <c r="CD79" s="31"/>
      <c r="CE79" s="85" t="str">
        <f t="shared" si="54"/>
        <v/>
      </c>
      <c r="CF79" s="31"/>
      <c r="CG79" s="31"/>
      <c r="CH79" s="85" t="str">
        <f t="shared" si="55"/>
        <v/>
      </c>
      <c r="CI79" s="65">
        <v>415</v>
      </c>
      <c r="CJ79" s="65">
        <v>50000</v>
      </c>
      <c r="CK79" s="85">
        <f t="shared" si="56"/>
        <v>120.48192771084338</v>
      </c>
      <c r="CL79" s="66">
        <v>511</v>
      </c>
      <c r="CM79" s="66">
        <v>55000</v>
      </c>
      <c r="CN79" s="85">
        <f t="shared" si="57"/>
        <v>107.63209393346379</v>
      </c>
      <c r="CQ79" s="85" t="str">
        <f t="shared" si="58"/>
        <v/>
      </c>
    </row>
    <row r="80" spans="1:95" x14ac:dyDescent="0.3">
      <c r="A80" s="31" t="s">
        <v>168</v>
      </c>
      <c r="C80" s="30" t="s">
        <v>75</v>
      </c>
      <c r="D80" s="31" t="s">
        <v>1</v>
      </c>
      <c r="G80" s="85" t="str">
        <f t="shared" si="59"/>
        <v/>
      </c>
      <c r="H80" s="31"/>
      <c r="I80" s="31"/>
      <c r="J80" s="85" t="str">
        <f t="shared" si="30"/>
        <v/>
      </c>
      <c r="K80" s="31"/>
      <c r="L80" s="31"/>
      <c r="M80" s="85" t="str">
        <f t="shared" si="31"/>
        <v/>
      </c>
      <c r="N80" s="31"/>
      <c r="O80" s="31"/>
      <c r="P80" s="85" t="str">
        <f t="shared" si="32"/>
        <v/>
      </c>
      <c r="Q80" s="31"/>
      <c r="R80" s="31"/>
      <c r="S80" s="85" t="str">
        <f t="shared" si="33"/>
        <v/>
      </c>
      <c r="T80" s="31"/>
      <c r="U80" s="31"/>
      <c r="V80" s="85" t="str">
        <f t="shared" si="34"/>
        <v/>
      </c>
      <c r="W80" s="31"/>
      <c r="X80" s="31"/>
      <c r="Y80" s="85" t="str">
        <f t="shared" si="35"/>
        <v/>
      </c>
      <c r="Z80" s="31"/>
      <c r="AA80" s="31"/>
      <c r="AB80" s="85" t="str">
        <f t="shared" si="36"/>
        <v/>
      </c>
      <c r="AC80" s="31"/>
      <c r="AD80" s="31"/>
      <c r="AE80" s="85" t="str">
        <f t="shared" si="37"/>
        <v/>
      </c>
      <c r="AF80" s="31"/>
      <c r="AG80" s="31"/>
      <c r="AH80" s="85" t="str">
        <f t="shared" si="38"/>
        <v/>
      </c>
      <c r="AI80" s="31"/>
      <c r="AJ80" s="31"/>
      <c r="AK80" s="85" t="str">
        <f t="shared" si="39"/>
        <v/>
      </c>
      <c r="AL80" s="31"/>
      <c r="AM80" s="31"/>
      <c r="AN80" s="85" t="str">
        <f t="shared" si="40"/>
        <v/>
      </c>
      <c r="AO80" s="31"/>
      <c r="AP80" s="31"/>
      <c r="AQ80" s="85" t="str">
        <f t="shared" si="41"/>
        <v/>
      </c>
      <c r="AR80" s="31"/>
      <c r="AS80" s="31"/>
      <c r="AT80" s="85" t="str">
        <f t="shared" si="42"/>
        <v/>
      </c>
      <c r="AU80" s="31"/>
      <c r="AV80" s="31"/>
      <c r="AW80" s="85" t="str">
        <f t="shared" si="43"/>
        <v/>
      </c>
      <c r="AX80" s="33"/>
      <c r="AY80" s="31"/>
      <c r="AZ80" s="85" t="str">
        <f t="shared" si="44"/>
        <v/>
      </c>
      <c r="BA80" s="33"/>
      <c r="BB80" s="31"/>
      <c r="BC80" s="85" t="str">
        <f t="shared" si="45"/>
        <v/>
      </c>
      <c r="BD80" s="33"/>
      <c r="BE80" s="31"/>
      <c r="BF80" s="85" t="str">
        <f t="shared" si="46"/>
        <v/>
      </c>
      <c r="BG80" s="33"/>
      <c r="BH80" s="31"/>
      <c r="BI80" s="85" t="str">
        <f t="shared" si="47"/>
        <v/>
      </c>
      <c r="BJ80" s="33"/>
      <c r="BK80" s="33"/>
      <c r="BL80" s="85" t="str">
        <f t="shared" si="48"/>
        <v/>
      </c>
      <c r="BM80" s="33"/>
      <c r="BN80" s="33"/>
      <c r="BO80" s="85" t="str">
        <f t="shared" si="49"/>
        <v/>
      </c>
      <c r="BP80" s="33"/>
      <c r="BQ80" s="33"/>
      <c r="BR80" s="85" t="str">
        <f t="shared" si="50"/>
        <v/>
      </c>
      <c r="BS80" s="33"/>
      <c r="BT80" s="33"/>
      <c r="BU80" s="85" t="str">
        <f t="shared" si="51"/>
        <v/>
      </c>
      <c r="BV80" s="31" t="s">
        <v>1</v>
      </c>
      <c r="BW80" s="31"/>
      <c r="BX80" s="31"/>
      <c r="BY80" s="85" t="str">
        <f t="shared" si="52"/>
        <v/>
      </c>
      <c r="BZ80" s="31"/>
      <c r="CA80" s="31"/>
      <c r="CB80" s="85" t="str">
        <f t="shared" si="53"/>
        <v/>
      </c>
      <c r="CC80" s="31"/>
      <c r="CD80" s="31"/>
      <c r="CE80" s="85" t="str">
        <f t="shared" si="54"/>
        <v/>
      </c>
      <c r="CF80" s="31"/>
      <c r="CG80" s="31"/>
      <c r="CH80" s="85" t="str">
        <f t="shared" si="55"/>
        <v/>
      </c>
      <c r="CI80" s="65">
        <v>707</v>
      </c>
      <c r="CJ80" s="65">
        <v>45000</v>
      </c>
      <c r="CK80" s="85">
        <f t="shared" si="56"/>
        <v>63.649222065063647</v>
      </c>
      <c r="CL80" s="66">
        <v>826</v>
      </c>
      <c r="CM80" s="66">
        <v>58000</v>
      </c>
      <c r="CN80" s="85">
        <f t="shared" si="57"/>
        <v>70.217917675544797</v>
      </c>
      <c r="CQ80" s="85" t="str">
        <f t="shared" si="58"/>
        <v/>
      </c>
    </row>
    <row r="81" spans="1:95" x14ac:dyDescent="0.3">
      <c r="A81" s="31" t="s">
        <v>169</v>
      </c>
      <c r="C81" s="30" t="s">
        <v>75</v>
      </c>
      <c r="D81" s="31" t="s">
        <v>1</v>
      </c>
      <c r="G81" s="85" t="str">
        <f t="shared" si="59"/>
        <v/>
      </c>
      <c r="H81" s="31"/>
      <c r="I81" s="31"/>
      <c r="J81" s="85" t="str">
        <f t="shared" si="30"/>
        <v/>
      </c>
      <c r="K81" s="31"/>
      <c r="L81" s="31"/>
      <c r="M81" s="85" t="str">
        <f t="shared" si="31"/>
        <v/>
      </c>
      <c r="N81" s="31"/>
      <c r="O81" s="31"/>
      <c r="P81" s="85" t="str">
        <f t="shared" si="32"/>
        <v/>
      </c>
      <c r="Q81" s="31"/>
      <c r="R81" s="31"/>
      <c r="S81" s="85" t="str">
        <f t="shared" si="33"/>
        <v/>
      </c>
      <c r="T81" s="31"/>
      <c r="U81" s="31"/>
      <c r="V81" s="85" t="str">
        <f t="shared" si="34"/>
        <v/>
      </c>
      <c r="W81" s="31"/>
      <c r="X81" s="31"/>
      <c r="Y81" s="85" t="str">
        <f t="shared" si="35"/>
        <v/>
      </c>
      <c r="Z81" s="31"/>
      <c r="AA81" s="31"/>
      <c r="AB81" s="85" t="str">
        <f t="shared" si="36"/>
        <v/>
      </c>
      <c r="AC81" s="31"/>
      <c r="AD81" s="31"/>
      <c r="AE81" s="85" t="str">
        <f t="shared" si="37"/>
        <v/>
      </c>
      <c r="AF81" s="31"/>
      <c r="AG81" s="31"/>
      <c r="AH81" s="85" t="str">
        <f t="shared" si="38"/>
        <v/>
      </c>
      <c r="AI81" s="31"/>
      <c r="AJ81" s="31"/>
      <c r="AK81" s="85" t="str">
        <f t="shared" si="39"/>
        <v/>
      </c>
      <c r="AL81" s="31"/>
      <c r="AM81" s="31"/>
      <c r="AN81" s="85" t="str">
        <f t="shared" si="40"/>
        <v/>
      </c>
      <c r="AO81" s="31"/>
      <c r="AP81" s="31"/>
      <c r="AQ81" s="85" t="str">
        <f t="shared" si="41"/>
        <v/>
      </c>
      <c r="AR81" s="31"/>
      <c r="AS81" s="31"/>
      <c r="AT81" s="85" t="str">
        <f t="shared" si="42"/>
        <v/>
      </c>
      <c r="AU81" s="31"/>
      <c r="AV81" s="31"/>
      <c r="AW81" s="85" t="str">
        <f t="shared" si="43"/>
        <v/>
      </c>
      <c r="AX81" s="33"/>
      <c r="AY81" s="31"/>
      <c r="AZ81" s="85" t="str">
        <f t="shared" si="44"/>
        <v/>
      </c>
      <c r="BA81" s="33"/>
      <c r="BB81" s="31"/>
      <c r="BC81" s="85" t="str">
        <f t="shared" si="45"/>
        <v/>
      </c>
      <c r="BD81" s="33"/>
      <c r="BE81" s="31"/>
      <c r="BF81" s="85" t="str">
        <f t="shared" si="46"/>
        <v/>
      </c>
      <c r="BG81" s="33"/>
      <c r="BH81" s="31"/>
      <c r="BI81" s="85" t="str">
        <f t="shared" si="47"/>
        <v/>
      </c>
      <c r="BJ81" s="33"/>
      <c r="BK81" s="33"/>
      <c r="BL81" s="85" t="str">
        <f t="shared" si="48"/>
        <v/>
      </c>
      <c r="BM81" s="33"/>
      <c r="BN81" s="33"/>
      <c r="BO81" s="85" t="str">
        <f t="shared" si="49"/>
        <v/>
      </c>
      <c r="BP81" s="33"/>
      <c r="BQ81" s="33"/>
      <c r="BR81" s="85" t="str">
        <f t="shared" si="50"/>
        <v/>
      </c>
      <c r="BS81" s="33"/>
      <c r="BT81" s="33"/>
      <c r="BU81" s="85" t="str">
        <f t="shared" si="51"/>
        <v/>
      </c>
      <c r="BV81" s="31" t="s">
        <v>1</v>
      </c>
      <c r="BW81" s="31"/>
      <c r="BX81" s="31"/>
      <c r="BY81" s="85" t="str">
        <f t="shared" si="52"/>
        <v/>
      </c>
      <c r="BZ81" s="31"/>
      <c r="CA81" s="31"/>
      <c r="CB81" s="85" t="str">
        <f t="shared" si="53"/>
        <v/>
      </c>
      <c r="CC81" s="31"/>
      <c r="CD81" s="31"/>
      <c r="CE81" s="85" t="str">
        <f t="shared" si="54"/>
        <v/>
      </c>
      <c r="CF81" s="31"/>
      <c r="CG81" s="31"/>
      <c r="CH81" s="85" t="str">
        <f t="shared" si="55"/>
        <v/>
      </c>
      <c r="CI81" s="65">
        <v>16491</v>
      </c>
      <c r="CJ81" s="65">
        <v>417000</v>
      </c>
      <c r="CK81" s="85">
        <f t="shared" si="56"/>
        <v>25.286519919956341</v>
      </c>
      <c r="CL81" s="66">
        <v>16044</v>
      </c>
      <c r="CM81" s="66">
        <v>417000</v>
      </c>
      <c r="CN81" s="85">
        <f t="shared" si="57"/>
        <v>25.991024682124159</v>
      </c>
      <c r="CQ81" s="85" t="str">
        <f t="shared" si="58"/>
        <v/>
      </c>
    </row>
    <row r="82" spans="1:95" x14ac:dyDescent="0.3">
      <c r="A82" s="31" t="s">
        <v>172</v>
      </c>
      <c r="C82" s="30" t="s">
        <v>75</v>
      </c>
      <c r="D82" s="31" t="s">
        <v>1</v>
      </c>
      <c r="G82" s="85" t="str">
        <f t="shared" si="59"/>
        <v/>
      </c>
      <c r="H82" s="31"/>
      <c r="I82" s="31"/>
      <c r="J82" s="85" t="str">
        <f t="shared" si="30"/>
        <v/>
      </c>
      <c r="K82" s="31"/>
      <c r="L82" s="31"/>
      <c r="M82" s="85" t="str">
        <f t="shared" si="31"/>
        <v/>
      </c>
      <c r="N82" s="31"/>
      <c r="O82" s="31"/>
      <c r="P82" s="85" t="str">
        <f t="shared" si="32"/>
        <v/>
      </c>
      <c r="Q82" s="31"/>
      <c r="R82" s="31"/>
      <c r="S82" s="85" t="str">
        <f t="shared" si="33"/>
        <v/>
      </c>
      <c r="T82" s="31"/>
      <c r="U82" s="31"/>
      <c r="V82" s="85" t="str">
        <f t="shared" si="34"/>
        <v/>
      </c>
      <c r="W82" s="31"/>
      <c r="X82" s="31"/>
      <c r="Y82" s="85" t="str">
        <f t="shared" si="35"/>
        <v/>
      </c>
      <c r="Z82" s="31"/>
      <c r="AA82" s="31"/>
      <c r="AB82" s="85" t="str">
        <f t="shared" si="36"/>
        <v/>
      </c>
      <c r="AC82" s="31"/>
      <c r="AD82" s="31"/>
      <c r="AE82" s="85" t="str">
        <f t="shared" si="37"/>
        <v/>
      </c>
      <c r="AF82" s="31"/>
      <c r="AG82" s="31"/>
      <c r="AH82" s="85" t="str">
        <f t="shared" si="38"/>
        <v/>
      </c>
      <c r="AI82" s="31"/>
      <c r="AJ82" s="31"/>
      <c r="AK82" s="85" t="str">
        <f t="shared" si="39"/>
        <v/>
      </c>
      <c r="AL82" s="31"/>
      <c r="AM82" s="31"/>
      <c r="AN82" s="85" t="str">
        <f t="shared" si="40"/>
        <v/>
      </c>
      <c r="AO82" s="31"/>
      <c r="AP82" s="31"/>
      <c r="AQ82" s="85" t="str">
        <f t="shared" si="41"/>
        <v/>
      </c>
      <c r="AR82" s="31"/>
      <c r="AS82" s="31"/>
      <c r="AT82" s="85" t="str">
        <f t="shared" si="42"/>
        <v/>
      </c>
      <c r="AU82" s="31"/>
      <c r="AV82" s="31"/>
      <c r="AW82" s="85" t="str">
        <f t="shared" si="43"/>
        <v/>
      </c>
      <c r="AX82" s="33"/>
      <c r="AY82" s="31"/>
      <c r="AZ82" s="85" t="str">
        <f t="shared" si="44"/>
        <v/>
      </c>
      <c r="BA82" s="33"/>
      <c r="BB82" s="31"/>
      <c r="BC82" s="85" t="str">
        <f t="shared" si="45"/>
        <v/>
      </c>
      <c r="BD82" s="33"/>
      <c r="BE82" s="31"/>
      <c r="BF82" s="85" t="str">
        <f t="shared" si="46"/>
        <v/>
      </c>
      <c r="BG82" s="33"/>
      <c r="BH82" s="31"/>
      <c r="BI82" s="85" t="str">
        <f t="shared" si="47"/>
        <v/>
      </c>
      <c r="BJ82" s="33"/>
      <c r="BK82" s="33"/>
      <c r="BL82" s="85" t="str">
        <f t="shared" si="48"/>
        <v/>
      </c>
      <c r="BM82" s="33"/>
      <c r="BN82" s="33"/>
      <c r="BO82" s="85" t="str">
        <f t="shared" si="49"/>
        <v/>
      </c>
      <c r="BP82" s="33"/>
      <c r="BQ82" s="33"/>
      <c r="BR82" s="85" t="str">
        <f t="shared" si="50"/>
        <v/>
      </c>
      <c r="BS82" s="33"/>
      <c r="BT82" s="33"/>
      <c r="BU82" s="85" t="str">
        <f t="shared" si="51"/>
        <v/>
      </c>
      <c r="BV82" s="31" t="s">
        <v>1</v>
      </c>
      <c r="BW82" s="31"/>
      <c r="BX82" s="31"/>
      <c r="BY82" s="85" t="str">
        <f t="shared" si="52"/>
        <v/>
      </c>
      <c r="BZ82" s="31"/>
      <c r="CA82" s="31"/>
      <c r="CB82" s="85" t="str">
        <f t="shared" si="53"/>
        <v/>
      </c>
      <c r="CC82" s="31"/>
      <c r="CD82" s="31"/>
      <c r="CE82" s="85" t="str">
        <f t="shared" si="54"/>
        <v/>
      </c>
      <c r="CF82" s="31"/>
      <c r="CG82" s="31"/>
      <c r="CH82" s="85" t="str">
        <f t="shared" si="55"/>
        <v/>
      </c>
      <c r="CI82" s="65">
        <v>382</v>
      </c>
      <c r="CJ82" s="65">
        <v>43000</v>
      </c>
      <c r="CK82" s="85">
        <f t="shared" si="56"/>
        <v>112.56544502617801</v>
      </c>
      <c r="CL82" s="66">
        <v>395</v>
      </c>
      <c r="CM82" s="66">
        <v>44000</v>
      </c>
      <c r="CN82" s="85">
        <f t="shared" si="57"/>
        <v>111.39240506329114</v>
      </c>
      <c r="CQ82" s="85" t="str">
        <f t="shared" si="58"/>
        <v/>
      </c>
    </row>
    <row r="83" spans="1:95" x14ac:dyDescent="0.3">
      <c r="A83" s="31" t="s">
        <v>284</v>
      </c>
      <c r="C83" s="30" t="s">
        <v>133</v>
      </c>
      <c r="D83" s="31" t="s">
        <v>231</v>
      </c>
      <c r="G83" s="85" t="str">
        <f t="shared" si="59"/>
        <v/>
      </c>
      <c r="H83" s="31"/>
      <c r="I83" s="31"/>
      <c r="J83" s="85" t="str">
        <f t="shared" si="30"/>
        <v/>
      </c>
      <c r="K83" s="31"/>
      <c r="L83" s="31"/>
      <c r="M83" s="85" t="str">
        <f t="shared" si="31"/>
        <v/>
      </c>
      <c r="N83" s="31"/>
      <c r="O83" s="31"/>
      <c r="P83" s="85" t="str">
        <f t="shared" si="32"/>
        <v/>
      </c>
      <c r="Q83" s="31"/>
      <c r="R83" s="31"/>
      <c r="S83" s="85" t="str">
        <f t="shared" si="33"/>
        <v/>
      </c>
      <c r="T83" s="31"/>
      <c r="U83" s="31"/>
      <c r="V83" s="85" t="str">
        <f t="shared" si="34"/>
        <v/>
      </c>
      <c r="W83" s="31"/>
      <c r="X83" s="31"/>
      <c r="Y83" s="85" t="str">
        <f t="shared" si="35"/>
        <v/>
      </c>
      <c r="Z83" s="31"/>
      <c r="AA83" s="31"/>
      <c r="AB83" s="85" t="str">
        <f t="shared" si="36"/>
        <v/>
      </c>
      <c r="AC83" s="31"/>
      <c r="AD83" s="31"/>
      <c r="AE83" s="85" t="str">
        <f t="shared" si="37"/>
        <v/>
      </c>
      <c r="AF83" s="31"/>
      <c r="AG83" s="31"/>
      <c r="AH83" s="85" t="str">
        <f t="shared" si="38"/>
        <v/>
      </c>
      <c r="AI83" s="31"/>
      <c r="AJ83" s="31"/>
      <c r="AK83" s="85" t="str">
        <f t="shared" si="39"/>
        <v/>
      </c>
      <c r="AL83" s="31"/>
      <c r="AM83" s="31"/>
      <c r="AN83" s="85" t="str">
        <f t="shared" si="40"/>
        <v/>
      </c>
      <c r="AO83" s="31"/>
      <c r="AP83" s="31"/>
      <c r="AQ83" s="85" t="str">
        <f t="shared" si="41"/>
        <v/>
      </c>
      <c r="AR83" s="31"/>
      <c r="AS83" s="31"/>
      <c r="AT83" s="85" t="str">
        <f t="shared" si="42"/>
        <v/>
      </c>
      <c r="AU83" s="31"/>
      <c r="AV83" s="31"/>
      <c r="AW83" s="85" t="str">
        <f t="shared" si="43"/>
        <v/>
      </c>
      <c r="AX83" s="33">
        <v>4364300</v>
      </c>
      <c r="AY83" s="31"/>
      <c r="AZ83" s="85">
        <f t="shared" si="44"/>
        <v>0</v>
      </c>
      <c r="BA83" s="33">
        <v>2839300</v>
      </c>
      <c r="BB83" s="31">
        <v>38621</v>
      </c>
      <c r="BC83" s="85">
        <f t="shared" si="45"/>
        <v>1.3602296340647343E-2</v>
      </c>
      <c r="BD83" s="33">
        <v>4364300</v>
      </c>
      <c r="BE83" s="31">
        <v>52966</v>
      </c>
      <c r="BF83" s="85">
        <f t="shared" si="46"/>
        <v>1.2136195953532066E-2</v>
      </c>
      <c r="BG83" s="33">
        <v>4091800</v>
      </c>
      <c r="BH83" s="31">
        <v>47738</v>
      </c>
      <c r="BI83" s="85">
        <f t="shared" si="47"/>
        <v>1.1666748130407155E-2</v>
      </c>
      <c r="BJ83" s="33">
        <v>3936000</v>
      </c>
      <c r="BK83" s="33">
        <v>48000</v>
      </c>
      <c r="BL83" s="85">
        <f t="shared" si="48"/>
        <v>1.2195121951219513E-2</v>
      </c>
      <c r="BM83" s="33">
        <f>3838300+1360700</f>
        <v>5199000</v>
      </c>
      <c r="BN83" s="33">
        <f>48112+18053</f>
        <v>66165</v>
      </c>
      <c r="BO83" s="85">
        <f t="shared" si="49"/>
        <v>1.2726485862665898E-2</v>
      </c>
      <c r="BP83" s="33">
        <f>1985700+584600</f>
        <v>2570300</v>
      </c>
      <c r="BQ83" s="33">
        <f>29818+8294</f>
        <v>38112</v>
      </c>
      <c r="BR83" s="85">
        <f t="shared" si="50"/>
        <v>1.4827841108041863E-2</v>
      </c>
      <c r="BS83" s="33">
        <f>1818200+475300</f>
        <v>2293500</v>
      </c>
      <c r="BT83" s="33">
        <f>30670+7837</f>
        <v>38507</v>
      </c>
      <c r="BU83" s="85">
        <f t="shared" si="51"/>
        <v>1.6789622847176805E-2</v>
      </c>
      <c r="BV83" s="31"/>
      <c r="BW83" s="31"/>
      <c r="BX83" s="31"/>
      <c r="BY83" s="85" t="str">
        <f t="shared" si="52"/>
        <v/>
      </c>
      <c r="BZ83" s="31"/>
      <c r="CA83" s="31"/>
      <c r="CB83" s="85" t="str">
        <f t="shared" si="53"/>
        <v/>
      </c>
      <c r="CC83" s="31"/>
      <c r="CD83" s="31"/>
      <c r="CE83" s="85" t="str">
        <f t="shared" si="54"/>
        <v/>
      </c>
      <c r="CF83" s="31"/>
      <c r="CG83" s="31"/>
      <c r="CH83" s="85" t="str">
        <f t="shared" si="55"/>
        <v/>
      </c>
      <c r="CI83" s="65"/>
      <c r="CJ83" s="65"/>
      <c r="CK83" s="85" t="str">
        <f t="shared" si="56"/>
        <v/>
      </c>
      <c r="CL83" s="66"/>
      <c r="CM83" s="66"/>
      <c r="CN83" s="85" t="str">
        <f t="shared" si="57"/>
        <v/>
      </c>
      <c r="CQ83" s="85" t="str">
        <f t="shared" si="58"/>
        <v/>
      </c>
    </row>
    <row r="84" spans="1:95" x14ac:dyDescent="0.3">
      <c r="A84" s="31" t="s">
        <v>173</v>
      </c>
      <c r="C84" s="30" t="s">
        <v>75</v>
      </c>
      <c r="D84" s="31" t="s">
        <v>1</v>
      </c>
      <c r="G84" s="85" t="str">
        <f t="shared" si="59"/>
        <v/>
      </c>
      <c r="H84" s="31"/>
      <c r="I84" s="31"/>
      <c r="J84" s="85" t="str">
        <f t="shared" si="30"/>
        <v/>
      </c>
      <c r="K84" s="31"/>
      <c r="L84" s="31"/>
      <c r="M84" s="85" t="str">
        <f t="shared" si="31"/>
        <v/>
      </c>
      <c r="N84" s="31"/>
      <c r="O84" s="31"/>
      <c r="P84" s="85" t="str">
        <f t="shared" si="32"/>
        <v/>
      </c>
      <c r="Q84" s="31"/>
      <c r="R84" s="31"/>
      <c r="S84" s="85" t="str">
        <f t="shared" si="33"/>
        <v/>
      </c>
      <c r="T84" s="31"/>
      <c r="U84" s="31"/>
      <c r="V84" s="85" t="str">
        <f t="shared" si="34"/>
        <v/>
      </c>
      <c r="W84" s="31"/>
      <c r="X84" s="31"/>
      <c r="Y84" s="85" t="str">
        <f t="shared" si="35"/>
        <v/>
      </c>
      <c r="Z84" s="31"/>
      <c r="AA84" s="31"/>
      <c r="AB84" s="85" t="str">
        <f t="shared" si="36"/>
        <v/>
      </c>
      <c r="AC84" s="31"/>
      <c r="AD84" s="31"/>
      <c r="AE84" s="85" t="str">
        <f t="shared" si="37"/>
        <v/>
      </c>
      <c r="AF84" s="31"/>
      <c r="AG84" s="31"/>
      <c r="AH84" s="85" t="str">
        <f t="shared" si="38"/>
        <v/>
      </c>
      <c r="AI84" s="31"/>
      <c r="AJ84" s="31"/>
      <c r="AK84" s="85" t="str">
        <f t="shared" si="39"/>
        <v/>
      </c>
      <c r="AL84" s="31"/>
      <c r="AM84" s="31"/>
      <c r="AN84" s="85" t="str">
        <f t="shared" si="40"/>
        <v/>
      </c>
      <c r="AO84" s="31"/>
      <c r="AP84" s="31"/>
      <c r="AQ84" s="85" t="str">
        <f t="shared" si="41"/>
        <v/>
      </c>
      <c r="AR84" s="31"/>
      <c r="AS84" s="31"/>
      <c r="AT84" s="85" t="str">
        <f t="shared" si="42"/>
        <v/>
      </c>
      <c r="AU84" s="31"/>
      <c r="AV84" s="31"/>
      <c r="AW84" s="85" t="str">
        <f t="shared" si="43"/>
        <v/>
      </c>
      <c r="AX84" s="33"/>
      <c r="AY84" s="31"/>
      <c r="AZ84" s="85" t="str">
        <f t="shared" si="44"/>
        <v/>
      </c>
      <c r="BA84" s="33"/>
      <c r="BB84" s="31"/>
      <c r="BC84" s="85" t="str">
        <f t="shared" si="45"/>
        <v/>
      </c>
      <c r="BD84" s="33"/>
      <c r="BE84" s="31"/>
      <c r="BF84" s="85" t="str">
        <f t="shared" si="46"/>
        <v/>
      </c>
      <c r="BG84" s="33"/>
      <c r="BH84" s="31"/>
      <c r="BI84" s="85" t="str">
        <f t="shared" si="47"/>
        <v/>
      </c>
      <c r="BJ84" s="33"/>
      <c r="BK84" s="33"/>
      <c r="BL84" s="85" t="str">
        <f t="shared" si="48"/>
        <v/>
      </c>
      <c r="BM84" s="33"/>
      <c r="BN84" s="33"/>
      <c r="BO84" s="85" t="str">
        <f t="shared" si="49"/>
        <v/>
      </c>
      <c r="BP84" s="33"/>
      <c r="BQ84" s="33"/>
      <c r="BR84" s="85" t="str">
        <f t="shared" si="50"/>
        <v/>
      </c>
      <c r="BS84" s="33"/>
      <c r="BT84" s="33"/>
      <c r="BU84" s="85" t="str">
        <f t="shared" si="51"/>
        <v/>
      </c>
      <c r="BV84" s="31" t="s">
        <v>1</v>
      </c>
      <c r="BW84" s="31"/>
      <c r="BX84" s="31"/>
      <c r="BY84" s="85" t="str">
        <f t="shared" si="52"/>
        <v/>
      </c>
      <c r="BZ84" s="31"/>
      <c r="CA84" s="31"/>
      <c r="CB84" s="85" t="str">
        <f t="shared" si="53"/>
        <v/>
      </c>
      <c r="CC84" s="31"/>
      <c r="CD84" s="31"/>
      <c r="CE84" s="85" t="str">
        <f t="shared" si="54"/>
        <v/>
      </c>
      <c r="CF84" s="31"/>
      <c r="CG84" s="31"/>
      <c r="CH84" s="85" t="str">
        <f t="shared" si="55"/>
        <v/>
      </c>
      <c r="CI84" s="65">
        <v>300</v>
      </c>
      <c r="CJ84" s="65">
        <v>53000</v>
      </c>
      <c r="CK84" s="85">
        <f t="shared" si="56"/>
        <v>176.66666666666666</v>
      </c>
      <c r="CL84" s="66">
        <v>347</v>
      </c>
      <c r="CM84" s="66">
        <v>53000</v>
      </c>
      <c r="CN84" s="85">
        <f t="shared" si="57"/>
        <v>152.7377521613833</v>
      </c>
      <c r="CQ84" s="85" t="str">
        <f t="shared" si="58"/>
        <v/>
      </c>
    </row>
    <row r="85" spans="1:95" x14ac:dyDescent="0.3">
      <c r="A85" s="31" t="s">
        <v>174</v>
      </c>
      <c r="C85" s="30" t="s">
        <v>75</v>
      </c>
      <c r="D85" s="31" t="s">
        <v>1</v>
      </c>
      <c r="G85" s="85" t="str">
        <f t="shared" si="59"/>
        <v/>
      </c>
      <c r="H85" s="31"/>
      <c r="I85" s="31"/>
      <c r="J85" s="85" t="str">
        <f t="shared" si="30"/>
        <v/>
      </c>
      <c r="K85" s="31"/>
      <c r="L85" s="31"/>
      <c r="M85" s="85" t="str">
        <f t="shared" si="31"/>
        <v/>
      </c>
      <c r="N85" s="31"/>
      <c r="O85" s="31"/>
      <c r="P85" s="85" t="str">
        <f t="shared" si="32"/>
        <v/>
      </c>
      <c r="Q85" s="31"/>
      <c r="R85" s="31"/>
      <c r="S85" s="85" t="str">
        <f t="shared" si="33"/>
        <v/>
      </c>
      <c r="T85" s="31"/>
      <c r="U85" s="31"/>
      <c r="V85" s="85" t="str">
        <f t="shared" si="34"/>
        <v/>
      </c>
      <c r="W85" s="31"/>
      <c r="X85" s="31"/>
      <c r="Y85" s="85" t="str">
        <f t="shared" si="35"/>
        <v/>
      </c>
      <c r="Z85" s="31"/>
      <c r="AA85" s="31"/>
      <c r="AB85" s="85" t="str">
        <f t="shared" si="36"/>
        <v/>
      </c>
      <c r="AC85" s="31"/>
      <c r="AD85" s="31"/>
      <c r="AE85" s="85" t="str">
        <f t="shared" si="37"/>
        <v/>
      </c>
      <c r="AF85" s="31"/>
      <c r="AG85" s="31"/>
      <c r="AH85" s="85" t="str">
        <f t="shared" si="38"/>
        <v/>
      </c>
      <c r="AI85" s="31"/>
      <c r="AJ85" s="31"/>
      <c r="AK85" s="85" t="str">
        <f t="shared" si="39"/>
        <v/>
      </c>
      <c r="AL85" s="31"/>
      <c r="AM85" s="31"/>
      <c r="AN85" s="85" t="str">
        <f t="shared" si="40"/>
        <v/>
      </c>
      <c r="AO85" s="31"/>
      <c r="AP85" s="31"/>
      <c r="AQ85" s="85" t="str">
        <f t="shared" si="41"/>
        <v/>
      </c>
      <c r="AR85" s="31"/>
      <c r="AS85" s="31"/>
      <c r="AT85" s="85" t="str">
        <f t="shared" si="42"/>
        <v/>
      </c>
      <c r="AU85" s="31"/>
      <c r="AV85" s="31"/>
      <c r="AW85" s="85" t="str">
        <f t="shared" si="43"/>
        <v/>
      </c>
      <c r="AX85" s="33"/>
      <c r="AY85" s="31"/>
      <c r="AZ85" s="85" t="str">
        <f t="shared" si="44"/>
        <v/>
      </c>
      <c r="BA85" s="33"/>
      <c r="BB85" s="31"/>
      <c r="BC85" s="85" t="str">
        <f t="shared" si="45"/>
        <v/>
      </c>
      <c r="BD85" s="33"/>
      <c r="BE85" s="31"/>
      <c r="BF85" s="85" t="str">
        <f t="shared" si="46"/>
        <v/>
      </c>
      <c r="BG85" s="33"/>
      <c r="BH85" s="31"/>
      <c r="BI85" s="85" t="str">
        <f t="shared" si="47"/>
        <v/>
      </c>
      <c r="BJ85" s="33"/>
      <c r="BK85" s="33"/>
      <c r="BL85" s="85" t="str">
        <f t="shared" si="48"/>
        <v/>
      </c>
      <c r="BM85" s="33"/>
      <c r="BN85" s="33"/>
      <c r="BO85" s="85" t="str">
        <f t="shared" si="49"/>
        <v/>
      </c>
      <c r="BP85" s="33"/>
      <c r="BQ85" s="33"/>
      <c r="BR85" s="85" t="str">
        <f t="shared" si="50"/>
        <v/>
      </c>
      <c r="BS85" s="33"/>
      <c r="BT85" s="33"/>
      <c r="BU85" s="85" t="str">
        <f t="shared" si="51"/>
        <v/>
      </c>
      <c r="BV85" s="31" t="s">
        <v>1</v>
      </c>
      <c r="BW85" s="31"/>
      <c r="BX85" s="31"/>
      <c r="BY85" s="85" t="str">
        <f t="shared" si="52"/>
        <v/>
      </c>
      <c r="BZ85" s="31"/>
      <c r="CA85" s="31"/>
      <c r="CB85" s="85" t="str">
        <f t="shared" si="53"/>
        <v/>
      </c>
      <c r="CC85" s="31"/>
      <c r="CD85" s="31"/>
      <c r="CE85" s="85" t="str">
        <f t="shared" si="54"/>
        <v/>
      </c>
      <c r="CF85" s="31"/>
      <c r="CG85" s="31"/>
      <c r="CH85" s="85" t="str">
        <f t="shared" si="55"/>
        <v/>
      </c>
      <c r="CI85" s="65"/>
      <c r="CJ85" s="65"/>
      <c r="CK85" s="85" t="str">
        <f t="shared" si="56"/>
        <v/>
      </c>
      <c r="CL85" s="66">
        <v>922</v>
      </c>
      <c r="CM85" s="66">
        <v>154000</v>
      </c>
      <c r="CN85" s="85">
        <f t="shared" si="57"/>
        <v>167.02819956616051</v>
      </c>
      <c r="CQ85" s="85" t="str">
        <f t="shared" si="58"/>
        <v/>
      </c>
    </row>
    <row r="86" spans="1:95" x14ac:dyDescent="0.3">
      <c r="A86" s="35" t="s">
        <v>223</v>
      </c>
      <c r="B86" s="35"/>
      <c r="C86" s="30" t="s">
        <v>75</v>
      </c>
      <c r="D86" s="31" t="s">
        <v>1</v>
      </c>
      <c r="G86" s="85" t="str">
        <f t="shared" si="59"/>
        <v/>
      </c>
      <c r="H86" s="31"/>
      <c r="I86" s="31"/>
      <c r="J86" s="85" t="str">
        <f t="shared" si="30"/>
        <v/>
      </c>
      <c r="K86" s="31"/>
      <c r="L86" s="31"/>
      <c r="M86" s="85" t="str">
        <f t="shared" si="31"/>
        <v/>
      </c>
      <c r="N86" s="31"/>
      <c r="O86" s="31"/>
      <c r="P86" s="85" t="str">
        <f t="shared" si="32"/>
        <v/>
      </c>
      <c r="Q86" s="31"/>
      <c r="R86" s="31"/>
      <c r="S86" s="85" t="str">
        <f t="shared" si="33"/>
        <v/>
      </c>
      <c r="T86" s="31"/>
      <c r="U86" s="31"/>
      <c r="V86" s="85" t="str">
        <f t="shared" si="34"/>
        <v/>
      </c>
      <c r="W86" s="31"/>
      <c r="X86" s="31"/>
      <c r="Y86" s="85" t="str">
        <f t="shared" si="35"/>
        <v/>
      </c>
      <c r="Z86" s="31"/>
      <c r="AA86" s="31"/>
      <c r="AB86" s="85" t="str">
        <f t="shared" si="36"/>
        <v/>
      </c>
      <c r="AC86" s="31"/>
      <c r="AD86" s="31"/>
      <c r="AE86" s="85" t="str">
        <f t="shared" si="37"/>
        <v/>
      </c>
      <c r="AF86" s="84">
        <v>15.5</v>
      </c>
      <c r="AG86" s="83">
        <v>343</v>
      </c>
      <c r="AH86" s="85">
        <f t="shared" si="38"/>
        <v>22.129032258064516</v>
      </c>
      <c r="AI86" s="84">
        <v>8.5</v>
      </c>
      <c r="AJ86" s="83">
        <v>196</v>
      </c>
      <c r="AK86" s="85">
        <f t="shared" si="39"/>
        <v>23.058823529411764</v>
      </c>
      <c r="AL86" s="84">
        <v>2.5</v>
      </c>
      <c r="AM86" s="83">
        <v>49</v>
      </c>
      <c r="AN86" s="85">
        <f t="shared" si="40"/>
        <v>19.600000000000001</v>
      </c>
      <c r="AO86" s="84">
        <v>2</v>
      </c>
      <c r="AP86" s="83">
        <v>49</v>
      </c>
      <c r="AQ86" s="85">
        <f t="shared" si="41"/>
        <v>24.5</v>
      </c>
      <c r="AR86" s="31"/>
      <c r="AS86" s="31"/>
      <c r="AT86" s="85" t="str">
        <f t="shared" si="42"/>
        <v/>
      </c>
      <c r="AU86" s="31"/>
      <c r="AV86" s="31"/>
      <c r="AW86" s="85" t="str">
        <f t="shared" si="43"/>
        <v/>
      </c>
      <c r="AX86" s="33"/>
      <c r="AY86" s="31"/>
      <c r="AZ86" s="85" t="str">
        <f t="shared" si="44"/>
        <v/>
      </c>
      <c r="BA86" s="33"/>
      <c r="BB86" s="31"/>
      <c r="BC86" s="85" t="str">
        <f t="shared" si="45"/>
        <v/>
      </c>
      <c r="BD86" s="33"/>
      <c r="BE86" s="31"/>
      <c r="BF86" s="85" t="str">
        <f t="shared" si="46"/>
        <v/>
      </c>
      <c r="BG86" s="33"/>
      <c r="BH86" s="31"/>
      <c r="BI86" s="85" t="str">
        <f t="shared" si="47"/>
        <v/>
      </c>
      <c r="BJ86" s="33"/>
      <c r="BK86" s="33"/>
      <c r="BL86" s="85" t="str">
        <f t="shared" si="48"/>
        <v/>
      </c>
      <c r="BM86" s="33"/>
      <c r="BN86" s="33"/>
      <c r="BO86" s="85" t="str">
        <f t="shared" si="49"/>
        <v/>
      </c>
      <c r="BP86" s="33"/>
      <c r="BQ86" s="33"/>
      <c r="BR86" s="85" t="str">
        <f t="shared" si="50"/>
        <v/>
      </c>
      <c r="BS86" s="33"/>
      <c r="BT86" s="33"/>
      <c r="BU86" s="85" t="str">
        <f t="shared" si="51"/>
        <v/>
      </c>
      <c r="BV86" s="31" t="s">
        <v>1</v>
      </c>
      <c r="BW86" s="31"/>
      <c r="BX86" s="31"/>
      <c r="BY86" s="85" t="str">
        <f t="shared" si="52"/>
        <v/>
      </c>
      <c r="BZ86" s="31"/>
      <c r="CA86" s="31"/>
      <c r="CB86" s="85" t="str">
        <f t="shared" si="53"/>
        <v/>
      </c>
      <c r="CC86" s="31"/>
      <c r="CD86" s="31"/>
      <c r="CE86" s="85" t="str">
        <f t="shared" si="54"/>
        <v/>
      </c>
      <c r="CF86" s="31"/>
      <c r="CG86" s="31"/>
      <c r="CH86" s="85" t="str">
        <f t="shared" si="55"/>
        <v/>
      </c>
      <c r="CI86" s="65">
        <v>3230</v>
      </c>
      <c r="CJ86" s="65">
        <v>144000</v>
      </c>
      <c r="CK86" s="85">
        <f t="shared" si="56"/>
        <v>44.582043343653254</v>
      </c>
      <c r="CL86" s="66">
        <v>3493</v>
      </c>
      <c r="CM86" s="66">
        <v>145000</v>
      </c>
      <c r="CN86" s="85">
        <f t="shared" si="57"/>
        <v>41.511594617807042</v>
      </c>
      <c r="CQ86" s="85" t="str">
        <f t="shared" si="58"/>
        <v/>
      </c>
    </row>
    <row r="87" spans="1:95" x14ac:dyDescent="0.3">
      <c r="A87" s="31" t="s">
        <v>175</v>
      </c>
      <c r="C87" s="30" t="s">
        <v>75</v>
      </c>
      <c r="D87" s="31" t="s">
        <v>1</v>
      </c>
      <c r="G87" s="85" t="str">
        <f t="shared" si="59"/>
        <v/>
      </c>
      <c r="H87" s="31"/>
      <c r="I87" s="31"/>
      <c r="J87" s="85" t="str">
        <f t="shared" si="30"/>
        <v/>
      </c>
      <c r="K87" s="31"/>
      <c r="L87" s="31"/>
      <c r="M87" s="85" t="str">
        <f t="shared" si="31"/>
        <v/>
      </c>
      <c r="N87" s="31"/>
      <c r="O87" s="31"/>
      <c r="P87" s="85" t="str">
        <f t="shared" si="32"/>
        <v/>
      </c>
      <c r="Q87" s="31"/>
      <c r="R87" s="31"/>
      <c r="S87" s="85" t="str">
        <f t="shared" si="33"/>
        <v/>
      </c>
      <c r="T87" s="31"/>
      <c r="U87" s="31"/>
      <c r="V87" s="85" t="str">
        <f t="shared" si="34"/>
        <v/>
      </c>
      <c r="W87" s="31"/>
      <c r="X87" s="31"/>
      <c r="Y87" s="85" t="str">
        <f t="shared" si="35"/>
        <v/>
      </c>
      <c r="Z87" s="31"/>
      <c r="AA87" s="31"/>
      <c r="AB87" s="85" t="str">
        <f t="shared" si="36"/>
        <v/>
      </c>
      <c r="AC87" s="31"/>
      <c r="AD87" s="31"/>
      <c r="AE87" s="85" t="str">
        <f t="shared" si="37"/>
        <v/>
      </c>
      <c r="AF87" s="31"/>
      <c r="AG87" s="31"/>
      <c r="AH87" s="85" t="str">
        <f t="shared" si="38"/>
        <v/>
      </c>
      <c r="AI87" s="31"/>
      <c r="AJ87" s="31"/>
      <c r="AK87" s="85" t="str">
        <f t="shared" si="39"/>
        <v/>
      </c>
      <c r="AL87" s="31"/>
      <c r="AM87" s="31"/>
      <c r="AN87" s="85" t="str">
        <f t="shared" si="40"/>
        <v/>
      </c>
      <c r="AO87" s="31"/>
      <c r="AP87" s="31"/>
      <c r="AQ87" s="85" t="str">
        <f t="shared" si="41"/>
        <v/>
      </c>
      <c r="AR87" s="31"/>
      <c r="AS87" s="31"/>
      <c r="AT87" s="85" t="str">
        <f t="shared" si="42"/>
        <v/>
      </c>
      <c r="AU87" s="31"/>
      <c r="AV87" s="31"/>
      <c r="AW87" s="85" t="str">
        <f t="shared" si="43"/>
        <v/>
      </c>
      <c r="AX87" s="33"/>
      <c r="AY87" s="31"/>
      <c r="AZ87" s="85" t="str">
        <f t="shared" si="44"/>
        <v/>
      </c>
      <c r="BA87" s="33"/>
      <c r="BB87" s="31"/>
      <c r="BC87" s="85" t="str">
        <f t="shared" si="45"/>
        <v/>
      </c>
      <c r="BD87" s="33"/>
      <c r="BE87" s="31"/>
      <c r="BF87" s="85" t="str">
        <f t="shared" si="46"/>
        <v/>
      </c>
      <c r="BG87" s="33"/>
      <c r="BH87" s="31"/>
      <c r="BI87" s="85" t="str">
        <f t="shared" si="47"/>
        <v/>
      </c>
      <c r="BJ87" s="33"/>
      <c r="BK87" s="33"/>
      <c r="BL87" s="85" t="str">
        <f t="shared" si="48"/>
        <v/>
      </c>
      <c r="BM87" s="33">
        <f>(210400+223400)/$F$193</f>
        <v>193.66071428571428</v>
      </c>
      <c r="BN87" s="33">
        <f>16468+20625</f>
        <v>37093</v>
      </c>
      <c r="BO87" s="85">
        <f t="shared" si="49"/>
        <v>191.53600737667128</v>
      </c>
      <c r="BP87" s="33">
        <f>(248500+201100)/$F$193</f>
        <v>200.71428571428572</v>
      </c>
      <c r="BQ87" s="33">
        <f>19536+17572</f>
        <v>37108</v>
      </c>
      <c r="BR87" s="85">
        <f t="shared" si="50"/>
        <v>184.87971530249109</v>
      </c>
      <c r="BS87" s="33">
        <f>(329100+331400)/$F$193</f>
        <v>294.86607142857144</v>
      </c>
      <c r="BT87" s="33">
        <f>26584+29961</f>
        <v>56545</v>
      </c>
      <c r="BU87" s="85">
        <f t="shared" si="51"/>
        <v>191.76502649507947</v>
      </c>
      <c r="BV87" s="31" t="s">
        <v>1</v>
      </c>
      <c r="BW87" s="31"/>
      <c r="BX87" s="31"/>
      <c r="BY87" s="85" t="str">
        <f t="shared" si="52"/>
        <v/>
      </c>
      <c r="BZ87" s="31"/>
      <c r="CA87" s="31"/>
      <c r="CB87" s="85" t="str">
        <f t="shared" si="53"/>
        <v/>
      </c>
      <c r="CC87" s="31"/>
      <c r="CD87" s="31"/>
      <c r="CE87" s="85" t="str">
        <f t="shared" si="54"/>
        <v/>
      </c>
      <c r="CF87" s="31"/>
      <c r="CG87" s="31"/>
      <c r="CH87" s="85" t="str">
        <f t="shared" si="55"/>
        <v/>
      </c>
      <c r="CI87" s="65">
        <v>605</v>
      </c>
      <c r="CJ87" s="65">
        <v>117000</v>
      </c>
      <c r="CK87" s="85">
        <f t="shared" si="56"/>
        <v>193.38842975206612</v>
      </c>
      <c r="CL87" s="66">
        <v>756</v>
      </c>
      <c r="CM87" s="66">
        <v>151000</v>
      </c>
      <c r="CN87" s="85">
        <f t="shared" si="57"/>
        <v>199.73544973544975</v>
      </c>
      <c r="CQ87" s="85" t="str">
        <f t="shared" si="58"/>
        <v/>
      </c>
    </row>
    <row r="88" spans="1:95" x14ac:dyDescent="0.3">
      <c r="A88" s="31" t="s">
        <v>176</v>
      </c>
      <c r="C88" s="30" t="s">
        <v>75</v>
      </c>
      <c r="D88" s="31" t="s">
        <v>1</v>
      </c>
      <c r="G88" s="85" t="str">
        <f t="shared" si="59"/>
        <v/>
      </c>
      <c r="H88" s="31"/>
      <c r="I88" s="31"/>
      <c r="J88" s="85" t="str">
        <f t="shared" si="30"/>
        <v/>
      </c>
      <c r="K88" s="31"/>
      <c r="L88" s="31"/>
      <c r="M88" s="85" t="str">
        <f t="shared" si="31"/>
        <v/>
      </c>
      <c r="N88" s="31"/>
      <c r="O88" s="31"/>
      <c r="P88" s="85" t="str">
        <f t="shared" si="32"/>
        <v/>
      </c>
      <c r="Q88" s="31"/>
      <c r="R88" s="31"/>
      <c r="S88" s="85" t="str">
        <f t="shared" si="33"/>
        <v/>
      </c>
      <c r="T88" s="31"/>
      <c r="U88" s="31"/>
      <c r="V88" s="85" t="str">
        <f t="shared" si="34"/>
        <v/>
      </c>
      <c r="W88" s="31"/>
      <c r="X88" s="31"/>
      <c r="Y88" s="85" t="str">
        <f t="shared" si="35"/>
        <v/>
      </c>
      <c r="Z88" s="31"/>
      <c r="AA88" s="31"/>
      <c r="AB88" s="85" t="str">
        <f t="shared" si="36"/>
        <v/>
      </c>
      <c r="AC88" s="31"/>
      <c r="AD88" s="31"/>
      <c r="AE88" s="85" t="str">
        <f t="shared" si="37"/>
        <v/>
      </c>
      <c r="AF88" s="31"/>
      <c r="AG88" s="31"/>
      <c r="AH88" s="85" t="str">
        <f t="shared" si="38"/>
        <v/>
      </c>
      <c r="AI88" s="31"/>
      <c r="AJ88" s="31"/>
      <c r="AK88" s="85" t="str">
        <f t="shared" si="39"/>
        <v/>
      </c>
      <c r="AL88" s="31"/>
      <c r="AM88" s="31"/>
      <c r="AN88" s="85" t="str">
        <f t="shared" si="40"/>
        <v/>
      </c>
      <c r="AO88" s="31"/>
      <c r="AP88" s="31"/>
      <c r="AQ88" s="85" t="str">
        <f t="shared" si="41"/>
        <v/>
      </c>
      <c r="AR88" s="31"/>
      <c r="AS88" s="31"/>
      <c r="AT88" s="85" t="str">
        <f t="shared" si="42"/>
        <v/>
      </c>
      <c r="AU88" s="31"/>
      <c r="AV88" s="31"/>
      <c r="AW88" s="85" t="str">
        <f t="shared" si="43"/>
        <v/>
      </c>
      <c r="AX88" s="33"/>
      <c r="AY88" s="31"/>
      <c r="AZ88" s="85" t="str">
        <f t="shared" si="44"/>
        <v/>
      </c>
      <c r="BA88" s="33"/>
      <c r="BB88" s="31"/>
      <c r="BC88" s="85" t="str">
        <f t="shared" si="45"/>
        <v/>
      </c>
      <c r="BD88" s="33"/>
      <c r="BE88" s="31"/>
      <c r="BF88" s="85" t="str">
        <f t="shared" si="46"/>
        <v/>
      </c>
      <c r="BG88" s="33"/>
      <c r="BH88" s="31"/>
      <c r="BI88" s="85" t="str">
        <f t="shared" si="47"/>
        <v/>
      </c>
      <c r="BJ88" s="33"/>
      <c r="BK88" s="33"/>
      <c r="BL88" s="85" t="str">
        <f t="shared" si="48"/>
        <v/>
      </c>
      <c r="BM88" s="33"/>
      <c r="BN88" s="33"/>
      <c r="BO88" s="85" t="str">
        <f t="shared" si="49"/>
        <v/>
      </c>
      <c r="BP88" s="33"/>
      <c r="BQ88" s="33"/>
      <c r="BR88" s="85" t="str">
        <f t="shared" si="50"/>
        <v/>
      </c>
      <c r="BS88" s="33"/>
      <c r="BT88" s="33"/>
      <c r="BU88" s="85" t="str">
        <f t="shared" si="51"/>
        <v/>
      </c>
      <c r="BV88" s="31" t="s">
        <v>1</v>
      </c>
      <c r="BW88" s="31"/>
      <c r="BX88" s="31"/>
      <c r="BY88" s="85" t="str">
        <f t="shared" si="52"/>
        <v/>
      </c>
      <c r="BZ88" s="31"/>
      <c r="CA88" s="31"/>
      <c r="CB88" s="85" t="str">
        <f t="shared" si="53"/>
        <v/>
      </c>
      <c r="CC88" s="31"/>
      <c r="CD88" s="31"/>
      <c r="CE88" s="85" t="str">
        <f t="shared" si="54"/>
        <v/>
      </c>
      <c r="CF88" s="31"/>
      <c r="CG88" s="31"/>
      <c r="CH88" s="85" t="str">
        <f t="shared" si="55"/>
        <v/>
      </c>
      <c r="CI88" s="65">
        <v>4128</v>
      </c>
      <c r="CJ88" s="65">
        <v>851000</v>
      </c>
      <c r="CK88" s="85">
        <f t="shared" si="56"/>
        <v>206.15310077519379</v>
      </c>
      <c r="CL88" s="66">
        <v>2292</v>
      </c>
      <c r="CM88" s="66">
        <v>446000</v>
      </c>
      <c r="CN88" s="85">
        <f t="shared" si="57"/>
        <v>194.58987783595114</v>
      </c>
      <c r="CQ88" s="85" t="str">
        <f t="shared" si="58"/>
        <v/>
      </c>
    </row>
    <row r="89" spans="1:95" x14ac:dyDescent="0.3">
      <c r="A89" s="31" t="s">
        <v>177</v>
      </c>
      <c r="C89" s="30" t="s">
        <v>75</v>
      </c>
      <c r="D89" s="31" t="s">
        <v>1</v>
      </c>
      <c r="G89" s="85" t="str">
        <f t="shared" si="59"/>
        <v/>
      </c>
      <c r="H89" s="31"/>
      <c r="I89" s="31"/>
      <c r="J89" s="85" t="str">
        <f t="shared" si="30"/>
        <v/>
      </c>
      <c r="K89" s="31"/>
      <c r="L89" s="31"/>
      <c r="M89" s="85" t="str">
        <f t="shared" si="31"/>
        <v/>
      </c>
      <c r="N89" s="31"/>
      <c r="O89" s="31"/>
      <c r="P89" s="85" t="str">
        <f t="shared" si="32"/>
        <v/>
      </c>
      <c r="Q89" s="31"/>
      <c r="R89" s="31"/>
      <c r="S89" s="85" t="str">
        <f t="shared" si="33"/>
        <v/>
      </c>
      <c r="T89" s="31"/>
      <c r="U89" s="31"/>
      <c r="V89" s="85" t="str">
        <f t="shared" si="34"/>
        <v/>
      </c>
      <c r="W89" s="31"/>
      <c r="X89" s="31"/>
      <c r="Y89" s="85" t="str">
        <f t="shared" si="35"/>
        <v/>
      </c>
      <c r="Z89" s="31"/>
      <c r="AA89" s="31"/>
      <c r="AB89" s="85" t="str">
        <f t="shared" si="36"/>
        <v/>
      </c>
      <c r="AC89" s="31"/>
      <c r="AD89" s="31"/>
      <c r="AE89" s="85" t="str">
        <f t="shared" si="37"/>
        <v/>
      </c>
      <c r="AF89" s="31"/>
      <c r="AG89" s="31"/>
      <c r="AH89" s="85" t="str">
        <f t="shared" si="38"/>
        <v/>
      </c>
      <c r="AI89" s="31"/>
      <c r="AJ89" s="31"/>
      <c r="AK89" s="85" t="str">
        <f t="shared" si="39"/>
        <v/>
      </c>
      <c r="AL89" s="31"/>
      <c r="AM89" s="31"/>
      <c r="AN89" s="85" t="str">
        <f t="shared" si="40"/>
        <v/>
      </c>
      <c r="AO89" s="31"/>
      <c r="AP89" s="31"/>
      <c r="AQ89" s="85" t="str">
        <f t="shared" si="41"/>
        <v/>
      </c>
      <c r="AR89" s="31"/>
      <c r="AS89" s="31"/>
      <c r="AT89" s="85" t="str">
        <f t="shared" si="42"/>
        <v/>
      </c>
      <c r="AU89" s="31"/>
      <c r="AV89" s="31"/>
      <c r="AW89" s="85" t="str">
        <f t="shared" si="43"/>
        <v/>
      </c>
      <c r="AX89" s="33"/>
      <c r="AY89" s="31"/>
      <c r="AZ89" s="85" t="str">
        <f t="shared" si="44"/>
        <v/>
      </c>
      <c r="BA89" s="33"/>
      <c r="BB89" s="31"/>
      <c r="BC89" s="85" t="str">
        <f t="shared" si="45"/>
        <v/>
      </c>
      <c r="BD89" s="33"/>
      <c r="BE89" s="31"/>
      <c r="BF89" s="85" t="str">
        <f t="shared" si="46"/>
        <v/>
      </c>
      <c r="BG89" s="33"/>
      <c r="BH89" s="31"/>
      <c r="BI89" s="85" t="str">
        <f t="shared" si="47"/>
        <v/>
      </c>
      <c r="BJ89" s="33"/>
      <c r="BK89" s="33"/>
      <c r="BL89" s="85" t="str">
        <f t="shared" si="48"/>
        <v/>
      </c>
      <c r="BM89" s="33"/>
      <c r="BN89" s="33"/>
      <c r="BO89" s="85" t="str">
        <f t="shared" si="49"/>
        <v/>
      </c>
      <c r="BP89" s="33"/>
      <c r="BQ89" s="33"/>
      <c r="BR89" s="85" t="str">
        <f t="shared" si="50"/>
        <v/>
      </c>
      <c r="BS89" s="33"/>
      <c r="BT89" s="33"/>
      <c r="BU89" s="85" t="str">
        <f t="shared" si="51"/>
        <v/>
      </c>
      <c r="BV89" s="31" t="s">
        <v>1</v>
      </c>
      <c r="BW89" s="31"/>
      <c r="BX89" s="31"/>
      <c r="BY89" s="85" t="str">
        <f t="shared" si="52"/>
        <v/>
      </c>
      <c r="BZ89" s="31"/>
      <c r="CA89" s="31"/>
      <c r="CB89" s="85" t="str">
        <f t="shared" si="53"/>
        <v/>
      </c>
      <c r="CC89" s="31"/>
      <c r="CD89" s="31"/>
      <c r="CE89" s="85" t="str">
        <f t="shared" si="54"/>
        <v/>
      </c>
      <c r="CF89" s="31"/>
      <c r="CG89" s="31"/>
      <c r="CH89" s="85" t="str">
        <f t="shared" si="55"/>
        <v/>
      </c>
      <c r="CI89" s="65">
        <v>3037</v>
      </c>
      <c r="CJ89" s="65">
        <v>987000</v>
      </c>
      <c r="CK89" s="85">
        <f t="shared" si="56"/>
        <v>324.99176819229501</v>
      </c>
      <c r="CL89" s="66">
        <v>2083</v>
      </c>
      <c r="CM89" s="66">
        <v>818000</v>
      </c>
      <c r="CN89" s="85">
        <f t="shared" si="57"/>
        <v>392.70283245319251</v>
      </c>
      <c r="CQ89" s="85" t="str">
        <f t="shared" si="58"/>
        <v/>
      </c>
    </row>
    <row r="90" spans="1:95" x14ac:dyDescent="0.3">
      <c r="A90" s="31" t="s">
        <v>296</v>
      </c>
      <c r="C90" s="30" t="s">
        <v>75</v>
      </c>
      <c r="D90" s="31" t="s">
        <v>1</v>
      </c>
      <c r="G90" s="85" t="str">
        <f t="shared" si="59"/>
        <v/>
      </c>
      <c r="H90" s="31"/>
      <c r="I90" s="31"/>
      <c r="J90" s="85" t="str">
        <f t="shared" si="30"/>
        <v/>
      </c>
      <c r="K90" s="31"/>
      <c r="L90" s="31"/>
      <c r="M90" s="85" t="str">
        <f t="shared" si="31"/>
        <v/>
      </c>
      <c r="N90" s="31"/>
      <c r="O90" s="31"/>
      <c r="P90" s="85" t="str">
        <f t="shared" si="32"/>
        <v/>
      </c>
      <c r="Q90" s="31"/>
      <c r="R90" s="31"/>
      <c r="S90" s="85" t="str">
        <f t="shared" si="33"/>
        <v/>
      </c>
      <c r="T90" s="31"/>
      <c r="U90" s="31"/>
      <c r="V90" s="85" t="str">
        <f t="shared" si="34"/>
        <v/>
      </c>
      <c r="W90" s="31"/>
      <c r="X90" s="31"/>
      <c r="Y90" s="85" t="str">
        <f t="shared" si="35"/>
        <v/>
      </c>
      <c r="Z90" s="31"/>
      <c r="AA90" s="31"/>
      <c r="AB90" s="85" t="str">
        <f t="shared" si="36"/>
        <v/>
      </c>
      <c r="AC90" s="31"/>
      <c r="AD90" s="31"/>
      <c r="AE90" s="85" t="str">
        <f t="shared" si="37"/>
        <v/>
      </c>
      <c r="AF90" s="84">
        <v>817.7</v>
      </c>
      <c r="AG90" s="83">
        <v>286520</v>
      </c>
      <c r="AH90" s="85">
        <f t="shared" si="38"/>
        <v>350.39745627980921</v>
      </c>
      <c r="AI90" s="84">
        <v>969.4</v>
      </c>
      <c r="AJ90" s="83">
        <v>322549</v>
      </c>
      <c r="AK90" s="85">
        <f t="shared" si="39"/>
        <v>332.73055498246339</v>
      </c>
      <c r="AL90" s="84">
        <v>772.8</v>
      </c>
      <c r="AM90" s="83">
        <v>255931</v>
      </c>
      <c r="AN90" s="85">
        <f t="shared" si="40"/>
        <v>331.17365424430642</v>
      </c>
      <c r="AO90" s="84">
        <v>602.70000000000005</v>
      </c>
      <c r="AP90" s="83">
        <v>204069</v>
      </c>
      <c r="AQ90" s="85">
        <f t="shared" si="41"/>
        <v>338.59133897461419</v>
      </c>
      <c r="AR90" s="31"/>
      <c r="AS90" s="31"/>
      <c r="AT90" s="85" t="str">
        <f t="shared" si="42"/>
        <v/>
      </c>
      <c r="AU90" s="31"/>
      <c r="AV90" s="31"/>
      <c r="AW90" s="85" t="str">
        <f t="shared" si="43"/>
        <v/>
      </c>
      <c r="AX90" s="33"/>
      <c r="AY90" s="31"/>
      <c r="AZ90" s="85" t="str">
        <f t="shared" si="44"/>
        <v/>
      </c>
      <c r="BA90" s="33"/>
      <c r="BB90" s="31"/>
      <c r="BC90" s="85" t="str">
        <f t="shared" si="45"/>
        <v/>
      </c>
      <c r="BD90" s="33">
        <v>1095</v>
      </c>
      <c r="BE90" s="31">
        <v>390000</v>
      </c>
      <c r="BF90" s="85">
        <f t="shared" si="46"/>
        <v>356.16438356164383</v>
      </c>
      <c r="BG90" s="33"/>
      <c r="BH90" s="31"/>
      <c r="BI90" s="85" t="str">
        <f t="shared" si="47"/>
        <v/>
      </c>
      <c r="BJ90" s="33"/>
      <c r="BK90" s="33"/>
      <c r="BL90" s="85" t="str">
        <f t="shared" si="48"/>
        <v/>
      </c>
      <c r="BM90" s="33">
        <f>765+326</f>
        <v>1091</v>
      </c>
      <c r="BN90" s="33">
        <f>379000+105000</f>
        <v>484000</v>
      </c>
      <c r="BO90" s="85">
        <f t="shared" si="49"/>
        <v>443.62969752520621</v>
      </c>
      <c r="BP90" s="33">
        <f>1024+493</f>
        <v>1517</v>
      </c>
      <c r="BQ90" s="33">
        <f>342000+163000</f>
        <v>505000</v>
      </c>
      <c r="BR90" s="85">
        <f t="shared" si="50"/>
        <v>332.89386947923532</v>
      </c>
      <c r="BS90" s="33"/>
      <c r="BT90" s="33"/>
      <c r="BU90" s="85" t="str">
        <f t="shared" si="51"/>
        <v/>
      </c>
      <c r="BV90" s="31" t="s">
        <v>1</v>
      </c>
      <c r="BW90" s="31"/>
      <c r="BX90" s="31"/>
      <c r="BY90" s="85" t="str">
        <f t="shared" si="52"/>
        <v/>
      </c>
      <c r="BZ90" s="31"/>
      <c r="CA90" s="31"/>
      <c r="CB90" s="85" t="str">
        <f t="shared" si="53"/>
        <v/>
      </c>
      <c r="CC90" s="31"/>
      <c r="CD90" s="31"/>
      <c r="CE90" s="85" t="str">
        <f t="shared" si="54"/>
        <v/>
      </c>
      <c r="CF90" s="31"/>
      <c r="CG90" s="31"/>
      <c r="CH90" s="85" t="str">
        <f t="shared" si="55"/>
        <v/>
      </c>
      <c r="CI90" s="65">
        <v>632</v>
      </c>
      <c r="CJ90" s="65">
        <v>247000</v>
      </c>
      <c r="CK90" s="85">
        <f t="shared" si="56"/>
        <v>390.82278481012656</v>
      </c>
      <c r="CL90" s="66">
        <v>638</v>
      </c>
      <c r="CM90" s="66">
        <v>281000</v>
      </c>
      <c r="CN90" s="85">
        <f t="shared" si="57"/>
        <v>440.43887147335425</v>
      </c>
      <c r="CQ90" s="85" t="str">
        <f t="shared" si="58"/>
        <v/>
      </c>
    </row>
    <row r="91" spans="1:95" x14ac:dyDescent="0.3">
      <c r="A91" s="35" t="s">
        <v>224</v>
      </c>
      <c r="B91" s="35"/>
      <c r="C91" s="30" t="s">
        <v>75</v>
      </c>
      <c r="D91" s="31" t="s">
        <v>1</v>
      </c>
      <c r="G91" s="85" t="str">
        <f t="shared" si="59"/>
        <v/>
      </c>
      <c r="H91" s="31"/>
      <c r="I91" s="31"/>
      <c r="J91" s="85" t="str">
        <f t="shared" si="30"/>
        <v/>
      </c>
      <c r="K91" s="31"/>
      <c r="L91" s="31"/>
      <c r="M91" s="85" t="str">
        <f t="shared" si="31"/>
        <v/>
      </c>
      <c r="N91" s="31"/>
      <c r="O91" s="31"/>
      <c r="P91" s="85" t="str">
        <f t="shared" si="32"/>
        <v/>
      </c>
      <c r="Q91" s="31"/>
      <c r="R91" s="31"/>
      <c r="S91" s="85" t="str">
        <f t="shared" si="33"/>
        <v/>
      </c>
      <c r="T91" s="31"/>
      <c r="U91" s="31"/>
      <c r="V91" s="85" t="str">
        <f t="shared" si="34"/>
        <v/>
      </c>
      <c r="W91" s="31"/>
      <c r="X91" s="31"/>
      <c r="Y91" s="85" t="str">
        <f t="shared" si="35"/>
        <v/>
      </c>
      <c r="Z91" s="31"/>
      <c r="AA91" s="31"/>
      <c r="AB91" s="85" t="str">
        <f t="shared" si="36"/>
        <v/>
      </c>
      <c r="AC91" s="31"/>
      <c r="AD91" s="31"/>
      <c r="AE91" s="85" t="str">
        <f t="shared" si="37"/>
        <v/>
      </c>
      <c r="AF91" s="31"/>
      <c r="AG91" s="31"/>
      <c r="AH91" s="85" t="str">
        <f t="shared" si="38"/>
        <v/>
      </c>
      <c r="AI91" s="31"/>
      <c r="AJ91" s="31"/>
      <c r="AK91" s="85" t="str">
        <f t="shared" si="39"/>
        <v/>
      </c>
      <c r="AL91" s="31"/>
      <c r="AM91" s="31"/>
      <c r="AN91" s="85" t="str">
        <f t="shared" si="40"/>
        <v/>
      </c>
      <c r="AO91" s="31"/>
      <c r="AP91" s="31"/>
      <c r="AQ91" s="85" t="str">
        <f t="shared" si="41"/>
        <v/>
      </c>
      <c r="AR91" s="31"/>
      <c r="AS91" s="31"/>
      <c r="AT91" s="85" t="str">
        <f t="shared" si="42"/>
        <v/>
      </c>
      <c r="AU91" s="31"/>
      <c r="AV91" s="31"/>
      <c r="AW91" s="85" t="str">
        <f t="shared" si="43"/>
        <v/>
      </c>
      <c r="AX91" s="33"/>
      <c r="AY91" s="31"/>
      <c r="AZ91" s="85" t="str">
        <f t="shared" si="44"/>
        <v/>
      </c>
      <c r="BA91" s="33"/>
      <c r="BB91" s="31"/>
      <c r="BC91" s="85" t="str">
        <f t="shared" si="45"/>
        <v/>
      </c>
      <c r="BD91" s="33"/>
      <c r="BE91" s="31"/>
      <c r="BF91" s="85" t="str">
        <f t="shared" si="46"/>
        <v/>
      </c>
      <c r="BG91" s="33"/>
      <c r="BH91" s="31"/>
      <c r="BI91" s="85" t="str">
        <f t="shared" si="47"/>
        <v/>
      </c>
      <c r="BJ91" s="33"/>
      <c r="BK91" s="33"/>
      <c r="BL91" s="85" t="str">
        <f t="shared" si="48"/>
        <v/>
      </c>
      <c r="BM91" s="33"/>
      <c r="BN91" s="33"/>
      <c r="BO91" s="85" t="str">
        <f t="shared" si="49"/>
        <v/>
      </c>
      <c r="BP91" s="33"/>
      <c r="BQ91" s="33"/>
      <c r="BR91" s="85" t="str">
        <f t="shared" si="50"/>
        <v/>
      </c>
      <c r="BS91" s="33"/>
      <c r="BT91" s="33"/>
      <c r="BU91" s="85" t="str">
        <f t="shared" si="51"/>
        <v/>
      </c>
      <c r="BV91" s="31" t="s">
        <v>1</v>
      </c>
      <c r="BW91" s="31"/>
      <c r="BX91" s="31"/>
      <c r="BY91" s="85" t="str">
        <f t="shared" si="52"/>
        <v/>
      </c>
      <c r="BZ91" s="31"/>
      <c r="CA91" s="31"/>
      <c r="CB91" s="85" t="str">
        <f t="shared" si="53"/>
        <v/>
      </c>
      <c r="CC91" s="31"/>
      <c r="CD91" s="31"/>
      <c r="CE91" s="85" t="str">
        <f t="shared" si="54"/>
        <v/>
      </c>
      <c r="CF91" s="31"/>
      <c r="CG91" s="31"/>
      <c r="CH91" s="85" t="str">
        <f t="shared" si="55"/>
        <v/>
      </c>
      <c r="CI91" s="65">
        <v>230</v>
      </c>
      <c r="CJ91" s="65">
        <v>86000</v>
      </c>
      <c r="CK91" s="85">
        <f t="shared" si="56"/>
        <v>373.91304347826087</v>
      </c>
      <c r="CL91" s="66">
        <v>361</v>
      </c>
      <c r="CM91" s="66">
        <v>119000</v>
      </c>
      <c r="CN91" s="85">
        <f t="shared" si="57"/>
        <v>329.63988919667588</v>
      </c>
      <c r="CQ91" s="85" t="str">
        <f t="shared" si="58"/>
        <v/>
      </c>
    </row>
    <row r="92" spans="1:95" x14ac:dyDescent="0.3">
      <c r="A92" s="31" t="s">
        <v>401</v>
      </c>
      <c r="C92" s="30" t="s">
        <v>75</v>
      </c>
      <c r="D92" s="31" t="s">
        <v>1</v>
      </c>
      <c r="G92" s="85" t="str">
        <f t="shared" si="59"/>
        <v/>
      </c>
      <c r="H92" s="31"/>
      <c r="I92" s="31"/>
      <c r="J92" s="85" t="str">
        <f t="shared" si="30"/>
        <v/>
      </c>
      <c r="K92" s="31"/>
      <c r="L92" s="31"/>
      <c r="M92" s="85" t="str">
        <f t="shared" si="31"/>
        <v/>
      </c>
      <c r="N92" s="31"/>
      <c r="O92" s="31"/>
      <c r="P92" s="85" t="str">
        <f t="shared" si="32"/>
        <v/>
      </c>
      <c r="Q92" s="31"/>
      <c r="R92" s="31"/>
      <c r="S92" s="85" t="str">
        <f t="shared" si="33"/>
        <v/>
      </c>
      <c r="T92" s="31"/>
      <c r="U92" s="31"/>
      <c r="V92" s="85" t="str">
        <f t="shared" si="34"/>
        <v/>
      </c>
      <c r="W92" s="31"/>
      <c r="X92" s="31"/>
      <c r="Y92" s="85" t="str">
        <f t="shared" si="35"/>
        <v/>
      </c>
      <c r="Z92" s="31"/>
      <c r="AA92" s="31"/>
      <c r="AB92" s="85" t="str">
        <f t="shared" si="36"/>
        <v/>
      </c>
      <c r="AC92" s="31"/>
      <c r="AD92" s="31"/>
      <c r="AE92" s="85" t="str">
        <f t="shared" si="37"/>
        <v/>
      </c>
      <c r="AF92" s="31"/>
      <c r="AG92" s="31"/>
      <c r="AH92" s="85" t="str">
        <f t="shared" si="38"/>
        <v/>
      </c>
      <c r="AI92" s="31"/>
      <c r="AJ92" s="31"/>
      <c r="AK92" s="85" t="str">
        <f t="shared" si="39"/>
        <v/>
      </c>
      <c r="AL92" s="31"/>
      <c r="AM92" s="31"/>
      <c r="AN92" s="85" t="str">
        <f t="shared" si="40"/>
        <v/>
      </c>
      <c r="AO92" s="31"/>
      <c r="AP92" s="31"/>
      <c r="AQ92" s="85" t="str">
        <f t="shared" si="41"/>
        <v/>
      </c>
      <c r="AR92" s="31"/>
      <c r="AS92" s="31"/>
      <c r="AT92" s="85" t="str">
        <f t="shared" si="42"/>
        <v/>
      </c>
      <c r="AU92" s="31"/>
      <c r="AV92" s="31"/>
      <c r="AW92" s="85" t="str">
        <f t="shared" si="43"/>
        <v/>
      </c>
      <c r="AX92" s="33"/>
      <c r="AY92" s="31"/>
      <c r="AZ92" s="85" t="str">
        <f t="shared" si="44"/>
        <v/>
      </c>
      <c r="BA92" s="33"/>
      <c r="BB92" s="31"/>
      <c r="BC92" s="85" t="str">
        <f t="shared" si="45"/>
        <v/>
      </c>
      <c r="BD92" s="33"/>
      <c r="BE92" s="31"/>
      <c r="BF92" s="85" t="str">
        <f t="shared" si="46"/>
        <v/>
      </c>
      <c r="BG92" s="33"/>
      <c r="BH92" s="31"/>
      <c r="BI92" s="85" t="str">
        <f t="shared" si="47"/>
        <v/>
      </c>
      <c r="BJ92" s="33"/>
      <c r="BK92" s="33"/>
      <c r="BL92" s="85" t="str">
        <f t="shared" si="48"/>
        <v/>
      </c>
      <c r="BM92" s="33"/>
      <c r="BN92" s="33"/>
      <c r="BO92" s="85" t="str">
        <f t="shared" si="49"/>
        <v/>
      </c>
      <c r="BP92" s="33"/>
      <c r="BQ92" s="33"/>
      <c r="BR92" s="85" t="str">
        <f t="shared" si="50"/>
        <v/>
      </c>
      <c r="BS92" s="33"/>
      <c r="BT92" s="33"/>
      <c r="BU92" s="85" t="str">
        <f t="shared" si="51"/>
        <v/>
      </c>
      <c r="BV92" s="31" t="s">
        <v>1</v>
      </c>
      <c r="BW92" s="31"/>
      <c r="BX92" s="31"/>
      <c r="BY92" s="85" t="str">
        <f t="shared" si="52"/>
        <v/>
      </c>
      <c r="BZ92" s="31"/>
      <c r="CA92" s="31"/>
      <c r="CB92" s="85" t="str">
        <f t="shared" si="53"/>
        <v/>
      </c>
      <c r="CC92" s="31"/>
      <c r="CD92" s="31"/>
      <c r="CE92" s="85" t="str">
        <f t="shared" si="54"/>
        <v/>
      </c>
      <c r="CF92" s="31"/>
      <c r="CG92" s="31"/>
      <c r="CH92" s="85" t="str">
        <f t="shared" si="55"/>
        <v/>
      </c>
      <c r="CI92" s="65">
        <v>1231</v>
      </c>
      <c r="CJ92" s="65">
        <v>284000</v>
      </c>
      <c r="CK92" s="85">
        <f t="shared" si="56"/>
        <v>230.70674248578391</v>
      </c>
      <c r="CL92" s="66">
        <v>1859</v>
      </c>
      <c r="CM92" s="66">
        <v>429000</v>
      </c>
      <c r="CN92" s="85">
        <f t="shared" si="57"/>
        <v>230.76923076923077</v>
      </c>
      <c r="CQ92" s="85" t="str">
        <f t="shared" si="58"/>
        <v/>
      </c>
    </row>
    <row r="93" spans="1:95" x14ac:dyDescent="0.3">
      <c r="A93" s="31" t="s">
        <v>178</v>
      </c>
      <c r="C93" s="30" t="s">
        <v>75</v>
      </c>
      <c r="D93" s="31" t="s">
        <v>1</v>
      </c>
      <c r="G93" s="85" t="str">
        <f t="shared" si="59"/>
        <v/>
      </c>
      <c r="H93" s="31"/>
      <c r="I93" s="31"/>
      <c r="J93" s="85" t="str">
        <f t="shared" si="30"/>
        <v/>
      </c>
      <c r="K93" s="31"/>
      <c r="L93" s="31"/>
      <c r="M93" s="85" t="str">
        <f t="shared" si="31"/>
        <v/>
      </c>
      <c r="N93" s="31"/>
      <c r="O93" s="31"/>
      <c r="P93" s="85" t="str">
        <f t="shared" si="32"/>
        <v/>
      </c>
      <c r="Q93" s="31"/>
      <c r="R93" s="31"/>
      <c r="S93" s="85" t="str">
        <f t="shared" si="33"/>
        <v/>
      </c>
      <c r="T93" s="31"/>
      <c r="U93" s="31"/>
      <c r="V93" s="85" t="str">
        <f t="shared" si="34"/>
        <v/>
      </c>
      <c r="W93" s="31"/>
      <c r="X93" s="31"/>
      <c r="Y93" s="85" t="str">
        <f t="shared" si="35"/>
        <v/>
      </c>
      <c r="Z93" s="31"/>
      <c r="AA93" s="31"/>
      <c r="AB93" s="85" t="str">
        <f t="shared" si="36"/>
        <v/>
      </c>
      <c r="AC93" s="31"/>
      <c r="AD93" s="31"/>
      <c r="AE93" s="85" t="str">
        <f t="shared" si="37"/>
        <v/>
      </c>
      <c r="AF93" s="84">
        <v>83.8</v>
      </c>
      <c r="AG93" s="83">
        <v>129804</v>
      </c>
      <c r="AH93" s="85">
        <f t="shared" si="38"/>
        <v>1548.9737470167065</v>
      </c>
      <c r="AI93" s="84">
        <v>61.8</v>
      </c>
      <c r="AJ93" s="83">
        <v>84755</v>
      </c>
      <c r="AK93" s="85">
        <f t="shared" si="39"/>
        <v>1371.4401294498382</v>
      </c>
      <c r="AL93" s="84">
        <v>48.7</v>
      </c>
      <c r="AM93" s="83">
        <v>65343</v>
      </c>
      <c r="AN93" s="85">
        <f t="shared" si="40"/>
        <v>1341.7453798767967</v>
      </c>
      <c r="AO93" s="84">
        <v>31.7</v>
      </c>
      <c r="AP93" s="83">
        <v>41519</v>
      </c>
      <c r="AQ93" s="85">
        <f t="shared" si="41"/>
        <v>1309.7476340694006</v>
      </c>
      <c r="AR93" s="31"/>
      <c r="AS93" s="31"/>
      <c r="AT93" s="85" t="str">
        <f t="shared" si="42"/>
        <v/>
      </c>
      <c r="AU93" s="31"/>
      <c r="AV93" s="31"/>
      <c r="AW93" s="85" t="str">
        <f t="shared" si="43"/>
        <v/>
      </c>
      <c r="AX93" s="33"/>
      <c r="AY93" s="31"/>
      <c r="AZ93" s="85" t="str">
        <f t="shared" si="44"/>
        <v/>
      </c>
      <c r="BA93" s="33"/>
      <c r="BB93" s="31"/>
      <c r="BC93" s="85" t="str">
        <f t="shared" si="45"/>
        <v/>
      </c>
      <c r="BD93" s="33"/>
      <c r="BE93" s="31"/>
      <c r="BF93" s="85" t="str">
        <f t="shared" si="46"/>
        <v/>
      </c>
      <c r="BG93" s="33"/>
      <c r="BH93" s="31"/>
      <c r="BI93" s="85" t="str">
        <f t="shared" si="47"/>
        <v/>
      </c>
      <c r="BJ93" s="33"/>
      <c r="BK93" s="33"/>
      <c r="BL93" s="85" t="str">
        <f t="shared" si="48"/>
        <v/>
      </c>
      <c r="BM93" s="33"/>
      <c r="BN93" s="33"/>
      <c r="BO93" s="85" t="str">
        <f t="shared" si="49"/>
        <v/>
      </c>
      <c r="BP93" s="33"/>
      <c r="BQ93" s="33"/>
      <c r="BR93" s="85" t="str">
        <f t="shared" si="50"/>
        <v/>
      </c>
      <c r="BS93" s="33"/>
      <c r="BT93" s="33"/>
      <c r="BU93" s="85" t="str">
        <f t="shared" si="51"/>
        <v/>
      </c>
      <c r="BV93" s="31" t="s">
        <v>1</v>
      </c>
      <c r="BW93" s="31"/>
      <c r="BX93" s="31"/>
      <c r="BY93" s="85" t="str">
        <f t="shared" si="52"/>
        <v/>
      </c>
      <c r="BZ93" s="31"/>
      <c r="CA93" s="31"/>
      <c r="CB93" s="85" t="str">
        <f t="shared" si="53"/>
        <v/>
      </c>
      <c r="CC93" s="31"/>
      <c r="CD93" s="31"/>
      <c r="CE93" s="85" t="str">
        <f t="shared" si="54"/>
        <v/>
      </c>
      <c r="CF93" s="31"/>
      <c r="CG93" s="31"/>
      <c r="CH93" s="85" t="str">
        <f t="shared" si="55"/>
        <v/>
      </c>
      <c r="CI93" s="65">
        <v>204</v>
      </c>
      <c r="CJ93" s="65">
        <v>198000</v>
      </c>
      <c r="CK93" s="85">
        <f t="shared" si="56"/>
        <v>970.58823529411768</v>
      </c>
      <c r="CL93" s="66">
        <v>210</v>
      </c>
      <c r="CM93" s="66">
        <v>141000</v>
      </c>
      <c r="CN93" s="85">
        <f t="shared" si="57"/>
        <v>671.42857142857144</v>
      </c>
      <c r="CQ93" s="85" t="str">
        <f t="shared" si="58"/>
        <v/>
      </c>
    </row>
    <row r="94" spans="1:95" x14ac:dyDescent="0.3">
      <c r="A94" s="31" t="s">
        <v>402</v>
      </c>
      <c r="C94" s="30" t="s">
        <v>75</v>
      </c>
      <c r="D94" s="31" t="s">
        <v>1</v>
      </c>
      <c r="G94" s="85" t="str">
        <f t="shared" si="59"/>
        <v/>
      </c>
      <c r="H94" s="31"/>
      <c r="I94" s="31"/>
      <c r="J94" s="85" t="str">
        <f t="shared" si="30"/>
        <v/>
      </c>
      <c r="K94" s="31"/>
      <c r="L94" s="31"/>
      <c r="M94" s="85" t="str">
        <f t="shared" si="31"/>
        <v/>
      </c>
      <c r="N94" s="31"/>
      <c r="O94" s="31"/>
      <c r="P94" s="85" t="str">
        <f t="shared" si="32"/>
        <v/>
      </c>
      <c r="Q94" s="31"/>
      <c r="R94" s="31"/>
      <c r="S94" s="85" t="str">
        <f t="shared" si="33"/>
        <v/>
      </c>
      <c r="T94" s="31"/>
      <c r="U94" s="31"/>
      <c r="V94" s="85" t="str">
        <f t="shared" si="34"/>
        <v/>
      </c>
      <c r="W94" s="31"/>
      <c r="X94" s="31"/>
      <c r="Y94" s="85" t="str">
        <f t="shared" si="35"/>
        <v/>
      </c>
      <c r="Z94" s="31"/>
      <c r="AA94" s="31"/>
      <c r="AB94" s="85" t="str">
        <f t="shared" si="36"/>
        <v/>
      </c>
      <c r="AC94" s="31"/>
      <c r="AD94" s="31"/>
      <c r="AE94" s="85" t="str">
        <f t="shared" si="37"/>
        <v/>
      </c>
      <c r="AF94" s="31"/>
      <c r="AG94" s="31"/>
      <c r="AH94" s="85" t="str">
        <f t="shared" si="38"/>
        <v/>
      </c>
      <c r="AI94" s="31"/>
      <c r="AJ94" s="31"/>
      <c r="AK94" s="85" t="str">
        <f t="shared" si="39"/>
        <v/>
      </c>
      <c r="AL94" s="31"/>
      <c r="AM94" s="31"/>
      <c r="AN94" s="85" t="str">
        <f t="shared" si="40"/>
        <v/>
      </c>
      <c r="AO94" s="31"/>
      <c r="AP94" s="31"/>
      <c r="AQ94" s="85" t="str">
        <f t="shared" si="41"/>
        <v/>
      </c>
      <c r="AR94" s="31"/>
      <c r="AS94" s="31"/>
      <c r="AT94" s="85" t="str">
        <f t="shared" si="42"/>
        <v/>
      </c>
      <c r="AU94" s="31"/>
      <c r="AV94" s="31"/>
      <c r="AW94" s="85" t="str">
        <f t="shared" si="43"/>
        <v/>
      </c>
      <c r="AX94" s="33"/>
      <c r="AY94" s="31"/>
      <c r="AZ94" s="85" t="str">
        <f t="shared" si="44"/>
        <v/>
      </c>
      <c r="BA94" s="33"/>
      <c r="BB94" s="31"/>
      <c r="BC94" s="85" t="str">
        <f t="shared" si="45"/>
        <v/>
      </c>
      <c r="BD94" s="33"/>
      <c r="BE94" s="31"/>
      <c r="BF94" s="85" t="str">
        <f t="shared" si="46"/>
        <v/>
      </c>
      <c r="BG94" s="33"/>
      <c r="BH94" s="31"/>
      <c r="BI94" s="85" t="str">
        <f t="shared" si="47"/>
        <v/>
      </c>
      <c r="BJ94" s="33"/>
      <c r="BK94" s="33"/>
      <c r="BL94" s="85" t="str">
        <f t="shared" si="48"/>
        <v/>
      </c>
      <c r="BM94" s="33"/>
      <c r="BN94" s="33"/>
      <c r="BO94" s="85" t="str">
        <f t="shared" si="49"/>
        <v/>
      </c>
      <c r="BP94" s="33"/>
      <c r="BQ94" s="33"/>
      <c r="BR94" s="85" t="str">
        <f t="shared" si="50"/>
        <v/>
      </c>
      <c r="BS94" s="33"/>
      <c r="BT94" s="33"/>
      <c r="BU94" s="85" t="str">
        <f t="shared" si="51"/>
        <v/>
      </c>
      <c r="BV94" s="31" t="s">
        <v>1</v>
      </c>
      <c r="BW94" s="31"/>
      <c r="BX94" s="31"/>
      <c r="BY94" s="85" t="str">
        <f t="shared" si="52"/>
        <v/>
      </c>
      <c r="BZ94" s="31"/>
      <c r="CA94" s="31"/>
      <c r="CB94" s="85" t="str">
        <f t="shared" si="53"/>
        <v/>
      </c>
      <c r="CC94" s="31"/>
      <c r="CD94" s="31"/>
      <c r="CE94" s="85" t="str">
        <f t="shared" si="54"/>
        <v/>
      </c>
      <c r="CF94" s="31"/>
      <c r="CG94" s="31"/>
      <c r="CH94" s="85" t="str">
        <f t="shared" si="55"/>
        <v/>
      </c>
      <c r="CI94" s="65">
        <v>116</v>
      </c>
      <c r="CJ94" s="65">
        <v>144000</v>
      </c>
      <c r="CK94" s="85">
        <f t="shared" si="56"/>
        <v>1241.3793103448277</v>
      </c>
      <c r="CL94" s="66">
        <v>117</v>
      </c>
      <c r="CM94" s="66">
        <v>196000</v>
      </c>
      <c r="CN94" s="85">
        <f t="shared" si="57"/>
        <v>1675.2136752136753</v>
      </c>
      <c r="CQ94" s="85" t="str">
        <f t="shared" si="58"/>
        <v/>
      </c>
    </row>
    <row r="95" spans="1:95" x14ac:dyDescent="0.3">
      <c r="A95" s="31" t="s">
        <v>179</v>
      </c>
      <c r="C95" s="30" t="s">
        <v>75</v>
      </c>
      <c r="D95" s="31" t="s">
        <v>1</v>
      </c>
      <c r="G95" s="85" t="str">
        <f t="shared" si="59"/>
        <v/>
      </c>
      <c r="H95" s="31"/>
      <c r="I95" s="31"/>
      <c r="J95" s="85" t="str">
        <f t="shared" si="30"/>
        <v/>
      </c>
      <c r="K95" s="31"/>
      <c r="L95" s="31"/>
      <c r="M95" s="85" t="str">
        <f t="shared" si="31"/>
        <v/>
      </c>
      <c r="N95" s="31"/>
      <c r="O95" s="31"/>
      <c r="P95" s="85" t="str">
        <f t="shared" si="32"/>
        <v/>
      </c>
      <c r="Q95" s="31"/>
      <c r="R95" s="31"/>
      <c r="S95" s="85" t="str">
        <f t="shared" si="33"/>
        <v/>
      </c>
      <c r="T95" s="31"/>
      <c r="U95" s="31"/>
      <c r="V95" s="85" t="str">
        <f t="shared" si="34"/>
        <v/>
      </c>
      <c r="W95" s="31"/>
      <c r="X95" s="31"/>
      <c r="Y95" s="85" t="str">
        <f t="shared" si="35"/>
        <v/>
      </c>
      <c r="Z95" s="31"/>
      <c r="AA95" s="31"/>
      <c r="AB95" s="85" t="str">
        <f t="shared" si="36"/>
        <v/>
      </c>
      <c r="AC95" s="31"/>
      <c r="AD95" s="31"/>
      <c r="AE95" s="85" t="str">
        <f t="shared" si="37"/>
        <v/>
      </c>
      <c r="AF95" s="31"/>
      <c r="AG95" s="31"/>
      <c r="AH95" s="85" t="str">
        <f t="shared" si="38"/>
        <v/>
      </c>
      <c r="AI95" s="31"/>
      <c r="AJ95" s="31"/>
      <c r="AK95" s="85" t="str">
        <f t="shared" si="39"/>
        <v/>
      </c>
      <c r="AL95" s="31"/>
      <c r="AM95" s="31"/>
      <c r="AN95" s="85" t="str">
        <f t="shared" si="40"/>
        <v/>
      </c>
      <c r="AO95" s="31"/>
      <c r="AP95" s="31"/>
      <c r="AQ95" s="85" t="str">
        <f t="shared" si="41"/>
        <v/>
      </c>
      <c r="AR95" s="31"/>
      <c r="AS95" s="31"/>
      <c r="AT95" s="85" t="str">
        <f t="shared" si="42"/>
        <v/>
      </c>
      <c r="AU95" s="31"/>
      <c r="AV95" s="31"/>
      <c r="AW95" s="85" t="str">
        <f t="shared" si="43"/>
        <v/>
      </c>
      <c r="AX95" s="33"/>
      <c r="AY95" s="31"/>
      <c r="AZ95" s="85" t="str">
        <f t="shared" si="44"/>
        <v/>
      </c>
      <c r="BA95" s="33"/>
      <c r="BB95" s="31"/>
      <c r="BC95" s="85" t="str">
        <f t="shared" si="45"/>
        <v/>
      </c>
      <c r="BD95" s="33"/>
      <c r="BE95" s="31"/>
      <c r="BF95" s="85" t="str">
        <f t="shared" si="46"/>
        <v/>
      </c>
      <c r="BG95" s="33"/>
      <c r="BH95" s="31"/>
      <c r="BI95" s="85" t="str">
        <f t="shared" si="47"/>
        <v/>
      </c>
      <c r="BJ95" s="33"/>
      <c r="BK95" s="33"/>
      <c r="BL95" s="85" t="str">
        <f t="shared" si="48"/>
        <v/>
      </c>
      <c r="BM95" s="33"/>
      <c r="BN95" s="33"/>
      <c r="BO95" s="85" t="str">
        <f t="shared" si="49"/>
        <v/>
      </c>
      <c r="BP95" s="33"/>
      <c r="BQ95" s="33"/>
      <c r="BR95" s="85" t="str">
        <f t="shared" si="50"/>
        <v/>
      </c>
      <c r="BS95" s="33"/>
      <c r="BT95" s="33"/>
      <c r="BU95" s="85" t="str">
        <f t="shared" si="51"/>
        <v/>
      </c>
      <c r="BV95" s="31" t="s">
        <v>1</v>
      </c>
      <c r="BW95" s="31"/>
      <c r="BX95" s="31"/>
      <c r="BY95" s="85" t="str">
        <f t="shared" si="52"/>
        <v/>
      </c>
      <c r="BZ95" s="31"/>
      <c r="CA95" s="31"/>
      <c r="CB95" s="85" t="str">
        <f t="shared" si="53"/>
        <v/>
      </c>
      <c r="CC95" s="31"/>
      <c r="CD95" s="31"/>
      <c r="CE95" s="85" t="str">
        <f t="shared" si="54"/>
        <v/>
      </c>
      <c r="CF95" s="31"/>
      <c r="CG95" s="31"/>
      <c r="CH95" s="85" t="str">
        <f t="shared" si="55"/>
        <v/>
      </c>
      <c r="CI95" s="65">
        <v>344</v>
      </c>
      <c r="CJ95" s="65">
        <v>261000</v>
      </c>
      <c r="CK95" s="85">
        <f t="shared" si="56"/>
        <v>758.72093023255809</v>
      </c>
      <c r="CL95" s="66">
        <v>341</v>
      </c>
      <c r="CM95" s="66">
        <v>292000</v>
      </c>
      <c r="CN95" s="85">
        <f t="shared" si="57"/>
        <v>856.30498533724335</v>
      </c>
      <c r="CQ95" s="85" t="str">
        <f t="shared" si="58"/>
        <v/>
      </c>
    </row>
    <row r="96" spans="1:95" x14ac:dyDescent="0.3">
      <c r="A96" s="31" t="s">
        <v>180</v>
      </c>
      <c r="C96" s="30" t="s">
        <v>75</v>
      </c>
      <c r="D96" s="31" t="s">
        <v>1</v>
      </c>
      <c r="G96" s="85" t="str">
        <f t="shared" si="59"/>
        <v/>
      </c>
      <c r="H96" s="31"/>
      <c r="I96" s="31"/>
      <c r="J96" s="85" t="str">
        <f t="shared" si="30"/>
        <v/>
      </c>
      <c r="K96" s="31"/>
      <c r="L96" s="31"/>
      <c r="M96" s="85" t="str">
        <f t="shared" si="31"/>
        <v/>
      </c>
      <c r="N96" s="31"/>
      <c r="O96" s="31"/>
      <c r="P96" s="85" t="str">
        <f t="shared" si="32"/>
        <v/>
      </c>
      <c r="Q96" s="31"/>
      <c r="R96" s="31"/>
      <c r="S96" s="85" t="str">
        <f t="shared" si="33"/>
        <v/>
      </c>
      <c r="T96" s="31"/>
      <c r="U96" s="31"/>
      <c r="V96" s="85" t="str">
        <f t="shared" si="34"/>
        <v/>
      </c>
      <c r="W96" s="31"/>
      <c r="X96" s="31"/>
      <c r="Y96" s="85" t="str">
        <f t="shared" si="35"/>
        <v/>
      </c>
      <c r="Z96" s="31"/>
      <c r="AA96" s="31"/>
      <c r="AB96" s="85" t="str">
        <f t="shared" si="36"/>
        <v/>
      </c>
      <c r="AC96" s="31"/>
      <c r="AD96" s="31"/>
      <c r="AE96" s="85" t="str">
        <f t="shared" si="37"/>
        <v/>
      </c>
      <c r="AF96" s="31"/>
      <c r="AG96" s="31"/>
      <c r="AH96" s="85" t="str">
        <f t="shared" si="38"/>
        <v/>
      </c>
      <c r="AI96" s="31"/>
      <c r="AJ96" s="31"/>
      <c r="AK96" s="85" t="str">
        <f t="shared" si="39"/>
        <v/>
      </c>
      <c r="AL96" s="31"/>
      <c r="AM96" s="31"/>
      <c r="AN96" s="85" t="str">
        <f t="shared" si="40"/>
        <v/>
      </c>
      <c r="AO96" s="31"/>
      <c r="AP96" s="31"/>
      <c r="AQ96" s="85" t="str">
        <f t="shared" si="41"/>
        <v/>
      </c>
      <c r="AR96" s="31"/>
      <c r="AS96" s="31"/>
      <c r="AT96" s="85" t="str">
        <f t="shared" si="42"/>
        <v/>
      </c>
      <c r="AU96" s="31"/>
      <c r="AV96" s="31"/>
      <c r="AW96" s="85" t="str">
        <f t="shared" si="43"/>
        <v/>
      </c>
      <c r="AX96" s="33"/>
      <c r="AY96" s="31"/>
      <c r="AZ96" s="85" t="str">
        <f t="shared" si="44"/>
        <v/>
      </c>
      <c r="BA96" s="33"/>
      <c r="BB96" s="31"/>
      <c r="BC96" s="85" t="str">
        <f t="shared" si="45"/>
        <v/>
      </c>
      <c r="BD96" s="33"/>
      <c r="BE96" s="31"/>
      <c r="BF96" s="85" t="str">
        <f t="shared" si="46"/>
        <v/>
      </c>
      <c r="BG96" s="33"/>
      <c r="BH96" s="31"/>
      <c r="BI96" s="85" t="str">
        <f t="shared" si="47"/>
        <v/>
      </c>
      <c r="BJ96" s="33"/>
      <c r="BK96" s="33"/>
      <c r="BL96" s="85" t="str">
        <f t="shared" si="48"/>
        <v/>
      </c>
      <c r="BM96" s="33"/>
      <c r="BN96" s="33"/>
      <c r="BO96" s="85" t="str">
        <f t="shared" si="49"/>
        <v/>
      </c>
      <c r="BP96" s="33"/>
      <c r="BQ96" s="33"/>
      <c r="BR96" s="85" t="str">
        <f t="shared" si="50"/>
        <v/>
      </c>
      <c r="BS96" s="33"/>
      <c r="BT96" s="33"/>
      <c r="BU96" s="85" t="str">
        <f t="shared" si="51"/>
        <v/>
      </c>
      <c r="BV96" s="31" t="s">
        <v>1</v>
      </c>
      <c r="BW96" s="31"/>
      <c r="BX96" s="31"/>
      <c r="BY96" s="85" t="str">
        <f t="shared" si="52"/>
        <v/>
      </c>
      <c r="BZ96" s="31"/>
      <c r="CA96" s="31"/>
      <c r="CB96" s="85" t="str">
        <f t="shared" si="53"/>
        <v/>
      </c>
      <c r="CC96" s="31"/>
      <c r="CD96" s="31"/>
      <c r="CE96" s="85" t="str">
        <f t="shared" si="54"/>
        <v/>
      </c>
      <c r="CF96" s="31"/>
      <c r="CG96" s="31"/>
      <c r="CH96" s="85" t="str">
        <f t="shared" si="55"/>
        <v/>
      </c>
      <c r="CI96" s="65"/>
      <c r="CJ96" s="65"/>
      <c r="CK96" s="85" t="str">
        <f t="shared" si="56"/>
        <v/>
      </c>
      <c r="CL96" s="66">
        <v>893</v>
      </c>
      <c r="CM96" s="66">
        <v>261000</v>
      </c>
      <c r="CN96" s="85">
        <f t="shared" si="57"/>
        <v>292.27323628219483</v>
      </c>
      <c r="CQ96" s="85" t="str">
        <f t="shared" si="58"/>
        <v/>
      </c>
    </row>
    <row r="97" spans="1:95" x14ac:dyDescent="0.3">
      <c r="A97" s="31" t="s">
        <v>181</v>
      </c>
      <c r="C97" s="30" t="s">
        <v>75</v>
      </c>
      <c r="D97" s="31" t="s">
        <v>1</v>
      </c>
      <c r="G97" s="85" t="str">
        <f t="shared" si="59"/>
        <v/>
      </c>
      <c r="H97" s="31"/>
      <c r="I97" s="31"/>
      <c r="J97" s="85" t="str">
        <f t="shared" si="30"/>
        <v/>
      </c>
      <c r="K97" s="31"/>
      <c r="L97" s="31"/>
      <c r="M97" s="85" t="str">
        <f t="shared" si="31"/>
        <v/>
      </c>
      <c r="N97" s="31"/>
      <c r="O97" s="31"/>
      <c r="P97" s="85" t="str">
        <f t="shared" si="32"/>
        <v/>
      </c>
      <c r="Q97" s="31"/>
      <c r="R97" s="31"/>
      <c r="S97" s="85" t="str">
        <f t="shared" si="33"/>
        <v/>
      </c>
      <c r="T97" s="31"/>
      <c r="U97" s="31"/>
      <c r="V97" s="85" t="str">
        <f t="shared" si="34"/>
        <v/>
      </c>
      <c r="W97" s="31"/>
      <c r="X97" s="31"/>
      <c r="Y97" s="85" t="str">
        <f t="shared" si="35"/>
        <v/>
      </c>
      <c r="Z97" s="31"/>
      <c r="AA97" s="31"/>
      <c r="AB97" s="85" t="str">
        <f t="shared" si="36"/>
        <v/>
      </c>
      <c r="AC97" s="31"/>
      <c r="AD97" s="31"/>
      <c r="AE97" s="85" t="str">
        <f t="shared" si="37"/>
        <v/>
      </c>
      <c r="AF97" s="84">
        <v>76.400000000000006</v>
      </c>
      <c r="AG97" s="83">
        <v>80833</v>
      </c>
      <c r="AH97" s="85">
        <f t="shared" si="38"/>
        <v>1058.023560209424</v>
      </c>
      <c r="AI97" s="84">
        <v>63.9</v>
      </c>
      <c r="AJ97" s="83">
        <v>51622</v>
      </c>
      <c r="AK97" s="85">
        <f t="shared" si="39"/>
        <v>807.85602503912367</v>
      </c>
      <c r="AL97" s="84">
        <v>63.9</v>
      </c>
      <c r="AM97" s="83">
        <v>56715</v>
      </c>
      <c r="AN97" s="85">
        <f t="shared" si="40"/>
        <v>887.55868544600946</v>
      </c>
      <c r="AO97" s="84">
        <v>46.4</v>
      </c>
      <c r="AP97" s="83">
        <v>47156</v>
      </c>
      <c r="AQ97" s="85">
        <f t="shared" si="41"/>
        <v>1016.2931034482759</v>
      </c>
      <c r="AR97" s="31"/>
      <c r="AS97" s="31"/>
      <c r="AT97" s="85" t="str">
        <f t="shared" si="42"/>
        <v/>
      </c>
      <c r="AU97" s="31"/>
      <c r="AV97" s="31"/>
      <c r="AW97" s="85" t="str">
        <f t="shared" si="43"/>
        <v/>
      </c>
      <c r="AX97" s="33"/>
      <c r="AY97" s="31"/>
      <c r="AZ97" s="85" t="str">
        <f t="shared" si="44"/>
        <v/>
      </c>
      <c r="BA97" s="33">
        <f>32+12</f>
        <v>44</v>
      </c>
      <c r="BB97" s="31">
        <f>13000+5000</f>
        <v>18000</v>
      </c>
      <c r="BC97" s="85">
        <f t="shared" si="45"/>
        <v>409.09090909090907</v>
      </c>
      <c r="BD97" s="33">
        <f>245+32+10+58+112</f>
        <v>457</v>
      </c>
      <c r="BE97" s="31">
        <f>68700+17000+4000+11700+45000</f>
        <v>146400</v>
      </c>
      <c r="BF97" s="85">
        <f t="shared" si="46"/>
        <v>320.3501094091904</v>
      </c>
      <c r="BG97" s="33"/>
      <c r="BH97" s="31"/>
      <c r="BI97" s="85" t="str">
        <f t="shared" si="47"/>
        <v/>
      </c>
      <c r="BJ97" s="33"/>
      <c r="BK97" s="33"/>
      <c r="BL97" s="85" t="str">
        <f t="shared" si="48"/>
        <v/>
      </c>
      <c r="BM97" s="33">
        <f>260+93+129+41</f>
        <v>523</v>
      </c>
      <c r="BN97" s="33">
        <f>82000+29000+55000+17000</f>
        <v>183000</v>
      </c>
      <c r="BO97" s="85">
        <f t="shared" si="49"/>
        <v>349.90439770554491</v>
      </c>
      <c r="BP97" s="33"/>
      <c r="BQ97" s="33"/>
      <c r="BR97" s="85" t="str">
        <f t="shared" si="50"/>
        <v/>
      </c>
      <c r="BS97" s="33"/>
      <c r="BT97" s="33"/>
      <c r="BU97" s="85" t="str">
        <f t="shared" si="51"/>
        <v/>
      </c>
      <c r="BV97" s="31" t="s">
        <v>1</v>
      </c>
      <c r="BW97" s="31"/>
      <c r="BX97" s="31"/>
      <c r="BY97" s="85" t="str">
        <f t="shared" si="52"/>
        <v/>
      </c>
      <c r="BZ97" s="31"/>
      <c r="CA97" s="31"/>
      <c r="CB97" s="85" t="str">
        <f t="shared" si="53"/>
        <v/>
      </c>
      <c r="CC97" s="31"/>
      <c r="CD97" s="31"/>
      <c r="CE97" s="85" t="str">
        <f t="shared" si="54"/>
        <v/>
      </c>
      <c r="CF97" s="31"/>
      <c r="CG97" s="31"/>
      <c r="CH97" s="85" t="str">
        <f t="shared" si="55"/>
        <v/>
      </c>
      <c r="CI97" s="65">
        <v>2876</v>
      </c>
      <c r="CJ97" s="65">
        <v>670000</v>
      </c>
      <c r="CK97" s="85">
        <f t="shared" si="56"/>
        <v>232.96244784422808</v>
      </c>
      <c r="CL97" s="66">
        <v>2593</v>
      </c>
      <c r="CM97" s="66">
        <v>730000</v>
      </c>
      <c r="CN97" s="85">
        <f t="shared" si="57"/>
        <v>281.52718858465096</v>
      </c>
      <c r="CQ97" s="85" t="str">
        <f t="shared" si="58"/>
        <v/>
      </c>
    </row>
    <row r="98" spans="1:95" x14ac:dyDescent="0.3">
      <c r="A98" s="31" t="s">
        <v>171</v>
      </c>
      <c r="C98" s="30" t="s">
        <v>75</v>
      </c>
      <c r="D98" s="31" t="s">
        <v>1</v>
      </c>
      <c r="G98" s="85" t="str">
        <f t="shared" si="59"/>
        <v/>
      </c>
      <c r="H98" s="31"/>
      <c r="I98" s="31"/>
      <c r="J98" s="85" t="str">
        <f t="shared" si="30"/>
        <v/>
      </c>
      <c r="K98" s="31"/>
      <c r="L98" s="31"/>
      <c r="M98" s="85" t="str">
        <f t="shared" si="31"/>
        <v/>
      </c>
      <c r="N98" s="31"/>
      <c r="O98" s="31"/>
      <c r="P98" s="85" t="str">
        <f t="shared" si="32"/>
        <v/>
      </c>
      <c r="Q98" s="31"/>
      <c r="R98" s="31"/>
      <c r="S98" s="85" t="str">
        <f t="shared" si="33"/>
        <v/>
      </c>
      <c r="T98" s="31"/>
      <c r="U98" s="31"/>
      <c r="V98" s="85" t="str">
        <f t="shared" si="34"/>
        <v/>
      </c>
      <c r="W98" s="31"/>
      <c r="X98" s="31"/>
      <c r="Y98" s="85" t="str">
        <f t="shared" si="35"/>
        <v/>
      </c>
      <c r="Z98" s="31"/>
      <c r="AA98" s="31"/>
      <c r="AB98" s="85" t="str">
        <f t="shared" si="36"/>
        <v/>
      </c>
      <c r="AC98" s="31"/>
      <c r="AD98" s="31"/>
      <c r="AE98" s="85" t="str">
        <f t="shared" si="37"/>
        <v/>
      </c>
      <c r="AF98" s="31"/>
      <c r="AG98" s="31"/>
      <c r="AH98" s="85" t="str">
        <f t="shared" si="38"/>
        <v/>
      </c>
      <c r="AI98" s="31"/>
      <c r="AJ98" s="31"/>
      <c r="AK98" s="85" t="str">
        <f t="shared" si="39"/>
        <v/>
      </c>
      <c r="AL98" s="31"/>
      <c r="AM98" s="31"/>
      <c r="AN98" s="85" t="str">
        <f t="shared" si="40"/>
        <v/>
      </c>
      <c r="AO98" s="31"/>
      <c r="AP98" s="31"/>
      <c r="AQ98" s="85" t="str">
        <f t="shared" si="41"/>
        <v/>
      </c>
      <c r="AR98" s="31"/>
      <c r="AS98" s="31"/>
      <c r="AT98" s="85" t="str">
        <f t="shared" si="42"/>
        <v/>
      </c>
      <c r="AU98" s="31"/>
      <c r="AV98" s="31"/>
      <c r="AW98" s="85" t="str">
        <f t="shared" si="43"/>
        <v/>
      </c>
      <c r="AX98" s="33"/>
      <c r="AY98" s="31"/>
      <c r="AZ98" s="85" t="str">
        <f t="shared" si="44"/>
        <v/>
      </c>
      <c r="BA98" s="33"/>
      <c r="BB98" s="31"/>
      <c r="BC98" s="85" t="str">
        <f t="shared" si="45"/>
        <v/>
      </c>
      <c r="BD98" s="33"/>
      <c r="BE98" s="31"/>
      <c r="BF98" s="85" t="str">
        <f t="shared" si="46"/>
        <v/>
      </c>
      <c r="BG98" s="33"/>
      <c r="BH98" s="31"/>
      <c r="BI98" s="85" t="str">
        <f t="shared" si="47"/>
        <v/>
      </c>
      <c r="BJ98" s="33"/>
      <c r="BK98" s="33"/>
      <c r="BL98" s="85" t="str">
        <f t="shared" si="48"/>
        <v/>
      </c>
      <c r="BM98" s="33"/>
      <c r="BN98" s="33"/>
      <c r="BO98" s="85" t="str">
        <f t="shared" si="49"/>
        <v/>
      </c>
      <c r="BP98" s="33"/>
      <c r="BQ98" s="33"/>
      <c r="BR98" s="85" t="str">
        <f t="shared" si="50"/>
        <v/>
      </c>
      <c r="BS98" s="33"/>
      <c r="BT98" s="33"/>
      <c r="BU98" s="85" t="str">
        <f t="shared" si="51"/>
        <v/>
      </c>
      <c r="BV98" s="31" t="s">
        <v>1</v>
      </c>
      <c r="BW98" s="31"/>
      <c r="BX98" s="31"/>
      <c r="BY98" s="85" t="str">
        <f t="shared" si="52"/>
        <v/>
      </c>
      <c r="BZ98" s="31"/>
      <c r="CA98" s="31"/>
      <c r="CB98" s="85" t="str">
        <f t="shared" si="53"/>
        <v/>
      </c>
      <c r="CC98" s="31"/>
      <c r="CD98" s="31"/>
      <c r="CE98" s="85" t="str">
        <f t="shared" si="54"/>
        <v/>
      </c>
      <c r="CF98" s="31"/>
      <c r="CG98" s="31"/>
      <c r="CH98" s="85" t="str">
        <f t="shared" si="55"/>
        <v/>
      </c>
      <c r="CI98" s="65">
        <v>259</v>
      </c>
      <c r="CJ98" s="65">
        <v>140000</v>
      </c>
      <c r="CK98" s="85">
        <f t="shared" si="56"/>
        <v>540.54054054054052</v>
      </c>
      <c r="CL98" s="66">
        <v>216</v>
      </c>
      <c r="CM98" s="66">
        <v>162000</v>
      </c>
      <c r="CN98" s="85">
        <f t="shared" si="57"/>
        <v>750</v>
      </c>
      <c r="CQ98" s="85" t="str">
        <f t="shared" si="58"/>
        <v/>
      </c>
    </row>
    <row r="99" spans="1:95" x14ac:dyDescent="0.3">
      <c r="A99" s="31" t="s">
        <v>182</v>
      </c>
      <c r="C99" s="30" t="s">
        <v>75</v>
      </c>
      <c r="D99" s="31" t="s">
        <v>1</v>
      </c>
      <c r="G99" s="85" t="str">
        <f t="shared" si="59"/>
        <v/>
      </c>
      <c r="H99" s="31"/>
      <c r="I99" s="31"/>
      <c r="J99" s="85" t="str">
        <f t="shared" si="30"/>
        <v/>
      </c>
      <c r="K99" s="31"/>
      <c r="L99" s="31"/>
      <c r="M99" s="85" t="str">
        <f t="shared" si="31"/>
        <v/>
      </c>
      <c r="N99" s="31"/>
      <c r="O99" s="31"/>
      <c r="P99" s="85" t="str">
        <f t="shared" si="32"/>
        <v/>
      </c>
      <c r="Q99" s="31"/>
      <c r="R99" s="31"/>
      <c r="S99" s="85" t="str">
        <f t="shared" si="33"/>
        <v/>
      </c>
      <c r="T99" s="31"/>
      <c r="U99" s="31"/>
      <c r="V99" s="85" t="str">
        <f t="shared" si="34"/>
        <v/>
      </c>
      <c r="W99" s="31"/>
      <c r="X99" s="31"/>
      <c r="Y99" s="85" t="str">
        <f t="shared" si="35"/>
        <v/>
      </c>
      <c r="Z99" s="31"/>
      <c r="AA99" s="31"/>
      <c r="AB99" s="85" t="str">
        <f t="shared" si="36"/>
        <v/>
      </c>
      <c r="AC99" s="31"/>
      <c r="AD99" s="31"/>
      <c r="AE99" s="85" t="str">
        <f t="shared" si="37"/>
        <v/>
      </c>
      <c r="AF99" s="31"/>
      <c r="AG99" s="31"/>
      <c r="AH99" s="85" t="str">
        <f t="shared" si="38"/>
        <v/>
      </c>
      <c r="AI99" s="31"/>
      <c r="AJ99" s="31"/>
      <c r="AK99" s="85" t="str">
        <f t="shared" si="39"/>
        <v/>
      </c>
      <c r="AL99" s="31"/>
      <c r="AM99" s="31"/>
      <c r="AN99" s="85" t="str">
        <f t="shared" si="40"/>
        <v/>
      </c>
      <c r="AO99" s="31"/>
      <c r="AP99" s="31"/>
      <c r="AQ99" s="85" t="str">
        <f t="shared" si="41"/>
        <v/>
      </c>
      <c r="AR99" s="31"/>
      <c r="AS99" s="31"/>
      <c r="AT99" s="85" t="str">
        <f t="shared" si="42"/>
        <v/>
      </c>
      <c r="AU99" s="31"/>
      <c r="AV99" s="31"/>
      <c r="AW99" s="85" t="str">
        <f t="shared" si="43"/>
        <v/>
      </c>
      <c r="AX99" s="33"/>
      <c r="AY99" s="31"/>
      <c r="AZ99" s="85" t="str">
        <f t="shared" si="44"/>
        <v/>
      </c>
      <c r="BA99" s="33"/>
      <c r="BB99" s="31"/>
      <c r="BC99" s="85" t="str">
        <f t="shared" si="45"/>
        <v/>
      </c>
      <c r="BD99" s="33"/>
      <c r="BE99" s="31"/>
      <c r="BF99" s="85" t="str">
        <f t="shared" si="46"/>
        <v/>
      </c>
      <c r="BG99" s="33"/>
      <c r="BH99" s="31"/>
      <c r="BI99" s="85" t="str">
        <f t="shared" si="47"/>
        <v/>
      </c>
      <c r="BJ99" s="33"/>
      <c r="BK99" s="33"/>
      <c r="BL99" s="85" t="str">
        <f t="shared" si="48"/>
        <v/>
      </c>
      <c r="BM99" s="33"/>
      <c r="BN99" s="33"/>
      <c r="BO99" s="85" t="str">
        <f t="shared" si="49"/>
        <v/>
      </c>
      <c r="BP99" s="33"/>
      <c r="BQ99" s="33"/>
      <c r="BR99" s="85" t="str">
        <f t="shared" si="50"/>
        <v/>
      </c>
      <c r="BS99" s="33"/>
      <c r="BT99" s="33"/>
      <c r="BU99" s="85" t="str">
        <f t="shared" si="51"/>
        <v/>
      </c>
      <c r="BV99" s="31" t="s">
        <v>1</v>
      </c>
      <c r="BW99" s="31"/>
      <c r="BX99" s="31"/>
      <c r="BY99" s="85" t="str">
        <f t="shared" si="52"/>
        <v/>
      </c>
      <c r="BZ99" s="31"/>
      <c r="CA99" s="31"/>
      <c r="CB99" s="85" t="str">
        <f t="shared" si="53"/>
        <v/>
      </c>
      <c r="CC99" s="31"/>
      <c r="CD99" s="31"/>
      <c r="CE99" s="85" t="str">
        <f t="shared" si="54"/>
        <v/>
      </c>
      <c r="CF99" s="31"/>
      <c r="CG99" s="31"/>
      <c r="CH99" s="85" t="str">
        <f t="shared" si="55"/>
        <v/>
      </c>
      <c r="CI99" s="65">
        <v>1075</v>
      </c>
      <c r="CJ99" s="65">
        <v>248000</v>
      </c>
      <c r="CK99" s="85">
        <f t="shared" si="56"/>
        <v>230.69767441860466</v>
      </c>
      <c r="CL99" s="66">
        <v>1465</v>
      </c>
      <c r="CM99" s="66">
        <v>390000</v>
      </c>
      <c r="CN99" s="85">
        <f t="shared" si="57"/>
        <v>266.21160409556313</v>
      </c>
      <c r="CQ99" s="85" t="str">
        <f t="shared" si="58"/>
        <v/>
      </c>
    </row>
    <row r="100" spans="1:95" x14ac:dyDescent="0.3">
      <c r="A100" s="31" t="s">
        <v>403</v>
      </c>
      <c r="B100" s="31" t="s">
        <v>345</v>
      </c>
      <c r="C100" s="30" t="s">
        <v>75</v>
      </c>
      <c r="D100" s="31" t="s">
        <v>1</v>
      </c>
      <c r="G100" s="85" t="str">
        <f t="shared" si="59"/>
        <v/>
      </c>
      <c r="H100" s="31"/>
      <c r="I100" s="31"/>
      <c r="J100" s="85" t="str">
        <f t="shared" si="30"/>
        <v/>
      </c>
      <c r="K100" s="31"/>
      <c r="L100" s="31"/>
      <c r="M100" s="85" t="str">
        <f t="shared" si="31"/>
        <v/>
      </c>
      <c r="N100" s="31"/>
      <c r="O100" s="31"/>
      <c r="P100" s="85" t="str">
        <f t="shared" si="32"/>
        <v/>
      </c>
      <c r="Q100" s="31"/>
      <c r="R100" s="31"/>
      <c r="S100" s="85" t="str">
        <f t="shared" si="33"/>
        <v/>
      </c>
      <c r="T100" s="31"/>
      <c r="U100" s="31"/>
      <c r="V100" s="85" t="str">
        <f t="shared" si="34"/>
        <v/>
      </c>
      <c r="W100" s="31"/>
      <c r="X100" s="31"/>
      <c r="Y100" s="85" t="str">
        <f t="shared" si="35"/>
        <v/>
      </c>
      <c r="Z100" s="31"/>
      <c r="AA100" s="31"/>
      <c r="AB100" s="85" t="str">
        <f t="shared" si="36"/>
        <v/>
      </c>
      <c r="AC100" s="31"/>
      <c r="AD100" s="31"/>
      <c r="AE100" s="85" t="str">
        <f t="shared" si="37"/>
        <v/>
      </c>
      <c r="AF100" s="31"/>
      <c r="AG100" s="31"/>
      <c r="AH100" s="85" t="str">
        <f t="shared" si="38"/>
        <v/>
      </c>
      <c r="AI100" s="31"/>
      <c r="AJ100" s="31"/>
      <c r="AK100" s="85" t="str">
        <f t="shared" si="39"/>
        <v/>
      </c>
      <c r="AL100" s="31"/>
      <c r="AM100" s="31"/>
      <c r="AN100" s="85" t="str">
        <f t="shared" si="40"/>
        <v/>
      </c>
      <c r="AO100" s="31"/>
      <c r="AP100" s="31"/>
      <c r="AQ100" s="85" t="str">
        <f t="shared" si="41"/>
        <v/>
      </c>
      <c r="AR100" s="31"/>
      <c r="AS100" s="31"/>
      <c r="AT100" s="85" t="str">
        <f t="shared" si="42"/>
        <v/>
      </c>
      <c r="AU100" s="31"/>
      <c r="AV100" s="31"/>
      <c r="AW100" s="85" t="str">
        <f t="shared" si="43"/>
        <v/>
      </c>
      <c r="AX100" s="33"/>
      <c r="AY100" s="31"/>
      <c r="AZ100" s="85" t="str">
        <f t="shared" si="44"/>
        <v/>
      </c>
      <c r="BA100" s="33"/>
      <c r="BB100" s="31"/>
      <c r="BC100" s="85" t="str">
        <f t="shared" si="45"/>
        <v/>
      </c>
      <c r="BD100" s="33">
        <v>802</v>
      </c>
      <c r="BE100" s="31">
        <v>280000</v>
      </c>
      <c r="BF100" s="85">
        <f t="shared" si="46"/>
        <v>349.12718204488777</v>
      </c>
      <c r="BG100" s="33"/>
      <c r="BH100" s="31"/>
      <c r="BI100" s="85" t="str">
        <f t="shared" si="47"/>
        <v/>
      </c>
      <c r="BJ100" s="33"/>
      <c r="BK100" s="33"/>
      <c r="BL100" s="85" t="str">
        <f t="shared" si="48"/>
        <v/>
      </c>
      <c r="BM100" s="33"/>
      <c r="BN100" s="33"/>
      <c r="BO100" s="85" t="str">
        <f t="shared" si="49"/>
        <v/>
      </c>
      <c r="BP100" s="33"/>
      <c r="BQ100" s="33"/>
      <c r="BR100" s="85" t="str">
        <f t="shared" si="50"/>
        <v/>
      </c>
      <c r="BS100" s="33"/>
      <c r="BT100" s="33"/>
      <c r="BU100" s="85" t="str">
        <f t="shared" si="51"/>
        <v/>
      </c>
      <c r="BV100" s="31"/>
      <c r="BW100" s="31"/>
      <c r="BX100" s="31"/>
      <c r="BY100" s="85" t="str">
        <f t="shared" si="52"/>
        <v/>
      </c>
      <c r="BZ100" s="31"/>
      <c r="CA100" s="31"/>
      <c r="CB100" s="85" t="str">
        <f t="shared" si="53"/>
        <v/>
      </c>
      <c r="CC100" s="31"/>
      <c r="CD100" s="31"/>
      <c r="CE100" s="85" t="str">
        <f t="shared" si="54"/>
        <v/>
      </c>
      <c r="CF100" s="31"/>
      <c r="CG100" s="31"/>
      <c r="CH100" s="85" t="str">
        <f t="shared" si="55"/>
        <v/>
      </c>
      <c r="CI100" s="65"/>
      <c r="CJ100" s="65"/>
      <c r="CK100" s="85" t="str">
        <f t="shared" si="56"/>
        <v/>
      </c>
      <c r="CL100" s="66"/>
      <c r="CM100" s="66"/>
      <c r="CN100" s="85" t="str">
        <f t="shared" si="57"/>
        <v/>
      </c>
      <c r="CQ100" s="85" t="str">
        <f t="shared" si="58"/>
        <v/>
      </c>
    </row>
    <row r="101" spans="1:95" x14ac:dyDescent="0.3">
      <c r="A101" s="31" t="s">
        <v>183</v>
      </c>
      <c r="C101" s="30" t="s">
        <v>360</v>
      </c>
      <c r="D101" s="69" t="s">
        <v>281</v>
      </c>
      <c r="G101" s="85" t="str">
        <f t="shared" si="59"/>
        <v/>
      </c>
      <c r="H101" s="31"/>
      <c r="I101" s="31"/>
      <c r="J101" s="85" t="str">
        <f t="shared" si="30"/>
        <v/>
      </c>
      <c r="K101" s="31"/>
      <c r="L101" s="31"/>
      <c r="M101" s="85" t="str">
        <f t="shared" si="31"/>
        <v/>
      </c>
      <c r="N101" s="31"/>
      <c r="O101" s="31"/>
      <c r="P101" s="85" t="str">
        <f t="shared" si="32"/>
        <v/>
      </c>
      <c r="Q101" s="31"/>
      <c r="R101" s="31"/>
      <c r="S101" s="85" t="str">
        <f t="shared" si="33"/>
        <v/>
      </c>
      <c r="T101" s="31"/>
      <c r="U101" s="31"/>
      <c r="V101" s="85" t="str">
        <f t="shared" si="34"/>
        <v/>
      </c>
      <c r="W101" s="31"/>
      <c r="X101" s="31"/>
      <c r="Y101" s="85" t="str">
        <f t="shared" si="35"/>
        <v/>
      </c>
      <c r="Z101" s="31"/>
      <c r="AA101" s="31"/>
      <c r="AB101" s="85" t="str">
        <f t="shared" si="36"/>
        <v/>
      </c>
      <c r="AC101" s="31"/>
      <c r="AD101" s="31"/>
      <c r="AE101" s="85" t="str">
        <f t="shared" si="37"/>
        <v/>
      </c>
      <c r="AF101" s="31"/>
      <c r="AG101" s="31"/>
      <c r="AH101" s="85" t="str">
        <f t="shared" si="38"/>
        <v/>
      </c>
      <c r="AI101" s="31"/>
      <c r="AJ101" s="31"/>
      <c r="AK101" s="85" t="str">
        <f t="shared" si="39"/>
        <v/>
      </c>
      <c r="AL101" s="31"/>
      <c r="AM101" s="31"/>
      <c r="AN101" s="85" t="str">
        <f t="shared" si="40"/>
        <v/>
      </c>
      <c r="AO101" s="31"/>
      <c r="AP101" s="31"/>
      <c r="AQ101" s="85" t="str">
        <f t="shared" si="41"/>
        <v/>
      </c>
      <c r="AR101" s="31"/>
      <c r="AS101" s="31"/>
      <c r="AT101" s="85" t="str">
        <f t="shared" si="42"/>
        <v/>
      </c>
      <c r="AU101" s="31"/>
      <c r="AV101" s="31"/>
      <c r="AW101" s="85" t="str">
        <f t="shared" si="43"/>
        <v/>
      </c>
      <c r="AX101" s="33"/>
      <c r="AY101" s="31"/>
      <c r="AZ101" s="85" t="str">
        <f t="shared" si="44"/>
        <v/>
      </c>
      <c r="BA101" s="33"/>
      <c r="BB101" s="31"/>
      <c r="BC101" s="85" t="str">
        <f t="shared" si="45"/>
        <v/>
      </c>
      <c r="BD101" s="33">
        <v>646600</v>
      </c>
      <c r="BE101" s="31">
        <v>22900</v>
      </c>
      <c r="BF101" s="85">
        <f t="shared" si="46"/>
        <v>3.5416022270337147E-2</v>
      </c>
      <c r="BG101" s="33">
        <v>817100</v>
      </c>
      <c r="BH101" s="31">
        <v>28000</v>
      </c>
      <c r="BI101" s="85">
        <f t="shared" si="47"/>
        <v>3.4267531513890587E-2</v>
      </c>
      <c r="BJ101" s="33">
        <v>812000</v>
      </c>
      <c r="BK101" s="33">
        <v>29000</v>
      </c>
      <c r="BL101" s="85">
        <f t="shared" si="48"/>
        <v>3.5714285714285712E-2</v>
      </c>
      <c r="BM101" s="33">
        <f>941100+135100</f>
        <v>1076200</v>
      </c>
      <c r="BN101" s="33">
        <f>29812+4607</f>
        <v>34419</v>
      </c>
      <c r="BO101" s="85">
        <f t="shared" si="49"/>
        <v>3.1981973610853004E-2</v>
      </c>
      <c r="BP101" s="33">
        <f>913400</f>
        <v>913400</v>
      </c>
      <c r="BQ101" s="33">
        <v>27724</v>
      </c>
      <c r="BR101" s="85">
        <f t="shared" si="50"/>
        <v>3.0352529012480842E-2</v>
      </c>
      <c r="BS101" s="33">
        <f>1190800</f>
        <v>1190800</v>
      </c>
      <c r="BT101" s="33">
        <v>35782</v>
      </c>
      <c r="BU101" s="85">
        <f t="shared" si="51"/>
        <v>3.0048706751763521E-2</v>
      </c>
      <c r="BV101" s="31" t="s">
        <v>1</v>
      </c>
      <c r="BW101" s="31"/>
      <c r="BX101" s="31"/>
      <c r="BY101" s="85" t="str">
        <f t="shared" si="52"/>
        <v/>
      </c>
      <c r="BZ101" s="31"/>
      <c r="CA101" s="31"/>
      <c r="CB101" s="85" t="str">
        <f t="shared" si="53"/>
        <v/>
      </c>
      <c r="CC101" s="31"/>
      <c r="CD101" s="31"/>
      <c r="CE101" s="85" t="str">
        <f t="shared" si="54"/>
        <v/>
      </c>
      <c r="CF101" s="31"/>
      <c r="CG101" s="31"/>
      <c r="CH101" s="85" t="str">
        <f t="shared" si="55"/>
        <v/>
      </c>
      <c r="CI101" s="65">
        <v>1631</v>
      </c>
      <c r="CJ101" s="65">
        <v>89000</v>
      </c>
      <c r="CK101" s="85">
        <f t="shared" si="56"/>
        <v>54.567749846719806</v>
      </c>
      <c r="CL101" s="66">
        <v>1299</v>
      </c>
      <c r="CM101" s="66">
        <v>74000</v>
      </c>
      <c r="CN101" s="85">
        <f t="shared" si="57"/>
        <v>56.96689761354888</v>
      </c>
      <c r="CQ101" s="85" t="str">
        <f t="shared" si="58"/>
        <v/>
      </c>
    </row>
    <row r="102" spans="1:95" x14ac:dyDescent="0.3">
      <c r="A102" s="31" t="s">
        <v>404</v>
      </c>
      <c r="C102" s="30" t="s">
        <v>75</v>
      </c>
      <c r="D102" s="31" t="s">
        <v>1</v>
      </c>
      <c r="G102" s="85" t="str">
        <f t="shared" si="59"/>
        <v/>
      </c>
      <c r="H102" s="31"/>
      <c r="I102" s="31"/>
      <c r="J102" s="85" t="str">
        <f t="shared" si="30"/>
        <v/>
      </c>
      <c r="K102" s="31"/>
      <c r="L102" s="31"/>
      <c r="M102" s="85" t="str">
        <f t="shared" si="31"/>
        <v/>
      </c>
      <c r="N102" s="31"/>
      <c r="O102" s="31"/>
      <c r="P102" s="85" t="str">
        <f t="shared" si="32"/>
        <v/>
      </c>
      <c r="Q102" s="31"/>
      <c r="R102" s="31"/>
      <c r="S102" s="85" t="str">
        <f t="shared" si="33"/>
        <v/>
      </c>
      <c r="T102" s="31"/>
      <c r="U102" s="31"/>
      <c r="V102" s="85" t="str">
        <f t="shared" si="34"/>
        <v/>
      </c>
      <c r="W102" s="31"/>
      <c r="X102" s="31"/>
      <c r="Y102" s="85" t="str">
        <f t="shared" si="35"/>
        <v/>
      </c>
      <c r="Z102" s="31"/>
      <c r="AA102" s="31"/>
      <c r="AB102" s="85" t="str">
        <f t="shared" si="36"/>
        <v/>
      </c>
      <c r="AC102" s="31"/>
      <c r="AD102" s="31"/>
      <c r="AE102" s="85" t="str">
        <f t="shared" si="37"/>
        <v/>
      </c>
      <c r="AF102" s="31"/>
      <c r="AG102" s="31"/>
      <c r="AH102" s="85" t="str">
        <f t="shared" si="38"/>
        <v/>
      </c>
      <c r="AI102" s="31"/>
      <c r="AJ102" s="31"/>
      <c r="AK102" s="85" t="str">
        <f t="shared" si="39"/>
        <v/>
      </c>
      <c r="AL102" s="31"/>
      <c r="AM102" s="31"/>
      <c r="AN102" s="85" t="str">
        <f t="shared" si="40"/>
        <v/>
      </c>
      <c r="AO102" s="31"/>
      <c r="AP102" s="31"/>
      <c r="AQ102" s="85" t="str">
        <f t="shared" si="41"/>
        <v/>
      </c>
      <c r="AR102" s="31"/>
      <c r="AS102" s="31"/>
      <c r="AT102" s="85" t="str">
        <f t="shared" si="42"/>
        <v/>
      </c>
      <c r="AU102" s="31"/>
      <c r="AV102" s="31"/>
      <c r="AW102" s="85" t="str">
        <f t="shared" si="43"/>
        <v/>
      </c>
      <c r="AX102" s="33"/>
      <c r="AY102" s="31"/>
      <c r="AZ102" s="85" t="str">
        <f t="shared" si="44"/>
        <v/>
      </c>
      <c r="BA102" s="33"/>
      <c r="BB102" s="31"/>
      <c r="BC102" s="85" t="str">
        <f t="shared" si="45"/>
        <v/>
      </c>
      <c r="BD102" s="33"/>
      <c r="BE102" s="31"/>
      <c r="BF102" s="85" t="str">
        <f t="shared" si="46"/>
        <v/>
      </c>
      <c r="BG102" s="33"/>
      <c r="BH102" s="31"/>
      <c r="BI102" s="85" t="str">
        <f t="shared" si="47"/>
        <v/>
      </c>
      <c r="BJ102" s="33"/>
      <c r="BK102" s="33"/>
      <c r="BL102" s="85" t="str">
        <f t="shared" si="48"/>
        <v/>
      </c>
      <c r="BM102" s="33">
        <f>(6731+7920)/$D$193</f>
        <v>732.55</v>
      </c>
      <c r="BN102" s="33">
        <f>8565+7847</f>
        <v>16412</v>
      </c>
      <c r="BO102" s="85">
        <f t="shared" si="49"/>
        <v>22.403931472254456</v>
      </c>
      <c r="BP102" s="33">
        <f>(6181+7604)/$D$193</f>
        <v>689.25</v>
      </c>
      <c r="BQ102" s="33">
        <f>7813+7441</f>
        <v>15254</v>
      </c>
      <c r="BR102" s="85">
        <f t="shared" si="50"/>
        <v>22.131302140007254</v>
      </c>
      <c r="BS102" s="33">
        <f>(8849+10765)/$D$193</f>
        <v>980.7</v>
      </c>
      <c r="BT102" s="33">
        <f>10765+9227</f>
        <v>19992</v>
      </c>
      <c r="BU102" s="85">
        <f t="shared" si="51"/>
        <v>20.385438972162738</v>
      </c>
      <c r="BV102" s="31"/>
      <c r="BW102" s="31"/>
      <c r="BX102" s="31"/>
      <c r="BY102" s="85" t="str">
        <f t="shared" si="52"/>
        <v/>
      </c>
      <c r="BZ102" s="31"/>
      <c r="CA102" s="31"/>
      <c r="CB102" s="85" t="str">
        <f t="shared" si="53"/>
        <v/>
      </c>
      <c r="CC102" s="31"/>
      <c r="CD102" s="31"/>
      <c r="CE102" s="85" t="str">
        <f t="shared" si="54"/>
        <v/>
      </c>
      <c r="CF102" s="31"/>
      <c r="CG102" s="31"/>
      <c r="CH102" s="85" t="str">
        <f t="shared" si="55"/>
        <v/>
      </c>
      <c r="CI102" s="65"/>
      <c r="CJ102" s="65"/>
      <c r="CK102" s="85" t="str">
        <f t="shared" si="56"/>
        <v/>
      </c>
      <c r="CL102" s="66"/>
      <c r="CM102" s="66"/>
      <c r="CN102" s="85" t="str">
        <f t="shared" si="57"/>
        <v/>
      </c>
      <c r="CQ102" s="85" t="str">
        <f t="shared" si="58"/>
        <v/>
      </c>
    </row>
    <row r="103" spans="1:95" x14ac:dyDescent="0.3">
      <c r="A103" s="31" t="s">
        <v>184</v>
      </c>
      <c r="C103" s="30" t="s">
        <v>75</v>
      </c>
      <c r="D103" s="31" t="s">
        <v>1</v>
      </c>
      <c r="G103" s="85" t="str">
        <f t="shared" si="59"/>
        <v/>
      </c>
      <c r="H103" s="31"/>
      <c r="I103" s="31"/>
      <c r="J103" s="85" t="str">
        <f t="shared" si="30"/>
        <v/>
      </c>
      <c r="K103" s="31"/>
      <c r="L103" s="31"/>
      <c r="M103" s="85" t="str">
        <f t="shared" si="31"/>
        <v/>
      </c>
      <c r="N103" s="31"/>
      <c r="O103" s="31"/>
      <c r="P103" s="85" t="str">
        <f t="shared" si="32"/>
        <v/>
      </c>
      <c r="Q103" s="31"/>
      <c r="R103" s="31"/>
      <c r="S103" s="85" t="str">
        <f t="shared" si="33"/>
        <v/>
      </c>
      <c r="T103" s="31"/>
      <c r="U103" s="31"/>
      <c r="V103" s="85" t="str">
        <f t="shared" si="34"/>
        <v/>
      </c>
      <c r="W103" s="31"/>
      <c r="X103" s="31"/>
      <c r="Y103" s="85" t="str">
        <f t="shared" si="35"/>
        <v/>
      </c>
      <c r="Z103" s="31"/>
      <c r="AA103" s="31"/>
      <c r="AB103" s="85" t="str">
        <f t="shared" si="36"/>
        <v/>
      </c>
      <c r="AC103" s="31"/>
      <c r="AD103" s="31"/>
      <c r="AE103" s="85" t="str">
        <f t="shared" si="37"/>
        <v/>
      </c>
      <c r="AF103" s="31"/>
      <c r="AG103" s="31"/>
      <c r="AH103" s="85" t="str">
        <f t="shared" si="38"/>
        <v/>
      </c>
      <c r="AI103" s="31"/>
      <c r="AJ103" s="31"/>
      <c r="AK103" s="85" t="str">
        <f t="shared" si="39"/>
        <v/>
      </c>
      <c r="AL103" s="31"/>
      <c r="AM103" s="31"/>
      <c r="AN103" s="85" t="str">
        <f t="shared" si="40"/>
        <v/>
      </c>
      <c r="AO103" s="31"/>
      <c r="AP103" s="31"/>
      <c r="AQ103" s="85" t="str">
        <f t="shared" si="41"/>
        <v/>
      </c>
      <c r="AR103" s="31"/>
      <c r="AS103" s="31"/>
      <c r="AT103" s="85" t="str">
        <f t="shared" si="42"/>
        <v/>
      </c>
      <c r="AU103" s="31"/>
      <c r="AV103" s="31"/>
      <c r="AW103" s="85" t="str">
        <f t="shared" si="43"/>
        <v/>
      </c>
      <c r="AX103" s="33"/>
      <c r="AY103" s="31"/>
      <c r="AZ103" s="85" t="str">
        <f t="shared" si="44"/>
        <v/>
      </c>
      <c r="BA103" s="33"/>
      <c r="BB103" s="31"/>
      <c r="BC103" s="85" t="str">
        <f t="shared" si="45"/>
        <v/>
      </c>
      <c r="BD103" s="33"/>
      <c r="BE103" s="31"/>
      <c r="BF103" s="85" t="str">
        <f t="shared" si="46"/>
        <v/>
      </c>
      <c r="BG103" s="33"/>
      <c r="BH103" s="31"/>
      <c r="BI103" s="85" t="str">
        <f t="shared" si="47"/>
        <v/>
      </c>
      <c r="BJ103" s="33"/>
      <c r="BK103" s="33"/>
      <c r="BL103" s="85" t="str">
        <f t="shared" si="48"/>
        <v/>
      </c>
      <c r="BM103" s="33"/>
      <c r="BN103" s="33"/>
      <c r="BO103" s="85" t="str">
        <f t="shared" si="49"/>
        <v/>
      </c>
      <c r="BP103" s="33"/>
      <c r="BQ103" s="33"/>
      <c r="BR103" s="85" t="str">
        <f t="shared" si="50"/>
        <v/>
      </c>
      <c r="BS103" s="33"/>
      <c r="BT103" s="33"/>
      <c r="BU103" s="85" t="str">
        <f t="shared" si="51"/>
        <v/>
      </c>
      <c r="BV103" s="31" t="s">
        <v>1</v>
      </c>
      <c r="BW103" s="31"/>
      <c r="BX103" s="31"/>
      <c r="BY103" s="85" t="str">
        <f t="shared" si="52"/>
        <v/>
      </c>
      <c r="BZ103" s="31"/>
      <c r="CA103" s="31"/>
      <c r="CB103" s="85" t="str">
        <f t="shared" si="53"/>
        <v/>
      </c>
      <c r="CC103" s="31"/>
      <c r="CD103" s="31"/>
      <c r="CE103" s="85" t="str">
        <f t="shared" si="54"/>
        <v/>
      </c>
      <c r="CF103" s="31"/>
      <c r="CG103" s="31"/>
      <c r="CH103" s="85" t="str">
        <f t="shared" si="55"/>
        <v/>
      </c>
      <c r="CI103" s="31"/>
      <c r="CJ103" s="31"/>
      <c r="CK103" s="85" t="str">
        <f t="shared" si="56"/>
        <v/>
      </c>
      <c r="CL103" s="66">
        <v>486</v>
      </c>
      <c r="CM103" s="66">
        <v>94000</v>
      </c>
      <c r="CN103" s="85">
        <f t="shared" si="57"/>
        <v>193.41563786008231</v>
      </c>
      <c r="CQ103" s="85" t="str">
        <f t="shared" si="58"/>
        <v/>
      </c>
    </row>
    <row r="104" spans="1:95" x14ac:dyDescent="0.3">
      <c r="A104" s="31" t="s">
        <v>185</v>
      </c>
      <c r="C104" s="30" t="s">
        <v>75</v>
      </c>
      <c r="D104" s="31" t="s">
        <v>1</v>
      </c>
      <c r="G104" s="85" t="str">
        <f t="shared" si="59"/>
        <v/>
      </c>
      <c r="H104" s="31"/>
      <c r="I104" s="31"/>
      <c r="J104" s="85" t="str">
        <f t="shared" si="30"/>
        <v/>
      </c>
      <c r="K104" s="31"/>
      <c r="L104" s="31"/>
      <c r="M104" s="85" t="str">
        <f t="shared" si="31"/>
        <v/>
      </c>
      <c r="N104" s="31"/>
      <c r="O104" s="31"/>
      <c r="P104" s="85" t="str">
        <f t="shared" si="32"/>
        <v/>
      </c>
      <c r="Q104" s="31"/>
      <c r="R104" s="31"/>
      <c r="S104" s="85" t="str">
        <f t="shared" si="33"/>
        <v/>
      </c>
      <c r="T104" s="31"/>
      <c r="U104" s="31"/>
      <c r="V104" s="85" t="str">
        <f t="shared" si="34"/>
        <v/>
      </c>
      <c r="W104" s="31"/>
      <c r="X104" s="31"/>
      <c r="Y104" s="85" t="str">
        <f t="shared" si="35"/>
        <v/>
      </c>
      <c r="Z104" s="31"/>
      <c r="AA104" s="31"/>
      <c r="AB104" s="85" t="str">
        <f t="shared" si="36"/>
        <v/>
      </c>
      <c r="AC104" s="31"/>
      <c r="AD104" s="31"/>
      <c r="AE104" s="85" t="str">
        <f t="shared" si="37"/>
        <v/>
      </c>
      <c r="AF104" s="31"/>
      <c r="AG104" s="31"/>
      <c r="AH104" s="85" t="str">
        <f t="shared" si="38"/>
        <v/>
      </c>
      <c r="AI104" s="31"/>
      <c r="AJ104" s="31"/>
      <c r="AK104" s="85" t="str">
        <f t="shared" si="39"/>
        <v/>
      </c>
      <c r="AL104" s="31"/>
      <c r="AM104" s="31"/>
      <c r="AN104" s="85" t="str">
        <f t="shared" si="40"/>
        <v/>
      </c>
      <c r="AO104" s="31"/>
      <c r="AP104" s="31"/>
      <c r="AQ104" s="85" t="str">
        <f t="shared" si="41"/>
        <v/>
      </c>
      <c r="AR104" s="31"/>
      <c r="AS104" s="31"/>
      <c r="AT104" s="85" t="str">
        <f t="shared" si="42"/>
        <v/>
      </c>
      <c r="AU104" s="31"/>
      <c r="AV104" s="31"/>
      <c r="AW104" s="85" t="str">
        <f t="shared" si="43"/>
        <v/>
      </c>
      <c r="AX104" s="33"/>
      <c r="AY104" s="31"/>
      <c r="AZ104" s="85" t="str">
        <f t="shared" si="44"/>
        <v/>
      </c>
      <c r="BA104" s="33"/>
      <c r="BB104" s="31"/>
      <c r="BC104" s="85" t="str">
        <f t="shared" si="45"/>
        <v/>
      </c>
      <c r="BD104" s="33"/>
      <c r="BE104" s="31"/>
      <c r="BF104" s="85" t="str">
        <f t="shared" si="46"/>
        <v/>
      </c>
      <c r="BG104" s="33"/>
      <c r="BH104" s="31"/>
      <c r="BI104" s="85" t="str">
        <f t="shared" si="47"/>
        <v/>
      </c>
      <c r="BJ104" s="33"/>
      <c r="BK104" s="33"/>
      <c r="BL104" s="85" t="str">
        <f t="shared" si="48"/>
        <v/>
      </c>
      <c r="BM104" s="33"/>
      <c r="BN104" s="33"/>
      <c r="BO104" s="85" t="str">
        <f t="shared" si="49"/>
        <v/>
      </c>
      <c r="BP104" s="33"/>
      <c r="BQ104" s="33"/>
      <c r="BR104" s="85" t="str">
        <f t="shared" si="50"/>
        <v/>
      </c>
      <c r="BS104" s="33"/>
      <c r="BT104" s="33"/>
      <c r="BU104" s="85" t="str">
        <f t="shared" si="51"/>
        <v/>
      </c>
      <c r="BV104" s="31" t="s">
        <v>1</v>
      </c>
      <c r="BW104" s="31"/>
      <c r="BX104" s="31"/>
      <c r="BY104" s="85" t="str">
        <f t="shared" si="52"/>
        <v/>
      </c>
      <c r="BZ104" s="31"/>
      <c r="CA104" s="31"/>
      <c r="CB104" s="85" t="str">
        <f t="shared" si="53"/>
        <v/>
      </c>
      <c r="CC104" s="31"/>
      <c r="CD104" s="31"/>
      <c r="CE104" s="85" t="str">
        <f t="shared" si="54"/>
        <v/>
      </c>
      <c r="CF104" s="31"/>
      <c r="CG104" s="31"/>
      <c r="CH104" s="85" t="str">
        <f t="shared" si="55"/>
        <v/>
      </c>
      <c r="CI104" s="31">
        <v>61</v>
      </c>
      <c r="CJ104" s="33">
        <v>21000</v>
      </c>
      <c r="CK104" s="85">
        <f t="shared" si="56"/>
        <v>344.26229508196724</v>
      </c>
      <c r="CL104" s="66">
        <v>70</v>
      </c>
      <c r="CM104" s="66">
        <v>28000</v>
      </c>
      <c r="CN104" s="85">
        <f t="shared" si="57"/>
        <v>400</v>
      </c>
      <c r="CQ104" s="85" t="str">
        <f t="shared" si="58"/>
        <v/>
      </c>
    </row>
    <row r="105" spans="1:95" x14ac:dyDescent="0.3">
      <c r="A105" s="31" t="s">
        <v>186</v>
      </c>
      <c r="C105" s="30" t="s">
        <v>75</v>
      </c>
      <c r="D105" s="31" t="s">
        <v>1</v>
      </c>
      <c r="G105" s="85" t="str">
        <f t="shared" si="59"/>
        <v/>
      </c>
      <c r="H105" s="31"/>
      <c r="I105" s="31"/>
      <c r="J105" s="85" t="str">
        <f t="shared" si="30"/>
        <v/>
      </c>
      <c r="K105" s="31"/>
      <c r="L105" s="31"/>
      <c r="M105" s="85" t="str">
        <f t="shared" si="31"/>
        <v/>
      </c>
      <c r="N105" s="31"/>
      <c r="O105" s="31"/>
      <c r="P105" s="85" t="str">
        <f t="shared" si="32"/>
        <v/>
      </c>
      <c r="Q105" s="31"/>
      <c r="R105" s="31"/>
      <c r="S105" s="85" t="str">
        <f t="shared" si="33"/>
        <v/>
      </c>
      <c r="T105" s="31"/>
      <c r="U105" s="31"/>
      <c r="V105" s="85" t="str">
        <f t="shared" si="34"/>
        <v/>
      </c>
      <c r="W105" s="31"/>
      <c r="X105" s="31"/>
      <c r="Y105" s="85" t="str">
        <f t="shared" si="35"/>
        <v/>
      </c>
      <c r="Z105" s="31"/>
      <c r="AA105" s="31"/>
      <c r="AB105" s="85" t="str">
        <f t="shared" si="36"/>
        <v/>
      </c>
      <c r="AC105" s="31"/>
      <c r="AD105" s="31"/>
      <c r="AE105" s="85" t="str">
        <f t="shared" si="37"/>
        <v/>
      </c>
      <c r="AF105" s="31"/>
      <c r="AG105" s="31"/>
      <c r="AH105" s="85" t="str">
        <f t="shared" si="38"/>
        <v/>
      </c>
      <c r="AI105" s="31"/>
      <c r="AJ105" s="31"/>
      <c r="AK105" s="85" t="str">
        <f t="shared" si="39"/>
        <v/>
      </c>
      <c r="AL105" s="31"/>
      <c r="AM105" s="31"/>
      <c r="AN105" s="85" t="str">
        <f t="shared" si="40"/>
        <v/>
      </c>
      <c r="AO105" s="31"/>
      <c r="AP105" s="31"/>
      <c r="AQ105" s="85" t="str">
        <f t="shared" si="41"/>
        <v/>
      </c>
      <c r="AR105" s="31"/>
      <c r="AS105" s="31"/>
      <c r="AT105" s="85" t="str">
        <f t="shared" si="42"/>
        <v/>
      </c>
      <c r="AU105" s="31"/>
      <c r="AV105" s="31"/>
      <c r="AW105" s="85" t="str">
        <f t="shared" si="43"/>
        <v/>
      </c>
      <c r="AX105" s="33"/>
      <c r="AY105" s="31"/>
      <c r="AZ105" s="85" t="str">
        <f t="shared" si="44"/>
        <v/>
      </c>
      <c r="BA105" s="33"/>
      <c r="BB105" s="31"/>
      <c r="BC105" s="85" t="str">
        <f t="shared" si="45"/>
        <v/>
      </c>
      <c r="BD105" s="33"/>
      <c r="BE105" s="31"/>
      <c r="BF105" s="85" t="str">
        <f t="shared" si="46"/>
        <v/>
      </c>
      <c r="BG105" s="33"/>
      <c r="BH105" s="31"/>
      <c r="BI105" s="85" t="str">
        <f t="shared" si="47"/>
        <v/>
      </c>
      <c r="BJ105" s="33"/>
      <c r="BK105" s="33"/>
      <c r="BL105" s="85" t="str">
        <f t="shared" si="48"/>
        <v/>
      </c>
      <c r="BM105" s="33"/>
      <c r="BN105" s="33"/>
      <c r="BO105" s="85" t="str">
        <f t="shared" si="49"/>
        <v/>
      </c>
      <c r="BP105" s="33"/>
      <c r="BQ105" s="33"/>
      <c r="BR105" s="85" t="str">
        <f t="shared" si="50"/>
        <v/>
      </c>
      <c r="BS105" s="33"/>
      <c r="BT105" s="33"/>
      <c r="BU105" s="85" t="str">
        <f t="shared" si="51"/>
        <v/>
      </c>
      <c r="BV105" s="31" t="s">
        <v>1</v>
      </c>
      <c r="BW105" s="31"/>
      <c r="BX105" s="31"/>
      <c r="BY105" s="85" t="str">
        <f t="shared" si="52"/>
        <v/>
      </c>
      <c r="BZ105" s="31"/>
      <c r="CA105" s="31"/>
      <c r="CB105" s="85" t="str">
        <f t="shared" si="53"/>
        <v/>
      </c>
      <c r="CC105" s="31"/>
      <c r="CD105" s="31"/>
      <c r="CE105" s="85" t="str">
        <f t="shared" si="54"/>
        <v/>
      </c>
      <c r="CF105" s="31"/>
      <c r="CG105" s="31"/>
      <c r="CH105" s="85" t="str">
        <f t="shared" si="55"/>
        <v/>
      </c>
      <c r="CI105" s="31"/>
      <c r="CJ105" s="31"/>
      <c r="CK105" s="85" t="str">
        <f t="shared" si="56"/>
        <v/>
      </c>
      <c r="CL105" s="66">
        <v>3698</v>
      </c>
      <c r="CM105" s="66">
        <v>236000</v>
      </c>
      <c r="CN105" s="85">
        <f t="shared" si="57"/>
        <v>63.818280151433207</v>
      </c>
      <c r="CQ105" s="85" t="str">
        <f t="shared" si="58"/>
        <v/>
      </c>
    </row>
    <row r="106" spans="1:95" x14ac:dyDescent="0.3">
      <c r="A106" s="31" t="s">
        <v>188</v>
      </c>
      <c r="C106" s="30" t="s">
        <v>75</v>
      </c>
      <c r="D106" s="31" t="s">
        <v>1</v>
      </c>
      <c r="G106" s="85" t="str">
        <f t="shared" si="59"/>
        <v/>
      </c>
      <c r="H106" s="31"/>
      <c r="I106" s="31"/>
      <c r="J106" s="85" t="str">
        <f t="shared" si="30"/>
        <v/>
      </c>
      <c r="K106" s="31"/>
      <c r="L106" s="31"/>
      <c r="M106" s="85" t="str">
        <f t="shared" si="31"/>
        <v/>
      </c>
      <c r="N106" s="31"/>
      <c r="O106" s="31"/>
      <c r="P106" s="85" t="str">
        <f t="shared" si="32"/>
        <v/>
      </c>
      <c r="Q106" s="31"/>
      <c r="R106" s="31"/>
      <c r="S106" s="85" t="str">
        <f t="shared" si="33"/>
        <v/>
      </c>
      <c r="T106" s="31"/>
      <c r="U106" s="31"/>
      <c r="V106" s="85" t="str">
        <f t="shared" si="34"/>
        <v/>
      </c>
      <c r="W106" s="31"/>
      <c r="X106" s="31"/>
      <c r="Y106" s="85" t="str">
        <f t="shared" si="35"/>
        <v/>
      </c>
      <c r="Z106" s="31"/>
      <c r="AA106" s="31"/>
      <c r="AB106" s="85" t="str">
        <f t="shared" si="36"/>
        <v/>
      </c>
      <c r="AC106" s="31"/>
      <c r="AD106" s="31"/>
      <c r="AE106" s="85" t="str">
        <f t="shared" si="37"/>
        <v/>
      </c>
      <c r="AF106" s="31"/>
      <c r="AG106" s="31"/>
      <c r="AH106" s="85" t="str">
        <f t="shared" si="38"/>
        <v/>
      </c>
      <c r="AI106" s="31"/>
      <c r="AJ106" s="31"/>
      <c r="AK106" s="85" t="str">
        <f t="shared" si="39"/>
        <v/>
      </c>
      <c r="AL106" s="31"/>
      <c r="AM106" s="31"/>
      <c r="AN106" s="85" t="str">
        <f t="shared" si="40"/>
        <v/>
      </c>
      <c r="AO106" s="31"/>
      <c r="AP106" s="31"/>
      <c r="AQ106" s="85" t="str">
        <f t="shared" si="41"/>
        <v/>
      </c>
      <c r="AR106" s="31"/>
      <c r="AS106" s="31"/>
      <c r="AT106" s="85" t="str">
        <f t="shared" si="42"/>
        <v/>
      </c>
      <c r="AU106" s="31"/>
      <c r="AV106" s="31"/>
      <c r="AW106" s="85" t="str">
        <f t="shared" si="43"/>
        <v/>
      </c>
      <c r="AX106" s="33"/>
      <c r="AY106" s="31"/>
      <c r="AZ106" s="85" t="str">
        <f t="shared" si="44"/>
        <v/>
      </c>
      <c r="BA106" s="33"/>
      <c r="BB106" s="31"/>
      <c r="BC106" s="85" t="str">
        <f t="shared" si="45"/>
        <v/>
      </c>
      <c r="BD106" s="33"/>
      <c r="BE106" s="31"/>
      <c r="BF106" s="85" t="str">
        <f t="shared" si="46"/>
        <v/>
      </c>
      <c r="BG106" s="33"/>
      <c r="BH106" s="31"/>
      <c r="BI106" s="85" t="str">
        <f t="shared" si="47"/>
        <v/>
      </c>
      <c r="BJ106" s="33"/>
      <c r="BK106" s="33"/>
      <c r="BL106" s="85" t="str">
        <f t="shared" si="48"/>
        <v/>
      </c>
      <c r="BM106" s="33"/>
      <c r="BN106" s="33"/>
      <c r="BO106" s="85" t="str">
        <f t="shared" si="49"/>
        <v/>
      </c>
      <c r="BP106" s="33"/>
      <c r="BQ106" s="33"/>
      <c r="BR106" s="85" t="str">
        <f t="shared" si="50"/>
        <v/>
      </c>
      <c r="BS106" s="33"/>
      <c r="BT106" s="33"/>
      <c r="BU106" s="85" t="str">
        <f t="shared" si="51"/>
        <v/>
      </c>
      <c r="BV106" s="31" t="s">
        <v>1</v>
      </c>
      <c r="BW106" s="31"/>
      <c r="BX106" s="31"/>
      <c r="BY106" s="85" t="str">
        <f t="shared" si="52"/>
        <v/>
      </c>
      <c r="BZ106" s="31"/>
      <c r="CA106" s="31"/>
      <c r="CB106" s="85" t="str">
        <f t="shared" si="53"/>
        <v/>
      </c>
      <c r="CC106" s="31"/>
      <c r="CD106" s="31"/>
      <c r="CE106" s="85" t="str">
        <f t="shared" si="54"/>
        <v/>
      </c>
      <c r="CF106" s="31"/>
      <c r="CG106" s="31"/>
      <c r="CH106" s="85" t="str">
        <f t="shared" si="55"/>
        <v/>
      </c>
      <c r="CI106" s="33">
        <v>5521</v>
      </c>
      <c r="CJ106" s="33">
        <v>236000</v>
      </c>
      <c r="CK106" s="85">
        <f t="shared" si="56"/>
        <v>42.745879369679407</v>
      </c>
      <c r="CL106" s="66">
        <v>7392</v>
      </c>
      <c r="CM106" s="66">
        <v>342000</v>
      </c>
      <c r="CN106" s="85">
        <f t="shared" si="57"/>
        <v>46.266233766233768</v>
      </c>
      <c r="CQ106" s="85" t="str">
        <f t="shared" si="58"/>
        <v/>
      </c>
    </row>
    <row r="107" spans="1:95" x14ac:dyDescent="0.3">
      <c r="A107" s="31" t="s">
        <v>189</v>
      </c>
      <c r="C107" s="30" t="s">
        <v>75</v>
      </c>
      <c r="D107" s="31" t="s">
        <v>1</v>
      </c>
      <c r="G107" s="85" t="str">
        <f t="shared" si="59"/>
        <v/>
      </c>
      <c r="H107" s="31"/>
      <c r="I107" s="31"/>
      <c r="J107" s="85" t="str">
        <f t="shared" si="30"/>
        <v/>
      </c>
      <c r="K107" s="31"/>
      <c r="L107" s="31"/>
      <c r="M107" s="85" t="str">
        <f t="shared" si="31"/>
        <v/>
      </c>
      <c r="N107" s="31"/>
      <c r="O107" s="31"/>
      <c r="P107" s="85" t="str">
        <f t="shared" si="32"/>
        <v/>
      </c>
      <c r="Q107" s="31"/>
      <c r="R107" s="31"/>
      <c r="S107" s="85" t="str">
        <f t="shared" si="33"/>
        <v/>
      </c>
      <c r="T107" s="31"/>
      <c r="U107" s="31"/>
      <c r="V107" s="85" t="str">
        <f t="shared" si="34"/>
        <v/>
      </c>
      <c r="W107" s="31"/>
      <c r="X107" s="31"/>
      <c r="Y107" s="85" t="str">
        <f t="shared" si="35"/>
        <v/>
      </c>
      <c r="Z107" s="31"/>
      <c r="AA107" s="31"/>
      <c r="AB107" s="85" t="str">
        <f t="shared" si="36"/>
        <v/>
      </c>
      <c r="AC107" s="31"/>
      <c r="AD107" s="31"/>
      <c r="AE107" s="85" t="str">
        <f t="shared" si="37"/>
        <v/>
      </c>
      <c r="AF107" s="31"/>
      <c r="AG107" s="31"/>
      <c r="AH107" s="85" t="str">
        <f t="shared" si="38"/>
        <v/>
      </c>
      <c r="AI107" s="31"/>
      <c r="AJ107" s="31"/>
      <c r="AK107" s="85" t="str">
        <f t="shared" si="39"/>
        <v/>
      </c>
      <c r="AL107" s="31"/>
      <c r="AM107" s="31"/>
      <c r="AN107" s="85" t="str">
        <f t="shared" si="40"/>
        <v/>
      </c>
      <c r="AO107" s="31"/>
      <c r="AP107" s="31"/>
      <c r="AQ107" s="85" t="str">
        <f t="shared" si="41"/>
        <v/>
      </c>
      <c r="AR107" s="31"/>
      <c r="AS107" s="31"/>
      <c r="AT107" s="85" t="str">
        <f t="shared" si="42"/>
        <v/>
      </c>
      <c r="AU107" s="31"/>
      <c r="AV107" s="31"/>
      <c r="AW107" s="85" t="str">
        <f t="shared" si="43"/>
        <v/>
      </c>
      <c r="AX107" s="33"/>
      <c r="AY107" s="31"/>
      <c r="AZ107" s="85" t="str">
        <f t="shared" si="44"/>
        <v/>
      </c>
      <c r="BA107" s="33"/>
      <c r="BB107" s="31"/>
      <c r="BC107" s="85" t="str">
        <f t="shared" si="45"/>
        <v/>
      </c>
      <c r="BD107" s="33"/>
      <c r="BE107" s="31"/>
      <c r="BF107" s="85" t="str">
        <f t="shared" si="46"/>
        <v/>
      </c>
      <c r="BG107" s="33"/>
      <c r="BH107" s="31"/>
      <c r="BI107" s="85" t="str">
        <f t="shared" si="47"/>
        <v/>
      </c>
      <c r="BJ107" s="33"/>
      <c r="BK107" s="33"/>
      <c r="BL107" s="85" t="str">
        <f t="shared" si="48"/>
        <v/>
      </c>
      <c r="BM107" s="33">
        <f>188+1517+137+998</f>
        <v>2840</v>
      </c>
      <c r="BN107" s="33">
        <f>7472+97046+6512+58447</f>
        <v>169477</v>
      </c>
      <c r="BO107" s="85">
        <f t="shared" si="49"/>
        <v>59.674999999999997</v>
      </c>
      <c r="BP107" s="33">
        <f>1514+1321</f>
        <v>2835</v>
      </c>
      <c r="BQ107" s="33">
        <f>90329+63513</f>
        <v>153842</v>
      </c>
      <c r="BR107" s="85">
        <f t="shared" si="50"/>
        <v>54.265255731922402</v>
      </c>
      <c r="BS107" s="33">
        <f>1732+1665</f>
        <v>3397</v>
      </c>
      <c r="BT107" s="33">
        <f>84775+81057</f>
        <v>165832</v>
      </c>
      <c r="BU107" s="85">
        <f t="shared" si="51"/>
        <v>48.817191639682072</v>
      </c>
      <c r="BV107" s="31" t="s">
        <v>1</v>
      </c>
      <c r="BW107" s="31"/>
      <c r="BX107" s="31"/>
      <c r="BY107" s="85" t="str">
        <f t="shared" si="52"/>
        <v/>
      </c>
      <c r="BZ107" s="31"/>
      <c r="CA107" s="31"/>
      <c r="CB107" s="85" t="str">
        <f t="shared" si="53"/>
        <v/>
      </c>
      <c r="CC107" s="31"/>
      <c r="CD107" s="31"/>
      <c r="CE107" s="85" t="str">
        <f t="shared" si="54"/>
        <v/>
      </c>
      <c r="CF107" s="31"/>
      <c r="CG107" s="31"/>
      <c r="CH107" s="85" t="str">
        <f t="shared" si="55"/>
        <v/>
      </c>
      <c r="CI107" s="33">
        <v>2862</v>
      </c>
      <c r="CJ107" s="33">
        <v>115000</v>
      </c>
      <c r="CK107" s="85">
        <f t="shared" si="56"/>
        <v>40.181691125087355</v>
      </c>
      <c r="CL107" s="66">
        <v>4359</v>
      </c>
      <c r="CM107" s="66">
        <v>161000</v>
      </c>
      <c r="CN107" s="85">
        <f t="shared" si="57"/>
        <v>36.935076852489104</v>
      </c>
      <c r="CQ107" s="85" t="str">
        <f t="shared" si="58"/>
        <v/>
      </c>
    </row>
    <row r="108" spans="1:95" x14ac:dyDescent="0.3">
      <c r="A108" s="31" t="s">
        <v>190</v>
      </c>
      <c r="C108" s="30" t="s">
        <v>75</v>
      </c>
      <c r="D108" s="31" t="s">
        <v>1</v>
      </c>
      <c r="G108" s="85" t="str">
        <f t="shared" si="59"/>
        <v/>
      </c>
      <c r="H108" s="31"/>
      <c r="I108" s="31"/>
      <c r="J108" s="85" t="str">
        <f t="shared" si="30"/>
        <v/>
      </c>
      <c r="K108" s="31"/>
      <c r="L108" s="31"/>
      <c r="M108" s="85" t="str">
        <f t="shared" si="31"/>
        <v/>
      </c>
      <c r="N108" s="31"/>
      <c r="O108" s="31"/>
      <c r="P108" s="85" t="str">
        <f t="shared" si="32"/>
        <v/>
      </c>
      <c r="Q108" s="31"/>
      <c r="R108" s="31"/>
      <c r="S108" s="85" t="str">
        <f t="shared" si="33"/>
        <v/>
      </c>
      <c r="T108" s="31"/>
      <c r="U108" s="31"/>
      <c r="V108" s="85" t="str">
        <f t="shared" si="34"/>
        <v/>
      </c>
      <c r="W108" s="31"/>
      <c r="X108" s="31"/>
      <c r="Y108" s="85" t="str">
        <f t="shared" si="35"/>
        <v/>
      </c>
      <c r="Z108" s="31"/>
      <c r="AA108" s="31"/>
      <c r="AB108" s="85" t="str">
        <f t="shared" si="36"/>
        <v/>
      </c>
      <c r="AC108" s="31"/>
      <c r="AD108" s="31"/>
      <c r="AE108" s="85" t="str">
        <f t="shared" si="37"/>
        <v/>
      </c>
      <c r="AF108" s="31"/>
      <c r="AG108" s="31"/>
      <c r="AH108" s="85" t="str">
        <f t="shared" si="38"/>
        <v/>
      </c>
      <c r="AI108" s="31"/>
      <c r="AJ108" s="31"/>
      <c r="AK108" s="85" t="str">
        <f t="shared" si="39"/>
        <v/>
      </c>
      <c r="AL108" s="31"/>
      <c r="AM108" s="31"/>
      <c r="AN108" s="85" t="str">
        <f t="shared" si="40"/>
        <v/>
      </c>
      <c r="AO108" s="31"/>
      <c r="AP108" s="31"/>
      <c r="AQ108" s="85" t="str">
        <f t="shared" si="41"/>
        <v/>
      </c>
      <c r="AR108" s="31"/>
      <c r="AS108" s="31"/>
      <c r="AT108" s="85" t="str">
        <f t="shared" si="42"/>
        <v/>
      </c>
      <c r="AU108" s="31"/>
      <c r="AV108" s="31"/>
      <c r="AW108" s="85" t="str">
        <f t="shared" si="43"/>
        <v/>
      </c>
      <c r="AX108" s="33"/>
      <c r="AY108" s="31"/>
      <c r="AZ108" s="85" t="str">
        <f t="shared" si="44"/>
        <v/>
      </c>
      <c r="BA108" s="33"/>
      <c r="BB108" s="31"/>
      <c r="BC108" s="85" t="str">
        <f t="shared" si="45"/>
        <v/>
      </c>
      <c r="BD108" s="33"/>
      <c r="BE108" s="31"/>
      <c r="BF108" s="85" t="str">
        <f t="shared" si="46"/>
        <v/>
      </c>
      <c r="BG108" s="33"/>
      <c r="BH108" s="31"/>
      <c r="BI108" s="85" t="str">
        <f t="shared" si="47"/>
        <v/>
      </c>
      <c r="BJ108" s="33"/>
      <c r="BK108" s="33"/>
      <c r="BL108" s="85" t="str">
        <f t="shared" si="48"/>
        <v/>
      </c>
      <c r="BM108" s="33"/>
      <c r="BN108" s="33"/>
      <c r="BO108" s="85" t="str">
        <f t="shared" si="49"/>
        <v/>
      </c>
      <c r="BP108" s="33"/>
      <c r="BQ108" s="33"/>
      <c r="BR108" s="85" t="str">
        <f t="shared" si="50"/>
        <v/>
      </c>
      <c r="BS108" s="33"/>
      <c r="BT108" s="33"/>
      <c r="BU108" s="85" t="str">
        <f t="shared" si="51"/>
        <v/>
      </c>
      <c r="BV108" s="31" t="s">
        <v>1</v>
      </c>
      <c r="BW108" s="31"/>
      <c r="BX108" s="31"/>
      <c r="BY108" s="85" t="str">
        <f t="shared" si="52"/>
        <v/>
      </c>
      <c r="BZ108" s="31"/>
      <c r="CA108" s="31"/>
      <c r="CB108" s="85" t="str">
        <f t="shared" si="53"/>
        <v/>
      </c>
      <c r="CC108" s="31"/>
      <c r="CD108" s="31"/>
      <c r="CE108" s="85" t="str">
        <f t="shared" si="54"/>
        <v/>
      </c>
      <c r="CF108" s="31"/>
      <c r="CG108" s="31"/>
      <c r="CH108" s="85" t="str">
        <f t="shared" si="55"/>
        <v/>
      </c>
      <c r="CI108" s="31"/>
      <c r="CJ108" s="31"/>
      <c r="CK108" s="85" t="str">
        <f t="shared" si="56"/>
        <v/>
      </c>
      <c r="CL108" s="66">
        <v>490</v>
      </c>
      <c r="CM108" s="66">
        <v>28000</v>
      </c>
      <c r="CN108" s="85">
        <f t="shared" si="57"/>
        <v>57.142857142857146</v>
      </c>
      <c r="CQ108" s="85" t="str">
        <f t="shared" si="58"/>
        <v/>
      </c>
    </row>
    <row r="109" spans="1:95" x14ac:dyDescent="0.3">
      <c r="A109" s="31" t="s">
        <v>32</v>
      </c>
      <c r="C109" s="30" t="s">
        <v>75</v>
      </c>
      <c r="D109" s="31" t="s">
        <v>1</v>
      </c>
      <c r="G109" s="85" t="str">
        <f t="shared" si="59"/>
        <v/>
      </c>
      <c r="H109" s="31"/>
      <c r="I109" s="31"/>
      <c r="J109" s="85" t="str">
        <f t="shared" si="30"/>
        <v/>
      </c>
      <c r="K109" s="31"/>
      <c r="L109" s="31"/>
      <c r="M109" s="85" t="str">
        <f t="shared" si="31"/>
        <v/>
      </c>
      <c r="N109" s="31"/>
      <c r="O109" s="31"/>
      <c r="P109" s="85" t="str">
        <f t="shared" si="32"/>
        <v/>
      </c>
      <c r="Q109" s="31"/>
      <c r="R109" s="31"/>
      <c r="S109" s="85" t="str">
        <f t="shared" si="33"/>
        <v/>
      </c>
      <c r="T109" s="31"/>
      <c r="U109" s="31"/>
      <c r="V109" s="85" t="str">
        <f t="shared" si="34"/>
        <v/>
      </c>
      <c r="W109" s="31"/>
      <c r="X109" s="31"/>
      <c r="Y109" s="85" t="str">
        <f t="shared" si="35"/>
        <v/>
      </c>
      <c r="Z109" s="31"/>
      <c r="AA109" s="31"/>
      <c r="AB109" s="85" t="str">
        <f t="shared" si="36"/>
        <v/>
      </c>
      <c r="AC109" s="31"/>
      <c r="AD109" s="31"/>
      <c r="AE109" s="85" t="str">
        <f t="shared" si="37"/>
        <v/>
      </c>
      <c r="AF109" s="31"/>
      <c r="AG109" s="31"/>
      <c r="AH109" s="85" t="str">
        <f t="shared" si="38"/>
        <v/>
      </c>
      <c r="AI109" s="31"/>
      <c r="AJ109" s="31"/>
      <c r="AK109" s="85" t="str">
        <f t="shared" si="39"/>
        <v/>
      </c>
      <c r="AL109" s="31"/>
      <c r="AM109" s="31"/>
      <c r="AN109" s="85" t="str">
        <f t="shared" si="40"/>
        <v/>
      </c>
      <c r="AO109" s="31"/>
      <c r="AP109" s="31"/>
      <c r="AQ109" s="85" t="str">
        <f t="shared" si="41"/>
        <v/>
      </c>
      <c r="AR109" s="31"/>
      <c r="AS109" s="31"/>
      <c r="AT109" s="85" t="str">
        <f t="shared" si="42"/>
        <v/>
      </c>
      <c r="AU109" s="31"/>
      <c r="AV109" s="31"/>
      <c r="AW109" s="85" t="str">
        <f t="shared" si="43"/>
        <v/>
      </c>
      <c r="AX109" s="33"/>
      <c r="AY109" s="31"/>
      <c r="AZ109" s="85" t="str">
        <f t="shared" si="44"/>
        <v/>
      </c>
      <c r="BA109" s="33"/>
      <c r="BB109" s="31"/>
      <c r="BC109" s="85" t="str">
        <f t="shared" si="45"/>
        <v/>
      </c>
      <c r="BD109" s="33"/>
      <c r="BE109" s="31"/>
      <c r="BF109" s="85" t="str">
        <f t="shared" si="46"/>
        <v/>
      </c>
      <c r="BG109" s="33"/>
      <c r="BH109" s="31"/>
      <c r="BI109" s="85" t="str">
        <f t="shared" si="47"/>
        <v/>
      </c>
      <c r="BJ109" s="33">
        <v>2714</v>
      </c>
      <c r="BK109" s="33">
        <v>62000</v>
      </c>
      <c r="BL109" s="85">
        <f t="shared" si="48"/>
        <v>22.844509948415624</v>
      </c>
      <c r="BM109" s="33"/>
      <c r="BN109" s="33"/>
      <c r="BO109" s="85" t="str">
        <f t="shared" si="49"/>
        <v/>
      </c>
      <c r="BP109" s="33"/>
      <c r="BQ109" s="33"/>
      <c r="BR109" s="85" t="str">
        <f t="shared" si="50"/>
        <v/>
      </c>
      <c r="BS109" s="33"/>
      <c r="BT109" s="33"/>
      <c r="BU109" s="85" t="str">
        <f t="shared" si="51"/>
        <v/>
      </c>
      <c r="BV109" s="31"/>
      <c r="BW109" s="31"/>
      <c r="BX109" s="31"/>
      <c r="BY109" s="85" t="str">
        <f t="shared" si="52"/>
        <v/>
      </c>
      <c r="BZ109" s="31"/>
      <c r="CA109" s="31"/>
      <c r="CB109" s="85" t="str">
        <f t="shared" si="53"/>
        <v/>
      </c>
      <c r="CC109" s="31"/>
      <c r="CD109" s="31"/>
      <c r="CE109" s="85" t="str">
        <f t="shared" si="54"/>
        <v/>
      </c>
      <c r="CF109" s="31"/>
      <c r="CG109" s="31"/>
      <c r="CH109" s="85" t="str">
        <f t="shared" si="55"/>
        <v/>
      </c>
      <c r="CI109" s="31"/>
      <c r="CJ109" s="31"/>
      <c r="CK109" s="85" t="str">
        <f t="shared" si="56"/>
        <v/>
      </c>
      <c r="CL109" s="66"/>
      <c r="CM109" s="66"/>
      <c r="CN109" s="85" t="str">
        <f t="shared" si="57"/>
        <v/>
      </c>
      <c r="CQ109" s="85" t="str">
        <f t="shared" si="58"/>
        <v/>
      </c>
    </row>
    <row r="110" spans="1:95" s="74" customFormat="1" x14ac:dyDescent="0.3">
      <c r="A110" s="31" t="s">
        <v>191</v>
      </c>
      <c r="B110" s="31"/>
      <c r="C110" s="30" t="s">
        <v>75</v>
      </c>
      <c r="D110" s="31" t="s">
        <v>1</v>
      </c>
      <c r="E110" s="31"/>
      <c r="F110" s="31"/>
      <c r="G110" s="85" t="str">
        <f t="shared" si="59"/>
        <v/>
      </c>
      <c r="H110" s="31"/>
      <c r="I110" s="31"/>
      <c r="J110" s="85" t="str">
        <f t="shared" si="30"/>
        <v/>
      </c>
      <c r="K110" s="31"/>
      <c r="L110" s="31"/>
      <c r="M110" s="85" t="str">
        <f t="shared" si="31"/>
        <v/>
      </c>
      <c r="N110" s="31"/>
      <c r="O110" s="31"/>
      <c r="P110" s="85" t="str">
        <f t="shared" si="32"/>
        <v/>
      </c>
      <c r="Q110" s="31"/>
      <c r="R110" s="31"/>
      <c r="S110" s="85" t="str">
        <f t="shared" si="33"/>
        <v/>
      </c>
      <c r="T110" s="31"/>
      <c r="U110" s="31"/>
      <c r="V110" s="85" t="str">
        <f t="shared" si="34"/>
        <v/>
      </c>
      <c r="W110" s="31"/>
      <c r="X110" s="31"/>
      <c r="Y110" s="85" t="str">
        <f t="shared" si="35"/>
        <v/>
      </c>
      <c r="Z110" s="31"/>
      <c r="AA110" s="31"/>
      <c r="AB110" s="85" t="str">
        <f t="shared" si="36"/>
        <v/>
      </c>
      <c r="AC110" s="31"/>
      <c r="AD110" s="31"/>
      <c r="AE110" s="85" t="str">
        <f t="shared" si="37"/>
        <v/>
      </c>
      <c r="AF110" s="84">
        <v>150</v>
      </c>
      <c r="AG110" s="83">
        <v>6960</v>
      </c>
      <c r="AH110" s="85">
        <f t="shared" si="38"/>
        <v>46.4</v>
      </c>
      <c r="AI110" s="84">
        <v>92.3</v>
      </c>
      <c r="AJ110" s="83">
        <v>4068</v>
      </c>
      <c r="AK110" s="85">
        <f t="shared" si="39"/>
        <v>44.073672806067172</v>
      </c>
      <c r="AL110" s="84">
        <v>155.4</v>
      </c>
      <c r="AM110" s="83">
        <v>7107</v>
      </c>
      <c r="AN110" s="85">
        <f t="shared" si="40"/>
        <v>45.733590733590731</v>
      </c>
      <c r="AO110" s="84">
        <v>54.7</v>
      </c>
      <c r="AP110" s="83">
        <v>1764</v>
      </c>
      <c r="AQ110" s="85">
        <f t="shared" si="41"/>
        <v>32.248628884826324</v>
      </c>
      <c r="AR110" s="31"/>
      <c r="AS110" s="31"/>
      <c r="AT110" s="85" t="str">
        <f t="shared" si="42"/>
        <v/>
      </c>
      <c r="AU110" s="31"/>
      <c r="AV110" s="31"/>
      <c r="AW110" s="85" t="str">
        <f t="shared" si="43"/>
        <v/>
      </c>
      <c r="AX110" s="33"/>
      <c r="AY110" s="31"/>
      <c r="AZ110" s="85" t="str">
        <f t="shared" si="44"/>
        <v/>
      </c>
      <c r="BA110" s="33"/>
      <c r="BB110" s="31"/>
      <c r="BC110" s="85" t="str">
        <f t="shared" si="45"/>
        <v/>
      </c>
      <c r="BD110" s="33"/>
      <c r="BE110" s="31"/>
      <c r="BF110" s="85" t="str">
        <f t="shared" si="46"/>
        <v/>
      </c>
      <c r="BG110" s="33"/>
      <c r="BH110" s="31"/>
      <c r="BI110" s="85" t="str">
        <f t="shared" si="47"/>
        <v/>
      </c>
      <c r="BJ110" s="33"/>
      <c r="BK110" s="33"/>
      <c r="BL110" s="85" t="str">
        <f t="shared" si="48"/>
        <v/>
      </c>
      <c r="BM110" s="33"/>
      <c r="BN110" s="33"/>
      <c r="BO110" s="85" t="str">
        <f t="shared" si="49"/>
        <v/>
      </c>
      <c r="BP110" s="33"/>
      <c r="BQ110" s="33"/>
      <c r="BR110" s="85" t="str">
        <f t="shared" si="50"/>
        <v/>
      </c>
      <c r="BS110" s="33"/>
      <c r="BT110" s="33"/>
      <c r="BU110" s="85" t="str">
        <f t="shared" si="51"/>
        <v/>
      </c>
      <c r="BV110" s="31" t="s">
        <v>1</v>
      </c>
      <c r="BW110" s="31"/>
      <c r="BX110" s="31"/>
      <c r="BY110" s="85" t="str">
        <f t="shared" si="52"/>
        <v/>
      </c>
      <c r="BZ110" s="31"/>
      <c r="CA110" s="31"/>
      <c r="CB110" s="85" t="str">
        <f t="shared" si="53"/>
        <v/>
      </c>
      <c r="CC110" s="31"/>
      <c r="CD110" s="31"/>
      <c r="CE110" s="85" t="str">
        <f t="shared" si="54"/>
        <v/>
      </c>
      <c r="CF110" s="31"/>
      <c r="CG110" s="31"/>
      <c r="CH110" s="85" t="str">
        <f t="shared" si="55"/>
        <v/>
      </c>
      <c r="CI110" s="33">
        <v>1565</v>
      </c>
      <c r="CJ110" s="33">
        <v>133000</v>
      </c>
      <c r="CK110" s="85">
        <f t="shared" si="56"/>
        <v>84.984025559105433</v>
      </c>
      <c r="CL110" s="73">
        <v>1812</v>
      </c>
      <c r="CM110" s="73">
        <v>191000</v>
      </c>
      <c r="CN110" s="85">
        <f t="shared" si="57"/>
        <v>105.4083885209713</v>
      </c>
      <c r="CQ110" s="85" t="str">
        <f t="shared" si="58"/>
        <v/>
      </c>
    </row>
    <row r="111" spans="1:95" x14ac:dyDescent="0.3">
      <c r="A111" s="31" t="s">
        <v>192</v>
      </c>
      <c r="C111" s="30" t="s">
        <v>75</v>
      </c>
      <c r="D111" s="31" t="s">
        <v>1</v>
      </c>
      <c r="G111" s="85" t="str">
        <f t="shared" si="59"/>
        <v/>
      </c>
      <c r="H111" s="31"/>
      <c r="I111" s="31"/>
      <c r="J111" s="85" t="str">
        <f t="shared" si="30"/>
        <v/>
      </c>
      <c r="K111" s="31"/>
      <c r="L111" s="31"/>
      <c r="M111" s="85" t="str">
        <f t="shared" si="31"/>
        <v/>
      </c>
      <c r="N111" s="31"/>
      <c r="O111" s="31"/>
      <c r="P111" s="85" t="str">
        <f t="shared" si="32"/>
        <v/>
      </c>
      <c r="Q111" s="31"/>
      <c r="R111" s="31"/>
      <c r="S111" s="85" t="str">
        <f t="shared" si="33"/>
        <v/>
      </c>
      <c r="T111" s="31"/>
      <c r="U111" s="31"/>
      <c r="V111" s="85" t="str">
        <f t="shared" si="34"/>
        <v/>
      </c>
      <c r="W111" s="31"/>
      <c r="X111" s="31"/>
      <c r="Y111" s="85" t="str">
        <f t="shared" si="35"/>
        <v/>
      </c>
      <c r="Z111" s="31"/>
      <c r="AA111" s="31"/>
      <c r="AB111" s="85" t="str">
        <f t="shared" si="36"/>
        <v/>
      </c>
      <c r="AC111" s="31"/>
      <c r="AD111" s="31"/>
      <c r="AE111" s="85" t="str">
        <f t="shared" si="37"/>
        <v/>
      </c>
      <c r="AF111" s="31"/>
      <c r="AG111" s="31"/>
      <c r="AH111" s="85" t="str">
        <f t="shared" si="38"/>
        <v/>
      </c>
      <c r="AI111" s="31"/>
      <c r="AJ111" s="31"/>
      <c r="AK111" s="85" t="str">
        <f t="shared" si="39"/>
        <v/>
      </c>
      <c r="AL111" s="31"/>
      <c r="AM111" s="31"/>
      <c r="AN111" s="85" t="str">
        <f t="shared" si="40"/>
        <v/>
      </c>
      <c r="AO111" s="31"/>
      <c r="AP111" s="31"/>
      <c r="AQ111" s="85" t="str">
        <f t="shared" si="41"/>
        <v/>
      </c>
      <c r="AR111" s="31"/>
      <c r="AS111" s="31"/>
      <c r="AT111" s="85" t="str">
        <f t="shared" si="42"/>
        <v/>
      </c>
      <c r="AU111" s="31"/>
      <c r="AV111" s="31"/>
      <c r="AW111" s="85" t="str">
        <f t="shared" si="43"/>
        <v/>
      </c>
      <c r="AX111" s="33"/>
      <c r="AY111" s="31"/>
      <c r="AZ111" s="85" t="str">
        <f t="shared" si="44"/>
        <v/>
      </c>
      <c r="BA111" s="33"/>
      <c r="BB111" s="31"/>
      <c r="BC111" s="85" t="str">
        <f t="shared" si="45"/>
        <v/>
      </c>
      <c r="BD111" s="33"/>
      <c r="BE111" s="31"/>
      <c r="BF111" s="85" t="str">
        <f t="shared" si="46"/>
        <v/>
      </c>
      <c r="BG111" s="33"/>
      <c r="BH111" s="31"/>
      <c r="BI111" s="85" t="str">
        <f t="shared" si="47"/>
        <v/>
      </c>
      <c r="BJ111" s="33"/>
      <c r="BK111" s="33"/>
      <c r="BL111" s="85" t="str">
        <f t="shared" si="48"/>
        <v/>
      </c>
      <c r="BM111" s="33"/>
      <c r="BN111" s="33"/>
      <c r="BO111" s="85" t="str">
        <f t="shared" si="49"/>
        <v/>
      </c>
      <c r="BP111" s="33"/>
      <c r="BQ111" s="33"/>
      <c r="BR111" s="85" t="str">
        <f t="shared" si="50"/>
        <v/>
      </c>
      <c r="BS111" s="33"/>
      <c r="BT111" s="33"/>
      <c r="BU111" s="85" t="str">
        <f t="shared" si="51"/>
        <v/>
      </c>
      <c r="BV111" s="31" t="s">
        <v>1</v>
      </c>
      <c r="BW111" s="31"/>
      <c r="BX111" s="31"/>
      <c r="BY111" s="85" t="str">
        <f t="shared" si="52"/>
        <v/>
      </c>
      <c r="BZ111" s="31"/>
      <c r="CA111" s="31"/>
      <c r="CB111" s="85" t="str">
        <f t="shared" si="53"/>
        <v/>
      </c>
      <c r="CC111" s="31"/>
      <c r="CD111" s="31"/>
      <c r="CE111" s="85" t="str">
        <f t="shared" si="54"/>
        <v/>
      </c>
      <c r="CF111" s="31"/>
      <c r="CG111" s="31"/>
      <c r="CH111" s="85" t="str">
        <f t="shared" si="55"/>
        <v/>
      </c>
      <c r="CI111" s="31">
        <v>636</v>
      </c>
      <c r="CJ111" s="33">
        <v>46000</v>
      </c>
      <c r="CK111" s="85">
        <f t="shared" si="56"/>
        <v>72.327044025157235</v>
      </c>
      <c r="CL111" s="66">
        <v>681</v>
      </c>
      <c r="CM111" s="66">
        <v>51000</v>
      </c>
      <c r="CN111" s="85">
        <f t="shared" si="57"/>
        <v>74.889867841409696</v>
      </c>
      <c r="CQ111" s="85" t="str">
        <f t="shared" si="58"/>
        <v/>
      </c>
    </row>
    <row r="112" spans="1:95" x14ac:dyDescent="0.3">
      <c r="A112" s="31" t="s">
        <v>187</v>
      </c>
      <c r="C112" s="30" t="s">
        <v>75</v>
      </c>
      <c r="D112" s="31" t="s">
        <v>1</v>
      </c>
      <c r="G112" s="85" t="str">
        <f t="shared" si="59"/>
        <v/>
      </c>
      <c r="H112" s="31"/>
      <c r="I112" s="31"/>
      <c r="J112" s="85" t="str">
        <f t="shared" si="30"/>
        <v/>
      </c>
      <c r="K112" s="31"/>
      <c r="L112" s="31"/>
      <c r="M112" s="85" t="str">
        <f t="shared" si="31"/>
        <v/>
      </c>
      <c r="N112" s="31"/>
      <c r="O112" s="31"/>
      <c r="P112" s="85" t="str">
        <f t="shared" si="32"/>
        <v/>
      </c>
      <c r="Q112" s="31"/>
      <c r="R112" s="31"/>
      <c r="S112" s="85" t="str">
        <f t="shared" si="33"/>
        <v/>
      </c>
      <c r="T112" s="31"/>
      <c r="U112" s="31"/>
      <c r="V112" s="85" t="str">
        <f t="shared" si="34"/>
        <v/>
      </c>
      <c r="W112" s="31"/>
      <c r="X112" s="31"/>
      <c r="Y112" s="85" t="str">
        <f t="shared" si="35"/>
        <v/>
      </c>
      <c r="Z112" s="31"/>
      <c r="AA112" s="31"/>
      <c r="AB112" s="85" t="str">
        <f t="shared" si="36"/>
        <v/>
      </c>
      <c r="AC112" s="31"/>
      <c r="AD112" s="31"/>
      <c r="AE112" s="85" t="str">
        <f t="shared" si="37"/>
        <v/>
      </c>
      <c r="AF112" s="31"/>
      <c r="AG112" s="31"/>
      <c r="AH112" s="85" t="str">
        <f t="shared" si="38"/>
        <v/>
      </c>
      <c r="AI112" s="31"/>
      <c r="AJ112" s="31"/>
      <c r="AK112" s="85" t="str">
        <f t="shared" si="39"/>
        <v/>
      </c>
      <c r="AL112" s="31"/>
      <c r="AM112" s="31"/>
      <c r="AN112" s="85" t="str">
        <f t="shared" si="40"/>
        <v/>
      </c>
      <c r="AO112" s="31"/>
      <c r="AP112" s="31"/>
      <c r="AQ112" s="85" t="str">
        <f t="shared" si="41"/>
        <v/>
      </c>
      <c r="AR112" s="31"/>
      <c r="AS112" s="31"/>
      <c r="AT112" s="85" t="str">
        <f t="shared" si="42"/>
        <v/>
      </c>
      <c r="AU112" s="31"/>
      <c r="AV112" s="31"/>
      <c r="AW112" s="85" t="str">
        <f t="shared" si="43"/>
        <v/>
      </c>
      <c r="AX112" s="33"/>
      <c r="AY112" s="31"/>
      <c r="AZ112" s="85" t="str">
        <f t="shared" si="44"/>
        <v/>
      </c>
      <c r="BA112" s="33"/>
      <c r="BB112" s="31"/>
      <c r="BC112" s="85" t="str">
        <f t="shared" si="45"/>
        <v/>
      </c>
      <c r="BD112" s="33"/>
      <c r="BE112" s="31"/>
      <c r="BF112" s="85" t="str">
        <f t="shared" si="46"/>
        <v/>
      </c>
      <c r="BG112" s="33"/>
      <c r="BH112" s="31"/>
      <c r="BI112" s="85" t="str">
        <f t="shared" si="47"/>
        <v/>
      </c>
      <c r="BJ112" s="33"/>
      <c r="BK112" s="33"/>
      <c r="BL112" s="85" t="str">
        <f t="shared" si="48"/>
        <v/>
      </c>
      <c r="BM112" s="33"/>
      <c r="BN112" s="33"/>
      <c r="BO112" s="85" t="str">
        <f t="shared" si="49"/>
        <v/>
      </c>
      <c r="BP112" s="33"/>
      <c r="BQ112" s="33"/>
      <c r="BR112" s="85" t="str">
        <f t="shared" si="50"/>
        <v/>
      </c>
      <c r="BS112" s="33"/>
      <c r="BT112" s="33"/>
      <c r="BU112" s="85" t="str">
        <f t="shared" si="51"/>
        <v/>
      </c>
      <c r="BV112" s="31" t="s">
        <v>1</v>
      </c>
      <c r="BW112" s="31"/>
      <c r="BX112" s="31"/>
      <c r="BY112" s="85" t="str">
        <f t="shared" si="52"/>
        <v/>
      </c>
      <c r="BZ112" s="31"/>
      <c r="CA112" s="31"/>
      <c r="CB112" s="85" t="str">
        <f t="shared" si="53"/>
        <v/>
      </c>
      <c r="CC112" s="31"/>
      <c r="CD112" s="31"/>
      <c r="CE112" s="85" t="str">
        <f t="shared" si="54"/>
        <v/>
      </c>
      <c r="CF112" s="31"/>
      <c r="CG112" s="31"/>
      <c r="CH112" s="85" t="str">
        <f t="shared" si="55"/>
        <v/>
      </c>
      <c r="CI112" s="31"/>
      <c r="CJ112" s="31"/>
      <c r="CK112" s="85" t="str">
        <f t="shared" si="56"/>
        <v/>
      </c>
      <c r="CL112" s="66">
        <v>276</v>
      </c>
      <c r="CM112" s="66">
        <v>54000</v>
      </c>
      <c r="CN112" s="85">
        <f t="shared" si="57"/>
        <v>195.65217391304347</v>
      </c>
      <c r="CQ112" s="85" t="str">
        <f t="shared" si="58"/>
        <v/>
      </c>
    </row>
    <row r="113" spans="1:95" x14ac:dyDescent="0.3">
      <c r="A113" s="31" t="s">
        <v>405</v>
      </c>
      <c r="C113" s="30" t="s">
        <v>75</v>
      </c>
      <c r="D113" s="31" t="s">
        <v>1</v>
      </c>
      <c r="G113" s="85" t="str">
        <f t="shared" si="59"/>
        <v/>
      </c>
      <c r="H113" s="31"/>
      <c r="I113" s="31"/>
      <c r="J113" s="85" t="str">
        <f t="shared" si="30"/>
        <v/>
      </c>
      <c r="K113" s="31"/>
      <c r="L113" s="31"/>
      <c r="M113" s="85" t="str">
        <f t="shared" si="31"/>
        <v/>
      </c>
      <c r="N113" s="31"/>
      <c r="O113" s="31"/>
      <c r="P113" s="85" t="str">
        <f t="shared" si="32"/>
        <v/>
      </c>
      <c r="Q113" s="31"/>
      <c r="R113" s="31"/>
      <c r="S113" s="85" t="str">
        <f t="shared" si="33"/>
        <v/>
      </c>
      <c r="T113" s="31"/>
      <c r="U113" s="31"/>
      <c r="V113" s="85" t="str">
        <f t="shared" si="34"/>
        <v/>
      </c>
      <c r="W113" s="31"/>
      <c r="X113" s="31"/>
      <c r="Y113" s="85" t="str">
        <f t="shared" si="35"/>
        <v/>
      </c>
      <c r="Z113" s="31"/>
      <c r="AA113" s="31"/>
      <c r="AB113" s="85" t="str">
        <f t="shared" si="36"/>
        <v/>
      </c>
      <c r="AC113" s="31"/>
      <c r="AD113" s="31"/>
      <c r="AE113" s="85" t="str">
        <f t="shared" si="37"/>
        <v/>
      </c>
      <c r="AF113" s="31"/>
      <c r="AG113" s="31"/>
      <c r="AH113" s="85" t="str">
        <f t="shared" si="38"/>
        <v/>
      </c>
      <c r="AI113" s="31"/>
      <c r="AJ113" s="31"/>
      <c r="AK113" s="85" t="str">
        <f t="shared" si="39"/>
        <v/>
      </c>
      <c r="AL113" s="31"/>
      <c r="AM113" s="31"/>
      <c r="AN113" s="85" t="str">
        <f t="shared" si="40"/>
        <v/>
      </c>
      <c r="AO113" s="31"/>
      <c r="AP113" s="31"/>
      <c r="AQ113" s="85" t="str">
        <f t="shared" si="41"/>
        <v/>
      </c>
      <c r="AR113" s="31"/>
      <c r="AS113" s="31"/>
      <c r="AT113" s="85" t="str">
        <f t="shared" si="42"/>
        <v/>
      </c>
      <c r="AU113" s="31"/>
      <c r="AV113" s="31"/>
      <c r="AW113" s="85" t="str">
        <f t="shared" si="43"/>
        <v/>
      </c>
      <c r="AX113" s="33"/>
      <c r="AY113" s="31"/>
      <c r="AZ113" s="85" t="str">
        <f t="shared" si="44"/>
        <v/>
      </c>
      <c r="BA113" s="33"/>
      <c r="BB113" s="31"/>
      <c r="BC113" s="85" t="str">
        <f t="shared" si="45"/>
        <v/>
      </c>
      <c r="BD113" s="33"/>
      <c r="BE113" s="31"/>
      <c r="BF113" s="85" t="str">
        <f t="shared" si="46"/>
        <v/>
      </c>
      <c r="BG113" s="33"/>
      <c r="BH113" s="31"/>
      <c r="BI113" s="85" t="str">
        <f t="shared" si="47"/>
        <v/>
      </c>
      <c r="BJ113" s="33"/>
      <c r="BK113" s="33"/>
      <c r="BL113" s="85" t="str">
        <f t="shared" si="48"/>
        <v/>
      </c>
      <c r="BM113" s="33"/>
      <c r="BN113" s="33"/>
      <c r="BO113" s="85" t="str">
        <f t="shared" si="49"/>
        <v/>
      </c>
      <c r="BP113" s="33"/>
      <c r="BQ113" s="33"/>
      <c r="BR113" s="85" t="str">
        <f t="shared" si="50"/>
        <v/>
      </c>
      <c r="BS113" s="33"/>
      <c r="BT113" s="33"/>
      <c r="BU113" s="85" t="str">
        <f t="shared" si="51"/>
        <v/>
      </c>
      <c r="BV113" s="31" t="s">
        <v>1</v>
      </c>
      <c r="BW113" s="31"/>
      <c r="BX113" s="31"/>
      <c r="BY113" s="85" t="str">
        <f t="shared" si="52"/>
        <v/>
      </c>
      <c r="BZ113" s="31"/>
      <c r="CA113" s="31"/>
      <c r="CB113" s="85" t="str">
        <f t="shared" si="53"/>
        <v/>
      </c>
      <c r="CC113" s="31"/>
      <c r="CD113" s="31"/>
      <c r="CE113" s="85" t="str">
        <f t="shared" si="54"/>
        <v/>
      </c>
      <c r="CF113" s="31"/>
      <c r="CG113" s="31"/>
      <c r="CH113" s="85" t="str">
        <f t="shared" si="55"/>
        <v/>
      </c>
      <c r="CI113" s="31"/>
      <c r="CJ113" s="31"/>
      <c r="CK113" s="85" t="str">
        <f t="shared" si="56"/>
        <v/>
      </c>
      <c r="CL113" s="66">
        <v>1605</v>
      </c>
      <c r="CM113" s="66">
        <v>140000</v>
      </c>
      <c r="CN113" s="85">
        <f t="shared" si="57"/>
        <v>87.227414330218068</v>
      </c>
      <c r="CQ113" s="85" t="str">
        <f t="shared" si="58"/>
        <v/>
      </c>
    </row>
    <row r="114" spans="1:95" x14ac:dyDescent="0.3">
      <c r="A114" s="31" t="s">
        <v>193</v>
      </c>
      <c r="C114" s="30" t="s">
        <v>75</v>
      </c>
      <c r="D114" s="31" t="s">
        <v>1</v>
      </c>
      <c r="G114" s="85" t="str">
        <f t="shared" si="59"/>
        <v/>
      </c>
      <c r="H114" s="31"/>
      <c r="I114" s="31"/>
      <c r="J114" s="85" t="str">
        <f t="shared" si="30"/>
        <v/>
      </c>
      <c r="K114" s="31"/>
      <c r="L114" s="31"/>
      <c r="M114" s="85" t="str">
        <f t="shared" si="31"/>
        <v/>
      </c>
      <c r="N114" s="31"/>
      <c r="O114" s="31"/>
      <c r="P114" s="85" t="str">
        <f t="shared" si="32"/>
        <v/>
      </c>
      <c r="Q114" s="31"/>
      <c r="R114" s="31"/>
      <c r="S114" s="85" t="str">
        <f t="shared" si="33"/>
        <v/>
      </c>
      <c r="T114" s="31"/>
      <c r="U114" s="31"/>
      <c r="V114" s="85" t="str">
        <f t="shared" si="34"/>
        <v/>
      </c>
      <c r="W114" s="31"/>
      <c r="X114" s="31"/>
      <c r="Y114" s="85" t="str">
        <f t="shared" si="35"/>
        <v/>
      </c>
      <c r="Z114" s="31"/>
      <c r="AA114" s="31"/>
      <c r="AB114" s="85" t="str">
        <f t="shared" si="36"/>
        <v/>
      </c>
      <c r="AC114" s="31"/>
      <c r="AD114" s="31"/>
      <c r="AE114" s="85" t="str">
        <f t="shared" si="37"/>
        <v/>
      </c>
      <c r="AF114" s="31"/>
      <c r="AG114" s="31"/>
      <c r="AH114" s="85" t="str">
        <f t="shared" si="38"/>
        <v/>
      </c>
      <c r="AI114" s="31"/>
      <c r="AJ114" s="31"/>
      <c r="AK114" s="85" t="str">
        <f t="shared" si="39"/>
        <v/>
      </c>
      <c r="AL114" s="31"/>
      <c r="AM114" s="31"/>
      <c r="AN114" s="85" t="str">
        <f t="shared" si="40"/>
        <v/>
      </c>
      <c r="AO114" s="31"/>
      <c r="AP114" s="31"/>
      <c r="AQ114" s="85" t="str">
        <f t="shared" si="41"/>
        <v/>
      </c>
      <c r="AR114" s="31"/>
      <c r="AS114" s="31"/>
      <c r="AT114" s="85" t="str">
        <f t="shared" si="42"/>
        <v/>
      </c>
      <c r="AU114" s="31"/>
      <c r="AV114" s="31"/>
      <c r="AW114" s="85" t="str">
        <f t="shared" si="43"/>
        <v/>
      </c>
      <c r="AX114" s="33"/>
      <c r="AY114" s="31"/>
      <c r="AZ114" s="85" t="str">
        <f t="shared" si="44"/>
        <v/>
      </c>
      <c r="BA114" s="33"/>
      <c r="BB114" s="31"/>
      <c r="BC114" s="85" t="str">
        <f t="shared" si="45"/>
        <v/>
      </c>
      <c r="BD114" s="33"/>
      <c r="BE114" s="31"/>
      <c r="BF114" s="85" t="str">
        <f t="shared" si="46"/>
        <v/>
      </c>
      <c r="BG114" s="33"/>
      <c r="BH114" s="31"/>
      <c r="BI114" s="85" t="str">
        <f t="shared" si="47"/>
        <v/>
      </c>
      <c r="BJ114" s="33"/>
      <c r="BK114" s="33"/>
      <c r="BL114" s="85" t="str">
        <f t="shared" si="48"/>
        <v/>
      </c>
      <c r="BM114" s="33"/>
      <c r="BN114" s="33"/>
      <c r="BO114" s="85" t="str">
        <f t="shared" si="49"/>
        <v/>
      </c>
      <c r="BP114" s="33"/>
      <c r="BQ114" s="33"/>
      <c r="BR114" s="85" t="str">
        <f t="shared" si="50"/>
        <v/>
      </c>
      <c r="BS114" s="33"/>
      <c r="BT114" s="33"/>
      <c r="BU114" s="85" t="str">
        <f t="shared" si="51"/>
        <v/>
      </c>
      <c r="BV114" s="31" t="s">
        <v>1</v>
      </c>
      <c r="BW114" s="31"/>
      <c r="BX114" s="31"/>
      <c r="BY114" s="85" t="str">
        <f t="shared" si="52"/>
        <v/>
      </c>
      <c r="BZ114" s="31"/>
      <c r="CA114" s="31"/>
      <c r="CB114" s="85" t="str">
        <f t="shared" si="53"/>
        <v/>
      </c>
      <c r="CC114" s="31"/>
      <c r="CD114" s="31"/>
      <c r="CE114" s="85" t="str">
        <f t="shared" si="54"/>
        <v/>
      </c>
      <c r="CF114" s="31"/>
      <c r="CG114" s="31"/>
      <c r="CH114" s="85" t="str">
        <f t="shared" si="55"/>
        <v/>
      </c>
      <c r="CI114" s="31">
        <v>14</v>
      </c>
      <c r="CJ114" s="33">
        <v>75000</v>
      </c>
      <c r="CK114" s="85">
        <f t="shared" si="56"/>
        <v>5357.1428571428569</v>
      </c>
      <c r="CL114" s="66"/>
      <c r="CM114" s="66">
        <v>118000</v>
      </c>
      <c r="CN114" s="85" t="str">
        <f t="shared" si="57"/>
        <v/>
      </c>
      <c r="CQ114" s="85" t="str">
        <f t="shared" si="58"/>
        <v/>
      </c>
    </row>
    <row r="115" spans="1:95" x14ac:dyDescent="0.3">
      <c r="A115" s="31" t="s">
        <v>194</v>
      </c>
      <c r="C115" s="30" t="s">
        <v>75</v>
      </c>
      <c r="D115" s="31" t="s">
        <v>1</v>
      </c>
      <c r="G115" s="85" t="str">
        <f t="shared" si="59"/>
        <v/>
      </c>
      <c r="H115" s="31"/>
      <c r="I115" s="31"/>
      <c r="J115" s="85" t="str">
        <f t="shared" si="30"/>
        <v/>
      </c>
      <c r="K115" s="31"/>
      <c r="L115" s="31"/>
      <c r="M115" s="85" t="str">
        <f t="shared" si="31"/>
        <v/>
      </c>
      <c r="N115" s="31"/>
      <c r="O115" s="31"/>
      <c r="P115" s="85" t="str">
        <f t="shared" si="32"/>
        <v/>
      </c>
      <c r="Q115" s="31"/>
      <c r="R115" s="31"/>
      <c r="S115" s="85" t="str">
        <f t="shared" si="33"/>
        <v/>
      </c>
      <c r="T115" s="31"/>
      <c r="U115" s="31"/>
      <c r="V115" s="85" t="str">
        <f t="shared" si="34"/>
        <v/>
      </c>
      <c r="W115" s="31"/>
      <c r="X115" s="31"/>
      <c r="Y115" s="85" t="str">
        <f t="shared" si="35"/>
        <v/>
      </c>
      <c r="Z115" s="31"/>
      <c r="AA115" s="31"/>
      <c r="AB115" s="85" t="str">
        <f t="shared" si="36"/>
        <v/>
      </c>
      <c r="AC115" s="31"/>
      <c r="AD115" s="31"/>
      <c r="AE115" s="85" t="str">
        <f t="shared" si="37"/>
        <v/>
      </c>
      <c r="AF115" s="84">
        <v>207.5</v>
      </c>
      <c r="AG115" s="83">
        <v>1029</v>
      </c>
      <c r="AH115" s="85">
        <f t="shared" si="38"/>
        <v>4.9590361445783131</v>
      </c>
      <c r="AI115" s="84">
        <v>26.4</v>
      </c>
      <c r="AJ115" s="83">
        <v>147</v>
      </c>
      <c r="AK115" s="85">
        <f t="shared" si="39"/>
        <v>5.5681818181818183</v>
      </c>
      <c r="AL115" s="84">
        <v>1506.4</v>
      </c>
      <c r="AM115" s="83">
        <v>6372</v>
      </c>
      <c r="AN115" s="85">
        <f t="shared" si="40"/>
        <v>4.2299522039298987</v>
      </c>
      <c r="AO115" s="84">
        <v>149.19999999999999</v>
      </c>
      <c r="AP115" s="83">
        <v>686</v>
      </c>
      <c r="AQ115" s="85">
        <f t="shared" si="41"/>
        <v>4.5978552278820377</v>
      </c>
      <c r="AR115" s="31"/>
      <c r="AS115" s="31"/>
      <c r="AT115" s="85" t="str">
        <f t="shared" si="42"/>
        <v/>
      </c>
      <c r="AU115" s="31"/>
      <c r="AV115" s="31"/>
      <c r="AW115" s="85" t="str">
        <f t="shared" si="43"/>
        <v/>
      </c>
      <c r="AX115" s="33"/>
      <c r="AY115" s="31"/>
      <c r="AZ115" s="85" t="str">
        <f t="shared" si="44"/>
        <v/>
      </c>
      <c r="BA115" s="33"/>
      <c r="BB115" s="31"/>
      <c r="BC115" s="85" t="str">
        <f t="shared" si="45"/>
        <v/>
      </c>
      <c r="BD115" s="33"/>
      <c r="BE115" s="31"/>
      <c r="BF115" s="85" t="str">
        <f t="shared" si="46"/>
        <v/>
      </c>
      <c r="BG115" s="33"/>
      <c r="BH115" s="31"/>
      <c r="BI115" s="85" t="str">
        <f t="shared" si="47"/>
        <v/>
      </c>
      <c r="BJ115" s="33">
        <f>(1673)/$D$193</f>
        <v>83.65</v>
      </c>
      <c r="BK115" s="33">
        <v>8602</v>
      </c>
      <c r="BL115" s="85">
        <f t="shared" si="48"/>
        <v>102.83323371189479</v>
      </c>
      <c r="BM115" s="33">
        <f>(13315+7128)/$D$193</f>
        <v>1022.15</v>
      </c>
      <c r="BN115" s="33">
        <f>22197+11279</f>
        <v>33476</v>
      </c>
      <c r="BO115" s="85">
        <f t="shared" si="49"/>
        <v>32.750574768869541</v>
      </c>
      <c r="BP115" s="33">
        <f>(6809+5489)/$D$193</f>
        <v>614.9</v>
      </c>
      <c r="BQ115" s="33">
        <f>11522+9061</f>
        <v>20583</v>
      </c>
      <c r="BR115" s="85">
        <f t="shared" si="50"/>
        <v>33.473735566758826</v>
      </c>
      <c r="BS115" s="33">
        <f>(11087+7161)/$D$193</f>
        <v>912.4</v>
      </c>
      <c r="BT115" s="33">
        <f>20842+13631</f>
        <v>34473</v>
      </c>
      <c r="BU115" s="85">
        <f t="shared" si="51"/>
        <v>37.782770714598861</v>
      </c>
      <c r="BV115" s="31" t="s">
        <v>1</v>
      </c>
      <c r="BW115" s="31"/>
      <c r="BX115" s="31"/>
      <c r="BY115" s="85" t="str">
        <f t="shared" si="52"/>
        <v/>
      </c>
      <c r="BZ115" s="31"/>
      <c r="CA115" s="31"/>
      <c r="CB115" s="85" t="str">
        <f t="shared" si="53"/>
        <v/>
      </c>
      <c r="CC115" s="31"/>
      <c r="CD115" s="31"/>
      <c r="CE115" s="85" t="str">
        <f t="shared" si="54"/>
        <v/>
      </c>
      <c r="CF115" s="31"/>
      <c r="CG115" s="31"/>
      <c r="CH115" s="85" t="str">
        <f t="shared" si="55"/>
        <v/>
      </c>
      <c r="CI115" s="31">
        <v>652</v>
      </c>
      <c r="CJ115" s="33">
        <v>109000</v>
      </c>
      <c r="CK115" s="85">
        <f t="shared" si="56"/>
        <v>167.17791411042944</v>
      </c>
      <c r="CL115" s="66"/>
      <c r="CM115" s="66">
        <v>140000</v>
      </c>
      <c r="CN115" s="85" t="str">
        <f t="shared" si="57"/>
        <v/>
      </c>
      <c r="CQ115" s="85" t="str">
        <f t="shared" si="58"/>
        <v/>
      </c>
    </row>
    <row r="116" spans="1:95" x14ac:dyDescent="0.3">
      <c r="A116" s="31" t="s">
        <v>195</v>
      </c>
      <c r="C116" s="30" t="s">
        <v>75</v>
      </c>
      <c r="D116" s="31" t="s">
        <v>1</v>
      </c>
      <c r="G116" s="85" t="str">
        <f t="shared" si="59"/>
        <v/>
      </c>
      <c r="H116" s="31"/>
      <c r="I116" s="31"/>
      <c r="J116" s="85" t="str">
        <f t="shared" si="30"/>
        <v/>
      </c>
      <c r="K116" s="31"/>
      <c r="L116" s="31"/>
      <c r="M116" s="85" t="str">
        <f t="shared" si="31"/>
        <v/>
      </c>
      <c r="N116" s="31"/>
      <c r="O116" s="31"/>
      <c r="P116" s="85" t="str">
        <f t="shared" si="32"/>
        <v/>
      </c>
      <c r="Q116" s="31"/>
      <c r="R116" s="31"/>
      <c r="S116" s="85" t="str">
        <f t="shared" si="33"/>
        <v/>
      </c>
      <c r="T116" s="31"/>
      <c r="U116" s="31"/>
      <c r="V116" s="85" t="str">
        <f t="shared" si="34"/>
        <v/>
      </c>
      <c r="W116" s="31"/>
      <c r="X116" s="31"/>
      <c r="Y116" s="85" t="str">
        <f t="shared" si="35"/>
        <v/>
      </c>
      <c r="Z116" s="31"/>
      <c r="AA116" s="31"/>
      <c r="AB116" s="85" t="str">
        <f t="shared" si="36"/>
        <v/>
      </c>
      <c r="AC116" s="31"/>
      <c r="AD116" s="31"/>
      <c r="AE116" s="85" t="str">
        <f t="shared" si="37"/>
        <v/>
      </c>
      <c r="AF116" s="84">
        <v>137.69999999999999</v>
      </c>
      <c r="AG116" s="83">
        <v>72745</v>
      </c>
      <c r="AH116" s="85">
        <f t="shared" si="38"/>
        <v>528.28612926652147</v>
      </c>
      <c r="AI116" s="84">
        <v>106.7</v>
      </c>
      <c r="AJ116" s="83">
        <v>52647</v>
      </c>
      <c r="AK116" s="85">
        <f t="shared" si="39"/>
        <v>493.41143392689781</v>
      </c>
      <c r="AL116" s="84">
        <v>109.7</v>
      </c>
      <c r="AM116" s="83">
        <v>44902</v>
      </c>
      <c r="AN116" s="85">
        <f t="shared" si="40"/>
        <v>409.31631722880581</v>
      </c>
      <c r="AO116" s="84">
        <v>149.9</v>
      </c>
      <c r="AP116" s="83">
        <v>32794</v>
      </c>
      <c r="AQ116" s="85">
        <f t="shared" si="41"/>
        <v>218.77251501000666</v>
      </c>
      <c r="AR116" s="31"/>
      <c r="AS116" s="31"/>
      <c r="AT116" s="85" t="str">
        <f t="shared" si="42"/>
        <v/>
      </c>
      <c r="AU116" s="31"/>
      <c r="AV116" s="31"/>
      <c r="AW116" s="85" t="str">
        <f t="shared" si="43"/>
        <v/>
      </c>
      <c r="AX116" s="33"/>
      <c r="AY116" s="31"/>
      <c r="AZ116" s="85" t="str">
        <f t="shared" si="44"/>
        <v/>
      </c>
      <c r="BA116" s="33"/>
      <c r="BB116" s="31"/>
      <c r="BC116" s="85" t="str">
        <f t="shared" si="45"/>
        <v/>
      </c>
      <c r="BD116" s="33"/>
      <c r="BE116" s="31"/>
      <c r="BF116" s="85" t="str">
        <f t="shared" si="46"/>
        <v/>
      </c>
      <c r="BG116" s="33"/>
      <c r="BH116" s="31"/>
      <c r="BI116" s="85" t="str">
        <f t="shared" si="47"/>
        <v/>
      </c>
      <c r="BJ116" s="33"/>
      <c r="BK116" s="33"/>
      <c r="BL116" s="85" t="str">
        <f t="shared" si="48"/>
        <v/>
      </c>
      <c r="BM116" s="33"/>
      <c r="BN116" s="33"/>
      <c r="BO116" s="85" t="str">
        <f t="shared" si="49"/>
        <v/>
      </c>
      <c r="BP116" s="33"/>
      <c r="BQ116" s="33"/>
      <c r="BR116" s="85" t="str">
        <f t="shared" si="50"/>
        <v/>
      </c>
      <c r="BS116" s="33"/>
      <c r="BT116" s="33"/>
      <c r="BU116" s="85" t="str">
        <f t="shared" si="51"/>
        <v/>
      </c>
      <c r="BV116" s="31" t="s">
        <v>1</v>
      </c>
      <c r="BW116" s="31"/>
      <c r="BX116" s="31"/>
      <c r="BY116" s="85" t="str">
        <f t="shared" si="52"/>
        <v/>
      </c>
      <c r="BZ116" s="31"/>
      <c r="CA116" s="31"/>
      <c r="CB116" s="85" t="str">
        <f t="shared" si="53"/>
        <v/>
      </c>
      <c r="CC116" s="31"/>
      <c r="CD116" s="31"/>
      <c r="CE116" s="85" t="str">
        <f t="shared" si="54"/>
        <v/>
      </c>
      <c r="CF116" s="31"/>
      <c r="CG116" s="31"/>
      <c r="CH116" s="85" t="str">
        <f t="shared" si="55"/>
        <v/>
      </c>
      <c r="CI116" s="33">
        <v>1049</v>
      </c>
      <c r="CJ116" s="33">
        <v>179000</v>
      </c>
      <c r="CK116" s="85">
        <f t="shared" si="56"/>
        <v>170.63870352716873</v>
      </c>
      <c r="CL116" s="66"/>
      <c r="CM116" s="66">
        <v>233000</v>
      </c>
      <c r="CN116" s="85" t="str">
        <f t="shared" si="57"/>
        <v/>
      </c>
      <c r="CQ116" s="85" t="str">
        <f t="shared" si="58"/>
        <v/>
      </c>
    </row>
    <row r="117" spans="1:95" x14ac:dyDescent="0.3">
      <c r="A117" s="31" t="s">
        <v>196</v>
      </c>
      <c r="C117" s="30" t="s">
        <v>75</v>
      </c>
      <c r="D117" s="31" t="s">
        <v>1</v>
      </c>
      <c r="G117" s="85" t="str">
        <f t="shared" si="59"/>
        <v/>
      </c>
      <c r="H117" s="31"/>
      <c r="I117" s="31"/>
      <c r="J117" s="85" t="str">
        <f t="shared" si="30"/>
        <v/>
      </c>
      <c r="K117" s="31"/>
      <c r="L117" s="31"/>
      <c r="M117" s="85" t="str">
        <f t="shared" si="31"/>
        <v/>
      </c>
      <c r="N117" s="31"/>
      <c r="O117" s="31"/>
      <c r="P117" s="85" t="str">
        <f t="shared" si="32"/>
        <v/>
      </c>
      <c r="Q117" s="31"/>
      <c r="R117" s="31"/>
      <c r="S117" s="85" t="str">
        <f t="shared" si="33"/>
        <v/>
      </c>
      <c r="T117" s="31"/>
      <c r="U117" s="31"/>
      <c r="V117" s="85" t="str">
        <f t="shared" si="34"/>
        <v/>
      </c>
      <c r="W117" s="31"/>
      <c r="X117" s="31"/>
      <c r="Y117" s="85" t="str">
        <f t="shared" si="35"/>
        <v/>
      </c>
      <c r="Z117" s="31"/>
      <c r="AA117" s="31"/>
      <c r="AB117" s="85" t="str">
        <f t="shared" si="36"/>
        <v/>
      </c>
      <c r="AC117" s="31"/>
      <c r="AD117" s="31"/>
      <c r="AE117" s="85" t="str">
        <f t="shared" si="37"/>
        <v/>
      </c>
      <c r="AF117" s="31"/>
      <c r="AG117" s="31"/>
      <c r="AH117" s="85" t="str">
        <f t="shared" si="38"/>
        <v/>
      </c>
      <c r="AI117" s="31"/>
      <c r="AJ117" s="31"/>
      <c r="AK117" s="85" t="str">
        <f t="shared" si="39"/>
        <v/>
      </c>
      <c r="AL117" s="31"/>
      <c r="AM117" s="31"/>
      <c r="AN117" s="85" t="str">
        <f t="shared" si="40"/>
        <v/>
      </c>
      <c r="AO117" s="31"/>
      <c r="AP117" s="31"/>
      <c r="AQ117" s="85" t="str">
        <f t="shared" si="41"/>
        <v/>
      </c>
      <c r="AR117" s="31"/>
      <c r="AS117" s="31"/>
      <c r="AT117" s="85" t="str">
        <f t="shared" si="42"/>
        <v/>
      </c>
      <c r="AU117" s="31"/>
      <c r="AV117" s="31"/>
      <c r="AW117" s="85" t="str">
        <f t="shared" si="43"/>
        <v/>
      </c>
      <c r="AX117" s="33"/>
      <c r="AY117" s="31"/>
      <c r="AZ117" s="85" t="str">
        <f t="shared" si="44"/>
        <v/>
      </c>
      <c r="BA117" s="33"/>
      <c r="BB117" s="31"/>
      <c r="BC117" s="85" t="str">
        <f t="shared" si="45"/>
        <v/>
      </c>
      <c r="BD117" s="33"/>
      <c r="BE117" s="31"/>
      <c r="BF117" s="85" t="str">
        <f t="shared" si="46"/>
        <v/>
      </c>
      <c r="BG117" s="33"/>
      <c r="BH117" s="31"/>
      <c r="BI117" s="85" t="str">
        <f t="shared" si="47"/>
        <v/>
      </c>
      <c r="BJ117" s="33"/>
      <c r="BK117" s="33"/>
      <c r="BL117" s="85" t="str">
        <f t="shared" si="48"/>
        <v/>
      </c>
      <c r="BM117" s="33"/>
      <c r="BN117" s="33"/>
      <c r="BO117" s="85" t="str">
        <f t="shared" si="49"/>
        <v/>
      </c>
      <c r="BP117" s="33"/>
      <c r="BQ117" s="33"/>
      <c r="BR117" s="85" t="str">
        <f t="shared" si="50"/>
        <v/>
      </c>
      <c r="BS117" s="33"/>
      <c r="BT117" s="33"/>
      <c r="BU117" s="85" t="str">
        <f t="shared" si="51"/>
        <v/>
      </c>
      <c r="BV117" s="31" t="s">
        <v>1</v>
      </c>
      <c r="BW117" s="31"/>
      <c r="BX117" s="31"/>
      <c r="BY117" s="85" t="str">
        <f t="shared" si="52"/>
        <v/>
      </c>
      <c r="BZ117" s="31"/>
      <c r="CA117" s="31"/>
      <c r="CB117" s="85" t="str">
        <f t="shared" si="53"/>
        <v/>
      </c>
      <c r="CC117" s="31"/>
      <c r="CD117" s="31"/>
      <c r="CE117" s="85" t="str">
        <f t="shared" si="54"/>
        <v/>
      </c>
      <c r="CF117" s="31"/>
      <c r="CG117" s="31"/>
      <c r="CH117" s="85" t="str">
        <f t="shared" si="55"/>
        <v/>
      </c>
      <c r="CI117" s="31"/>
      <c r="CJ117" s="31"/>
      <c r="CK117" s="85" t="str">
        <f t="shared" si="56"/>
        <v/>
      </c>
      <c r="CL117" s="66">
        <v>421</v>
      </c>
      <c r="CM117" s="66">
        <v>49000</v>
      </c>
      <c r="CN117" s="85">
        <f t="shared" si="57"/>
        <v>116.3895486935867</v>
      </c>
      <c r="CQ117" s="85" t="str">
        <f t="shared" si="58"/>
        <v/>
      </c>
    </row>
    <row r="118" spans="1:95" x14ac:dyDescent="0.3">
      <c r="A118" s="31" t="s">
        <v>336</v>
      </c>
      <c r="B118" s="31" t="s">
        <v>345</v>
      </c>
      <c r="C118" s="30" t="s">
        <v>75</v>
      </c>
      <c r="D118" s="31" t="s">
        <v>1</v>
      </c>
      <c r="G118" s="85" t="str">
        <f t="shared" si="59"/>
        <v/>
      </c>
      <c r="H118" s="31"/>
      <c r="I118" s="31"/>
      <c r="J118" s="85" t="str">
        <f t="shared" si="30"/>
        <v/>
      </c>
      <c r="K118" s="31"/>
      <c r="L118" s="31"/>
      <c r="M118" s="85" t="str">
        <f t="shared" si="31"/>
        <v/>
      </c>
      <c r="N118" s="31"/>
      <c r="O118" s="31"/>
      <c r="P118" s="85" t="str">
        <f t="shared" si="32"/>
        <v/>
      </c>
      <c r="Q118" s="31"/>
      <c r="R118" s="31"/>
      <c r="S118" s="85" t="str">
        <f t="shared" si="33"/>
        <v/>
      </c>
      <c r="T118" s="31"/>
      <c r="U118" s="31"/>
      <c r="V118" s="85" t="str">
        <f t="shared" si="34"/>
        <v/>
      </c>
      <c r="W118" s="31"/>
      <c r="X118" s="31"/>
      <c r="Y118" s="85" t="str">
        <f t="shared" si="35"/>
        <v/>
      </c>
      <c r="Z118" s="31"/>
      <c r="AA118" s="31"/>
      <c r="AB118" s="85" t="str">
        <f t="shared" si="36"/>
        <v/>
      </c>
      <c r="AC118" s="31"/>
      <c r="AD118" s="31"/>
      <c r="AE118" s="85" t="str">
        <f t="shared" si="37"/>
        <v/>
      </c>
      <c r="AF118" s="84">
        <v>140.6</v>
      </c>
      <c r="AG118" s="83">
        <v>9166</v>
      </c>
      <c r="AH118" s="85">
        <f t="shared" si="38"/>
        <v>65.192034139402566</v>
      </c>
      <c r="AI118" s="84">
        <v>85.6</v>
      </c>
      <c r="AJ118" s="83">
        <v>6078</v>
      </c>
      <c r="AK118" s="85">
        <f t="shared" si="39"/>
        <v>71.004672897196272</v>
      </c>
      <c r="AL118" s="84">
        <v>81.2</v>
      </c>
      <c r="AM118" s="83">
        <v>5245</v>
      </c>
      <c r="AN118" s="85">
        <f t="shared" si="40"/>
        <v>64.593596059113295</v>
      </c>
      <c r="AO118" s="84">
        <v>58.9</v>
      </c>
      <c r="AP118" s="83">
        <v>3872</v>
      </c>
      <c r="AQ118" s="85">
        <f t="shared" si="41"/>
        <v>65.73853989813243</v>
      </c>
      <c r="AR118" s="31"/>
      <c r="AS118" s="31"/>
      <c r="AT118" s="85" t="str">
        <f t="shared" si="42"/>
        <v/>
      </c>
      <c r="AU118" s="31"/>
      <c r="AV118" s="31"/>
      <c r="AW118" s="85" t="str">
        <f t="shared" si="43"/>
        <v/>
      </c>
      <c r="AX118" s="33"/>
      <c r="AY118" s="31"/>
      <c r="AZ118" s="85" t="str">
        <f t="shared" si="44"/>
        <v/>
      </c>
      <c r="BA118" s="33"/>
      <c r="BB118" s="31"/>
      <c r="BC118" s="85" t="str">
        <f t="shared" si="45"/>
        <v/>
      </c>
      <c r="BD118" s="33"/>
      <c r="BE118" s="31"/>
      <c r="BF118" s="85" t="str">
        <f t="shared" si="46"/>
        <v/>
      </c>
      <c r="BG118" s="33"/>
      <c r="BH118" s="31"/>
      <c r="BI118" s="85" t="str">
        <f t="shared" si="47"/>
        <v/>
      </c>
      <c r="BJ118" s="33"/>
      <c r="BK118" s="33"/>
      <c r="BL118" s="85" t="str">
        <f t="shared" si="48"/>
        <v/>
      </c>
      <c r="BM118" s="33"/>
      <c r="BN118" s="33"/>
      <c r="BO118" s="85" t="str">
        <f t="shared" si="49"/>
        <v/>
      </c>
      <c r="BP118" s="33"/>
      <c r="BQ118" s="33"/>
      <c r="BR118" s="85" t="str">
        <f t="shared" si="50"/>
        <v/>
      </c>
      <c r="BS118" s="33"/>
      <c r="BT118" s="33"/>
      <c r="BU118" s="85" t="str">
        <f t="shared" si="51"/>
        <v/>
      </c>
      <c r="BV118" s="31"/>
      <c r="BW118" s="31"/>
      <c r="BX118" s="31"/>
      <c r="BY118" s="85" t="str">
        <f t="shared" si="52"/>
        <v/>
      </c>
      <c r="BZ118" s="31"/>
      <c r="CA118" s="31"/>
      <c r="CB118" s="85" t="str">
        <f t="shared" si="53"/>
        <v/>
      </c>
      <c r="CC118" s="31"/>
      <c r="CD118" s="31"/>
      <c r="CE118" s="85" t="str">
        <f t="shared" si="54"/>
        <v/>
      </c>
      <c r="CF118" s="31"/>
      <c r="CG118" s="31"/>
      <c r="CH118" s="85" t="str">
        <f t="shared" si="55"/>
        <v/>
      </c>
      <c r="CI118" s="31"/>
      <c r="CJ118" s="31"/>
      <c r="CK118" s="85" t="str">
        <f t="shared" si="56"/>
        <v/>
      </c>
      <c r="CL118" s="66"/>
      <c r="CM118" s="66"/>
      <c r="CN118" s="85" t="str">
        <f t="shared" si="57"/>
        <v/>
      </c>
      <c r="CQ118" s="85" t="str">
        <f t="shared" si="58"/>
        <v/>
      </c>
    </row>
    <row r="119" spans="1:95" x14ac:dyDescent="0.3">
      <c r="A119" s="31" t="s">
        <v>285</v>
      </c>
      <c r="B119" s="31" t="s">
        <v>227</v>
      </c>
      <c r="C119" s="30" t="s">
        <v>133</v>
      </c>
      <c r="D119" s="31" t="s">
        <v>231</v>
      </c>
      <c r="G119" s="85" t="str">
        <f t="shared" si="59"/>
        <v/>
      </c>
      <c r="H119" s="31"/>
      <c r="I119" s="31"/>
      <c r="J119" s="85" t="str">
        <f t="shared" si="30"/>
        <v/>
      </c>
      <c r="K119" s="31"/>
      <c r="L119" s="31"/>
      <c r="M119" s="85" t="str">
        <f t="shared" si="31"/>
        <v/>
      </c>
      <c r="N119" s="31"/>
      <c r="O119" s="31"/>
      <c r="P119" s="85" t="str">
        <f t="shared" si="32"/>
        <v/>
      </c>
      <c r="Q119" s="31"/>
      <c r="R119" s="31"/>
      <c r="S119" s="85" t="str">
        <f t="shared" si="33"/>
        <v/>
      </c>
      <c r="T119" s="31"/>
      <c r="U119" s="31"/>
      <c r="V119" s="85" t="str">
        <f t="shared" si="34"/>
        <v/>
      </c>
      <c r="W119" s="31"/>
      <c r="X119" s="31"/>
      <c r="Y119" s="85" t="str">
        <f t="shared" si="35"/>
        <v/>
      </c>
      <c r="Z119" s="31"/>
      <c r="AA119" s="31"/>
      <c r="AB119" s="85" t="str">
        <f t="shared" si="36"/>
        <v/>
      </c>
      <c r="AC119" s="31"/>
      <c r="AD119" s="31"/>
      <c r="AE119" s="85" t="str">
        <f t="shared" si="37"/>
        <v/>
      </c>
      <c r="AF119" s="31"/>
      <c r="AG119" s="31"/>
      <c r="AH119" s="85" t="str">
        <f t="shared" si="38"/>
        <v/>
      </c>
      <c r="AI119" s="31"/>
      <c r="AJ119" s="31"/>
      <c r="AK119" s="85" t="str">
        <f t="shared" si="39"/>
        <v/>
      </c>
      <c r="AL119" s="31"/>
      <c r="AM119" s="31"/>
      <c r="AN119" s="85" t="str">
        <f t="shared" si="40"/>
        <v/>
      </c>
      <c r="AO119" s="31"/>
      <c r="AP119" s="31"/>
      <c r="AQ119" s="85" t="str">
        <f t="shared" si="41"/>
        <v/>
      </c>
      <c r="AR119" s="31"/>
      <c r="AS119" s="31"/>
      <c r="AT119" s="85" t="str">
        <f t="shared" si="42"/>
        <v/>
      </c>
      <c r="AU119" s="31"/>
      <c r="AV119" s="31"/>
      <c r="AW119" s="85" t="str">
        <f t="shared" si="43"/>
        <v/>
      </c>
      <c r="AX119" s="33"/>
      <c r="AY119" s="31"/>
      <c r="AZ119" s="85" t="str">
        <f t="shared" si="44"/>
        <v/>
      </c>
      <c r="BA119" s="33"/>
      <c r="BB119" s="31"/>
      <c r="BC119" s="85" t="str">
        <f t="shared" si="45"/>
        <v/>
      </c>
      <c r="BD119" s="33"/>
      <c r="BE119" s="31"/>
      <c r="BF119" s="85" t="str">
        <f t="shared" si="46"/>
        <v/>
      </c>
      <c r="BG119" s="33"/>
      <c r="BH119" s="31"/>
      <c r="BI119" s="85" t="str">
        <f t="shared" si="47"/>
        <v/>
      </c>
      <c r="BJ119" s="33"/>
      <c r="BK119" s="33"/>
      <c r="BL119" s="85" t="str">
        <f t="shared" si="48"/>
        <v/>
      </c>
      <c r="BM119" s="33">
        <f>306800+191400</f>
        <v>498200</v>
      </c>
      <c r="BN119" s="33">
        <f>8312+6255</f>
        <v>14567</v>
      </c>
      <c r="BO119" s="85">
        <f t="shared" si="49"/>
        <v>2.9239261340826977E-2</v>
      </c>
      <c r="BP119" s="33">
        <f>154300+151400</f>
        <v>305700</v>
      </c>
      <c r="BQ119" s="33">
        <f>3948+5713</f>
        <v>9661</v>
      </c>
      <c r="BR119" s="85">
        <f t="shared" si="50"/>
        <v>3.1602878639188745E-2</v>
      </c>
      <c r="BS119" s="33">
        <f>211900+269100</f>
        <v>481000</v>
      </c>
      <c r="BT119" s="33">
        <f>6452+8641</f>
        <v>15093</v>
      </c>
      <c r="BU119" s="85">
        <f t="shared" si="51"/>
        <v>3.1378378378378376E-2</v>
      </c>
      <c r="BV119" s="31"/>
      <c r="BW119" s="31"/>
      <c r="BX119" s="31"/>
      <c r="BY119" s="85" t="str">
        <f t="shared" si="52"/>
        <v/>
      </c>
      <c r="BZ119" s="31"/>
      <c r="CA119" s="31"/>
      <c r="CB119" s="85" t="str">
        <f t="shared" si="53"/>
        <v/>
      </c>
      <c r="CC119" s="31"/>
      <c r="CD119" s="31"/>
      <c r="CE119" s="85" t="str">
        <f t="shared" si="54"/>
        <v/>
      </c>
      <c r="CF119" s="31"/>
      <c r="CG119" s="31"/>
      <c r="CH119" s="85" t="str">
        <f t="shared" si="55"/>
        <v/>
      </c>
      <c r="CI119" s="31"/>
      <c r="CJ119" s="31"/>
      <c r="CK119" s="85" t="str">
        <f t="shared" si="56"/>
        <v/>
      </c>
      <c r="CL119" s="66"/>
      <c r="CM119" s="66"/>
      <c r="CN119" s="85" t="str">
        <f t="shared" si="57"/>
        <v/>
      </c>
      <c r="CQ119" s="85" t="str">
        <f t="shared" si="58"/>
        <v/>
      </c>
    </row>
    <row r="120" spans="1:95" x14ac:dyDescent="0.3">
      <c r="A120" s="31" t="s">
        <v>282</v>
      </c>
      <c r="B120" s="31" t="s">
        <v>227</v>
      </c>
      <c r="C120" s="30" t="s">
        <v>359</v>
      </c>
      <c r="D120" s="31" t="s">
        <v>283</v>
      </c>
      <c r="G120" s="85" t="str">
        <f t="shared" si="59"/>
        <v/>
      </c>
      <c r="H120" s="31"/>
      <c r="I120" s="31"/>
      <c r="J120" s="85" t="str">
        <f t="shared" si="30"/>
        <v/>
      </c>
      <c r="K120" s="31"/>
      <c r="L120" s="31"/>
      <c r="M120" s="85" t="str">
        <f t="shared" si="31"/>
        <v/>
      </c>
      <c r="N120" s="31"/>
      <c r="O120" s="31"/>
      <c r="P120" s="85" t="str">
        <f t="shared" si="32"/>
        <v/>
      </c>
      <c r="Q120" s="31"/>
      <c r="R120" s="31"/>
      <c r="S120" s="85" t="str">
        <f t="shared" si="33"/>
        <v/>
      </c>
      <c r="T120" s="31"/>
      <c r="U120" s="31"/>
      <c r="V120" s="85" t="str">
        <f t="shared" si="34"/>
        <v/>
      </c>
      <c r="W120" s="31"/>
      <c r="X120" s="31"/>
      <c r="Y120" s="85" t="str">
        <f t="shared" si="35"/>
        <v/>
      </c>
      <c r="Z120" s="31"/>
      <c r="AA120" s="31"/>
      <c r="AB120" s="85" t="str">
        <f t="shared" si="36"/>
        <v/>
      </c>
      <c r="AC120" s="31"/>
      <c r="AD120" s="31"/>
      <c r="AE120" s="85" t="str">
        <f t="shared" si="37"/>
        <v/>
      </c>
      <c r="AF120" s="31"/>
      <c r="AG120" s="31"/>
      <c r="AH120" s="85" t="str">
        <f t="shared" si="38"/>
        <v/>
      </c>
      <c r="AI120" s="31"/>
      <c r="AJ120" s="31"/>
      <c r="AK120" s="85" t="str">
        <f t="shared" si="39"/>
        <v/>
      </c>
      <c r="AL120" s="31"/>
      <c r="AM120" s="31"/>
      <c r="AN120" s="85" t="str">
        <f t="shared" si="40"/>
        <v/>
      </c>
      <c r="AO120" s="31"/>
      <c r="AP120" s="31"/>
      <c r="AQ120" s="85" t="str">
        <f t="shared" si="41"/>
        <v/>
      </c>
      <c r="AR120" s="31"/>
      <c r="AS120" s="31"/>
      <c r="AT120" s="85" t="str">
        <f t="shared" si="42"/>
        <v/>
      </c>
      <c r="AU120" s="31"/>
      <c r="AV120" s="31"/>
      <c r="AW120" s="85" t="str">
        <f t="shared" si="43"/>
        <v/>
      </c>
      <c r="AX120" s="33"/>
      <c r="AY120" s="31"/>
      <c r="AZ120" s="85" t="str">
        <f t="shared" si="44"/>
        <v/>
      </c>
      <c r="BA120" s="33"/>
      <c r="BB120" s="31"/>
      <c r="BC120" s="85" t="str">
        <f t="shared" si="45"/>
        <v/>
      </c>
      <c r="BD120" s="33"/>
      <c r="BE120" s="31"/>
      <c r="BF120" s="85" t="str">
        <f t="shared" si="46"/>
        <v/>
      </c>
      <c r="BG120" s="33"/>
      <c r="BH120" s="31"/>
      <c r="BI120" s="85" t="str">
        <f t="shared" si="47"/>
        <v/>
      </c>
      <c r="BJ120" s="33">
        <v>9411</v>
      </c>
      <c r="BK120" s="33">
        <v>14497</v>
      </c>
      <c r="BL120" s="85">
        <f t="shared" si="48"/>
        <v>1.5404314100520666</v>
      </c>
      <c r="BM120" s="33">
        <f>6880+5076</f>
        <v>11956</v>
      </c>
      <c r="BN120" s="33">
        <f>12775+8703</f>
        <v>21478</v>
      </c>
      <c r="BO120" s="85">
        <f t="shared" si="49"/>
        <v>1.7964202074272333</v>
      </c>
      <c r="BP120" s="33">
        <f>6787+6359</f>
        <v>13146</v>
      </c>
      <c r="BQ120" s="33">
        <f>12138+11094</f>
        <v>23232</v>
      </c>
      <c r="BR120" s="85">
        <f t="shared" si="50"/>
        <v>1.7672295755362848</v>
      </c>
      <c r="BS120" s="33">
        <f>7774+6518</f>
        <v>14292</v>
      </c>
      <c r="BT120" s="33">
        <f>15708+12377</f>
        <v>28085</v>
      </c>
      <c r="BU120" s="85">
        <f t="shared" si="51"/>
        <v>1.9650853624405262</v>
      </c>
      <c r="BV120" s="31"/>
      <c r="BW120" s="31"/>
      <c r="BX120" s="31"/>
      <c r="BY120" s="85" t="str">
        <f t="shared" si="52"/>
        <v/>
      </c>
      <c r="BZ120" s="31"/>
      <c r="CA120" s="31"/>
      <c r="CB120" s="85" t="str">
        <f t="shared" si="53"/>
        <v/>
      </c>
      <c r="CC120" s="31"/>
      <c r="CD120" s="31"/>
      <c r="CE120" s="85" t="str">
        <f t="shared" si="54"/>
        <v/>
      </c>
      <c r="CF120" s="31"/>
      <c r="CG120" s="31"/>
      <c r="CH120" s="85" t="str">
        <f t="shared" si="55"/>
        <v/>
      </c>
      <c r="CI120" s="31"/>
      <c r="CJ120" s="31"/>
      <c r="CK120" s="85" t="str">
        <f t="shared" si="56"/>
        <v/>
      </c>
      <c r="CL120" s="66"/>
      <c r="CM120" s="66"/>
      <c r="CN120" s="85" t="str">
        <f t="shared" si="57"/>
        <v/>
      </c>
      <c r="CQ120" s="85" t="str">
        <f t="shared" si="58"/>
        <v/>
      </c>
    </row>
    <row r="121" spans="1:95" x14ac:dyDescent="0.3">
      <c r="A121" s="31" t="s">
        <v>144</v>
      </c>
      <c r="B121" s="31" t="s">
        <v>227</v>
      </c>
      <c r="C121" s="30" t="s">
        <v>75</v>
      </c>
      <c r="D121" s="31" t="s">
        <v>1</v>
      </c>
      <c r="G121" s="85" t="str">
        <f t="shared" si="59"/>
        <v/>
      </c>
      <c r="H121" s="31"/>
      <c r="I121" s="31"/>
      <c r="J121" s="85" t="str">
        <f t="shared" si="30"/>
        <v/>
      </c>
      <c r="K121" s="31"/>
      <c r="L121" s="31"/>
      <c r="M121" s="85" t="str">
        <f t="shared" si="31"/>
        <v/>
      </c>
      <c r="N121" s="31"/>
      <c r="O121" s="31"/>
      <c r="P121" s="85" t="str">
        <f t="shared" si="32"/>
        <v/>
      </c>
      <c r="Q121" s="31"/>
      <c r="R121" s="31"/>
      <c r="S121" s="85" t="str">
        <f t="shared" si="33"/>
        <v/>
      </c>
      <c r="T121" s="31"/>
      <c r="U121" s="31"/>
      <c r="V121" s="85" t="str">
        <f t="shared" si="34"/>
        <v/>
      </c>
      <c r="W121" s="31"/>
      <c r="X121" s="31"/>
      <c r="Y121" s="85" t="str">
        <f t="shared" si="35"/>
        <v/>
      </c>
      <c r="Z121" s="31"/>
      <c r="AA121" s="31"/>
      <c r="AB121" s="85" t="str">
        <f t="shared" si="36"/>
        <v/>
      </c>
      <c r="AC121" s="31"/>
      <c r="AD121" s="31"/>
      <c r="AE121" s="85" t="str">
        <f t="shared" si="37"/>
        <v/>
      </c>
      <c r="AF121" s="31"/>
      <c r="AG121" s="31"/>
      <c r="AH121" s="85" t="str">
        <f t="shared" si="38"/>
        <v/>
      </c>
      <c r="AI121" s="31"/>
      <c r="AJ121" s="31"/>
      <c r="AK121" s="85" t="str">
        <f t="shared" si="39"/>
        <v/>
      </c>
      <c r="AL121" s="31"/>
      <c r="AM121" s="31"/>
      <c r="AN121" s="85" t="str">
        <f t="shared" si="40"/>
        <v/>
      </c>
      <c r="AO121" s="31"/>
      <c r="AP121" s="31"/>
      <c r="AQ121" s="85" t="str">
        <f t="shared" si="41"/>
        <v/>
      </c>
      <c r="AR121" s="31"/>
      <c r="AS121" s="31"/>
      <c r="AT121" s="85" t="str">
        <f t="shared" si="42"/>
        <v/>
      </c>
      <c r="AU121" s="31"/>
      <c r="AV121" s="31"/>
      <c r="AW121" s="85" t="str">
        <f t="shared" si="43"/>
        <v/>
      </c>
      <c r="AX121" s="33">
        <v>381337</v>
      </c>
      <c r="AY121" s="31"/>
      <c r="AZ121" s="85">
        <f t="shared" si="44"/>
        <v>0</v>
      </c>
      <c r="BA121" s="33">
        <v>394623</v>
      </c>
      <c r="BB121" s="31">
        <v>378510</v>
      </c>
      <c r="BC121" s="85">
        <f t="shared" si="45"/>
        <v>0.95916862423122828</v>
      </c>
      <c r="BD121" s="33">
        <v>400943</v>
      </c>
      <c r="BE121" s="31">
        <v>324688</v>
      </c>
      <c r="BF121" s="85">
        <f t="shared" si="46"/>
        <v>0.8098108708719195</v>
      </c>
      <c r="BG121" s="33">
        <v>424400</v>
      </c>
      <c r="BH121" s="31">
        <v>301900</v>
      </c>
      <c r="BI121" s="85">
        <f t="shared" si="47"/>
        <v>0.71135721017907638</v>
      </c>
      <c r="BJ121" s="33">
        <v>410045</v>
      </c>
      <c r="BK121" s="33">
        <v>273117</v>
      </c>
      <c r="BL121" s="85">
        <f t="shared" si="48"/>
        <v>0.66606591959419092</v>
      </c>
      <c r="BM121" s="33">
        <f>328128+154112</f>
        <v>482240</v>
      </c>
      <c r="BN121" s="33">
        <f>215938+94351</f>
        <v>310289</v>
      </c>
      <c r="BO121" s="85">
        <f t="shared" si="49"/>
        <v>0.64343273059057726</v>
      </c>
      <c r="BP121" s="33">
        <f>217055+153372</f>
        <v>370427</v>
      </c>
      <c r="BQ121" s="33">
        <f>199084+91764</f>
        <v>290848</v>
      </c>
      <c r="BR121" s="85">
        <f t="shared" si="50"/>
        <v>0.78516954757617563</v>
      </c>
      <c r="BS121" s="33">
        <f>366405+130404</f>
        <v>496809</v>
      </c>
      <c r="BT121" s="33">
        <f>240360+82442</f>
        <v>322802</v>
      </c>
      <c r="BU121" s="85">
        <f t="shared" si="51"/>
        <v>0.64975070902499754</v>
      </c>
      <c r="BV121" s="31" t="s">
        <v>1</v>
      </c>
      <c r="BW121" s="33"/>
      <c r="BX121" s="33"/>
      <c r="BY121" s="85" t="str">
        <f t="shared" si="52"/>
        <v/>
      </c>
      <c r="BZ121" s="33"/>
      <c r="CA121" s="33"/>
      <c r="CB121" s="85" t="str">
        <f t="shared" si="53"/>
        <v/>
      </c>
      <c r="CC121" s="33">
        <v>493000</v>
      </c>
      <c r="CD121" s="33">
        <v>320000</v>
      </c>
      <c r="CE121" s="85">
        <f t="shared" si="54"/>
        <v>0.64908722109533468</v>
      </c>
      <c r="CF121" s="33">
        <v>493000</v>
      </c>
      <c r="CG121" s="33">
        <v>338000</v>
      </c>
      <c r="CH121" s="85">
        <f t="shared" si="55"/>
        <v>0.68559837728194728</v>
      </c>
      <c r="CI121" s="33">
        <v>501000</v>
      </c>
      <c r="CJ121" s="33">
        <v>323000</v>
      </c>
      <c r="CK121" s="85">
        <f t="shared" si="56"/>
        <v>0.64471057884231542</v>
      </c>
      <c r="CL121" s="33">
        <v>348000</v>
      </c>
      <c r="CM121" s="33">
        <v>250000</v>
      </c>
      <c r="CN121" s="85">
        <f t="shared" si="57"/>
        <v>0.7183908045977011</v>
      </c>
      <c r="CO121" s="33">
        <v>370000</v>
      </c>
      <c r="CP121" s="33">
        <v>297000</v>
      </c>
      <c r="CQ121" s="85">
        <f t="shared" si="58"/>
        <v>0.80270270270270272</v>
      </c>
    </row>
    <row r="122" spans="1:95" x14ac:dyDescent="0.3">
      <c r="A122" s="31" t="s">
        <v>267</v>
      </c>
      <c r="B122" s="31" t="s">
        <v>227</v>
      </c>
      <c r="C122" s="30" t="s">
        <v>75</v>
      </c>
      <c r="D122" s="31" t="s">
        <v>1</v>
      </c>
      <c r="G122" s="85" t="str">
        <f t="shared" si="59"/>
        <v/>
      </c>
      <c r="H122" s="31"/>
      <c r="I122" s="31"/>
      <c r="J122" s="85" t="str">
        <f t="shared" si="30"/>
        <v/>
      </c>
      <c r="K122" s="31"/>
      <c r="L122" s="31"/>
      <c r="M122" s="85" t="str">
        <f t="shared" si="31"/>
        <v/>
      </c>
      <c r="N122" s="31"/>
      <c r="O122" s="31"/>
      <c r="P122" s="85" t="str">
        <f t="shared" si="32"/>
        <v/>
      </c>
      <c r="Q122" s="31"/>
      <c r="R122" s="31"/>
      <c r="S122" s="85" t="str">
        <f t="shared" si="33"/>
        <v/>
      </c>
      <c r="T122" s="31"/>
      <c r="U122" s="31"/>
      <c r="V122" s="85" t="str">
        <f t="shared" si="34"/>
        <v/>
      </c>
      <c r="W122" s="31"/>
      <c r="X122" s="31"/>
      <c r="Y122" s="85" t="str">
        <f t="shared" si="35"/>
        <v/>
      </c>
      <c r="Z122" s="31"/>
      <c r="AA122" s="31"/>
      <c r="AB122" s="85" t="str">
        <f t="shared" si="36"/>
        <v/>
      </c>
      <c r="AC122" s="31"/>
      <c r="AD122" s="31"/>
      <c r="AE122" s="85" t="str">
        <f t="shared" si="37"/>
        <v/>
      </c>
      <c r="AF122" s="31"/>
      <c r="AG122" s="31"/>
      <c r="AH122" s="85" t="str">
        <f t="shared" si="38"/>
        <v/>
      </c>
      <c r="AI122" s="31"/>
      <c r="AJ122" s="31"/>
      <c r="AK122" s="85" t="str">
        <f t="shared" si="39"/>
        <v/>
      </c>
      <c r="AL122" s="31"/>
      <c r="AM122" s="31"/>
      <c r="AN122" s="85" t="str">
        <f t="shared" si="40"/>
        <v/>
      </c>
      <c r="AO122" s="31"/>
      <c r="AP122" s="31"/>
      <c r="AQ122" s="85" t="str">
        <f t="shared" si="41"/>
        <v/>
      </c>
      <c r="AR122" s="31"/>
      <c r="AS122" s="31"/>
      <c r="AT122" s="85" t="str">
        <f t="shared" si="42"/>
        <v/>
      </c>
      <c r="AU122" s="31"/>
      <c r="AV122" s="31"/>
      <c r="AW122" s="85" t="str">
        <f t="shared" si="43"/>
        <v/>
      </c>
      <c r="AX122" s="33"/>
      <c r="AY122" s="31"/>
      <c r="AZ122" s="85" t="str">
        <f t="shared" si="44"/>
        <v/>
      </c>
      <c r="BA122" s="33"/>
      <c r="BB122" s="31"/>
      <c r="BC122" s="85" t="str">
        <f t="shared" si="45"/>
        <v/>
      </c>
      <c r="BD122" s="33"/>
      <c r="BE122" s="31"/>
      <c r="BF122" s="85" t="str">
        <f t="shared" si="46"/>
        <v/>
      </c>
      <c r="BG122" s="33"/>
      <c r="BH122" s="31"/>
      <c r="BI122" s="85" t="str">
        <f t="shared" si="47"/>
        <v/>
      </c>
      <c r="BJ122" s="33"/>
      <c r="BK122" s="33"/>
      <c r="BL122" s="85" t="str">
        <f t="shared" si="48"/>
        <v/>
      </c>
      <c r="BM122" s="33"/>
      <c r="BN122" s="33"/>
      <c r="BO122" s="85" t="str">
        <f t="shared" si="49"/>
        <v/>
      </c>
      <c r="BP122" s="33"/>
      <c r="BQ122" s="33"/>
      <c r="BR122" s="85" t="str">
        <f t="shared" si="50"/>
        <v/>
      </c>
      <c r="BS122" s="33"/>
      <c r="BT122" s="33"/>
      <c r="BU122" s="85" t="str">
        <f t="shared" si="51"/>
        <v/>
      </c>
      <c r="BV122" s="31" t="s">
        <v>1</v>
      </c>
      <c r="BW122" s="33">
        <v>16827</v>
      </c>
      <c r="BX122" s="33">
        <v>11574</v>
      </c>
      <c r="BY122" s="85">
        <f t="shared" si="52"/>
        <v>0.68782314137992517</v>
      </c>
      <c r="BZ122" s="33">
        <v>12351</v>
      </c>
      <c r="CA122" s="33">
        <v>9760</v>
      </c>
      <c r="CB122" s="85">
        <f t="shared" si="53"/>
        <v>0.79021941543194885</v>
      </c>
      <c r="CC122" s="33"/>
      <c r="CD122" s="33"/>
      <c r="CE122" s="85" t="str">
        <f t="shared" si="54"/>
        <v/>
      </c>
      <c r="CF122" s="33"/>
      <c r="CG122" s="33"/>
      <c r="CH122" s="85" t="str">
        <f t="shared" si="55"/>
        <v/>
      </c>
      <c r="CI122" s="33"/>
      <c r="CJ122" s="33"/>
      <c r="CK122" s="85" t="str">
        <f t="shared" si="56"/>
        <v/>
      </c>
      <c r="CL122" s="33"/>
      <c r="CM122" s="33"/>
      <c r="CN122" s="85" t="str">
        <f t="shared" si="57"/>
        <v/>
      </c>
      <c r="CO122" s="33"/>
      <c r="CP122" s="33"/>
      <c r="CQ122" s="85" t="str">
        <f t="shared" si="58"/>
        <v/>
      </c>
    </row>
    <row r="123" spans="1:95" x14ac:dyDescent="0.3">
      <c r="A123" s="31" t="s">
        <v>268</v>
      </c>
      <c r="B123" s="31" t="s">
        <v>227</v>
      </c>
      <c r="C123" s="30" t="s">
        <v>75</v>
      </c>
      <c r="D123" s="31" t="s">
        <v>1</v>
      </c>
      <c r="G123" s="85" t="str">
        <f t="shared" si="59"/>
        <v/>
      </c>
      <c r="H123" s="31"/>
      <c r="I123" s="31"/>
      <c r="J123" s="85" t="str">
        <f t="shared" si="30"/>
        <v/>
      </c>
      <c r="K123" s="31"/>
      <c r="L123" s="31"/>
      <c r="M123" s="85" t="str">
        <f t="shared" si="31"/>
        <v/>
      </c>
      <c r="N123" s="31"/>
      <c r="O123" s="31"/>
      <c r="P123" s="85" t="str">
        <f t="shared" si="32"/>
        <v/>
      </c>
      <c r="Q123" s="31"/>
      <c r="R123" s="31"/>
      <c r="S123" s="85" t="str">
        <f t="shared" si="33"/>
        <v/>
      </c>
      <c r="T123" s="31"/>
      <c r="U123" s="31"/>
      <c r="V123" s="85" t="str">
        <f t="shared" si="34"/>
        <v/>
      </c>
      <c r="W123" s="31"/>
      <c r="X123" s="31"/>
      <c r="Y123" s="85" t="str">
        <f t="shared" si="35"/>
        <v/>
      </c>
      <c r="Z123" s="31"/>
      <c r="AA123" s="31"/>
      <c r="AB123" s="85" t="str">
        <f t="shared" si="36"/>
        <v/>
      </c>
      <c r="AC123" s="31"/>
      <c r="AD123" s="31"/>
      <c r="AE123" s="85" t="str">
        <f t="shared" si="37"/>
        <v/>
      </c>
      <c r="AF123" s="31"/>
      <c r="AG123" s="31"/>
      <c r="AH123" s="85" t="str">
        <f t="shared" si="38"/>
        <v/>
      </c>
      <c r="AI123" s="31"/>
      <c r="AJ123" s="31"/>
      <c r="AK123" s="85" t="str">
        <f t="shared" si="39"/>
        <v/>
      </c>
      <c r="AL123" s="31"/>
      <c r="AM123" s="31"/>
      <c r="AN123" s="85" t="str">
        <f t="shared" si="40"/>
        <v/>
      </c>
      <c r="AO123" s="31"/>
      <c r="AP123" s="31"/>
      <c r="AQ123" s="85" t="str">
        <f t="shared" si="41"/>
        <v/>
      </c>
      <c r="AR123" s="31"/>
      <c r="AS123" s="31"/>
      <c r="AT123" s="85" t="str">
        <f t="shared" si="42"/>
        <v/>
      </c>
      <c r="AU123" s="31"/>
      <c r="AV123" s="31"/>
      <c r="AW123" s="85" t="str">
        <f t="shared" si="43"/>
        <v/>
      </c>
      <c r="AX123" s="33"/>
      <c r="AY123" s="31"/>
      <c r="AZ123" s="85" t="str">
        <f t="shared" si="44"/>
        <v/>
      </c>
      <c r="BA123" s="33"/>
      <c r="BB123" s="31"/>
      <c r="BC123" s="85" t="str">
        <f t="shared" si="45"/>
        <v/>
      </c>
      <c r="BD123" s="33"/>
      <c r="BE123" s="31"/>
      <c r="BF123" s="85" t="str">
        <f t="shared" si="46"/>
        <v/>
      </c>
      <c r="BG123" s="33"/>
      <c r="BH123" s="31"/>
      <c r="BI123" s="85" t="str">
        <f t="shared" si="47"/>
        <v/>
      </c>
      <c r="BJ123" s="33"/>
      <c r="BK123" s="33"/>
      <c r="BL123" s="85" t="str">
        <f t="shared" si="48"/>
        <v/>
      </c>
      <c r="BM123" s="33"/>
      <c r="BN123" s="33"/>
      <c r="BO123" s="85" t="str">
        <f t="shared" si="49"/>
        <v/>
      </c>
      <c r="BP123" s="33"/>
      <c r="BQ123" s="33"/>
      <c r="BR123" s="85" t="str">
        <f t="shared" si="50"/>
        <v/>
      </c>
      <c r="BS123" s="33"/>
      <c r="BT123" s="33"/>
      <c r="BU123" s="85" t="str">
        <f t="shared" si="51"/>
        <v/>
      </c>
      <c r="BV123" s="31" t="s">
        <v>1</v>
      </c>
      <c r="BW123" s="33">
        <v>27936</v>
      </c>
      <c r="BX123" s="33">
        <v>15608</v>
      </c>
      <c r="BY123" s="85">
        <f t="shared" si="52"/>
        <v>0.55870561282932418</v>
      </c>
      <c r="BZ123" s="33">
        <v>31311</v>
      </c>
      <c r="CA123" s="33">
        <v>16180</v>
      </c>
      <c r="CB123" s="85">
        <f t="shared" si="53"/>
        <v>0.51675130145955095</v>
      </c>
      <c r="CC123" s="33"/>
      <c r="CD123" s="33"/>
      <c r="CE123" s="85" t="str">
        <f t="shared" si="54"/>
        <v/>
      </c>
      <c r="CF123" s="33"/>
      <c r="CG123" s="33"/>
      <c r="CH123" s="85" t="str">
        <f t="shared" si="55"/>
        <v/>
      </c>
      <c r="CI123" s="33"/>
      <c r="CJ123" s="33"/>
      <c r="CK123" s="85" t="str">
        <f t="shared" si="56"/>
        <v/>
      </c>
      <c r="CL123" s="33"/>
      <c r="CM123" s="33"/>
      <c r="CN123" s="85" t="str">
        <f t="shared" si="57"/>
        <v/>
      </c>
      <c r="CO123" s="33"/>
      <c r="CP123" s="33"/>
      <c r="CQ123" s="85" t="str">
        <f t="shared" si="58"/>
        <v/>
      </c>
    </row>
    <row r="124" spans="1:95" x14ac:dyDescent="0.3">
      <c r="A124" s="31" t="s">
        <v>269</v>
      </c>
      <c r="B124" s="31" t="s">
        <v>227</v>
      </c>
      <c r="C124" s="30" t="s">
        <v>75</v>
      </c>
      <c r="D124" s="31" t="s">
        <v>1</v>
      </c>
      <c r="G124" s="85" t="str">
        <f t="shared" si="59"/>
        <v/>
      </c>
      <c r="H124" s="31"/>
      <c r="I124" s="31"/>
      <c r="J124" s="85" t="str">
        <f t="shared" si="30"/>
        <v/>
      </c>
      <c r="K124" s="31"/>
      <c r="L124" s="31"/>
      <c r="M124" s="85" t="str">
        <f t="shared" si="31"/>
        <v/>
      </c>
      <c r="N124" s="31"/>
      <c r="O124" s="31"/>
      <c r="P124" s="85" t="str">
        <f t="shared" si="32"/>
        <v/>
      </c>
      <c r="Q124" s="31"/>
      <c r="R124" s="31"/>
      <c r="S124" s="85" t="str">
        <f t="shared" si="33"/>
        <v/>
      </c>
      <c r="T124" s="31"/>
      <c r="U124" s="31"/>
      <c r="V124" s="85" t="str">
        <f t="shared" si="34"/>
        <v/>
      </c>
      <c r="W124" s="31"/>
      <c r="X124" s="31"/>
      <c r="Y124" s="85" t="str">
        <f t="shared" si="35"/>
        <v/>
      </c>
      <c r="Z124" s="31"/>
      <c r="AA124" s="31"/>
      <c r="AB124" s="85" t="str">
        <f t="shared" si="36"/>
        <v/>
      </c>
      <c r="AC124" s="31"/>
      <c r="AD124" s="31"/>
      <c r="AE124" s="85" t="str">
        <f t="shared" si="37"/>
        <v/>
      </c>
      <c r="AF124" s="31"/>
      <c r="AG124" s="31"/>
      <c r="AH124" s="85" t="str">
        <f t="shared" si="38"/>
        <v/>
      </c>
      <c r="AI124" s="31"/>
      <c r="AJ124" s="31"/>
      <c r="AK124" s="85" t="str">
        <f t="shared" si="39"/>
        <v/>
      </c>
      <c r="AL124" s="31"/>
      <c r="AM124" s="31"/>
      <c r="AN124" s="85" t="str">
        <f t="shared" si="40"/>
        <v/>
      </c>
      <c r="AO124" s="31"/>
      <c r="AP124" s="31"/>
      <c r="AQ124" s="85" t="str">
        <f t="shared" si="41"/>
        <v/>
      </c>
      <c r="AR124" s="31"/>
      <c r="AS124" s="31"/>
      <c r="AT124" s="85" t="str">
        <f t="shared" si="42"/>
        <v/>
      </c>
      <c r="AU124" s="31"/>
      <c r="AV124" s="31"/>
      <c r="AW124" s="85" t="str">
        <f t="shared" si="43"/>
        <v/>
      </c>
      <c r="AX124" s="33"/>
      <c r="AY124" s="31"/>
      <c r="AZ124" s="85" t="str">
        <f t="shared" si="44"/>
        <v/>
      </c>
      <c r="BA124" s="33"/>
      <c r="BB124" s="31"/>
      <c r="BC124" s="85" t="str">
        <f t="shared" si="45"/>
        <v/>
      </c>
      <c r="BD124" s="33"/>
      <c r="BE124" s="31"/>
      <c r="BF124" s="85" t="str">
        <f t="shared" si="46"/>
        <v/>
      </c>
      <c r="BG124" s="33"/>
      <c r="BH124" s="31"/>
      <c r="BI124" s="85" t="str">
        <f t="shared" si="47"/>
        <v/>
      </c>
      <c r="BJ124" s="33"/>
      <c r="BK124" s="33"/>
      <c r="BL124" s="85" t="str">
        <f t="shared" si="48"/>
        <v/>
      </c>
      <c r="BM124" s="33"/>
      <c r="BN124" s="33"/>
      <c r="BO124" s="85" t="str">
        <f t="shared" si="49"/>
        <v/>
      </c>
      <c r="BP124" s="33"/>
      <c r="BQ124" s="33"/>
      <c r="BR124" s="85" t="str">
        <f t="shared" si="50"/>
        <v/>
      </c>
      <c r="BS124" s="33"/>
      <c r="BT124" s="33"/>
      <c r="BU124" s="85" t="str">
        <f t="shared" si="51"/>
        <v/>
      </c>
      <c r="BV124" s="31" t="s">
        <v>1</v>
      </c>
      <c r="BW124" s="33">
        <v>462638</v>
      </c>
      <c r="BX124" s="33">
        <v>355409</v>
      </c>
      <c r="BY124" s="85">
        <f t="shared" si="52"/>
        <v>0.76822267085712803</v>
      </c>
      <c r="BZ124" s="33">
        <v>440115</v>
      </c>
      <c r="CA124" s="33">
        <v>325329</v>
      </c>
      <c r="CB124" s="85">
        <f t="shared" si="53"/>
        <v>0.73919089328925391</v>
      </c>
      <c r="CC124" s="33"/>
      <c r="CD124" s="33"/>
      <c r="CE124" s="85" t="str">
        <f t="shared" si="54"/>
        <v/>
      </c>
      <c r="CF124" s="33"/>
      <c r="CG124" s="33"/>
      <c r="CH124" s="85" t="str">
        <f t="shared" si="55"/>
        <v/>
      </c>
      <c r="CI124" s="33"/>
      <c r="CJ124" s="33"/>
      <c r="CK124" s="85" t="str">
        <f t="shared" si="56"/>
        <v/>
      </c>
      <c r="CL124" s="33"/>
      <c r="CM124" s="33"/>
      <c r="CN124" s="85" t="str">
        <f t="shared" si="57"/>
        <v/>
      </c>
      <c r="CO124" s="33"/>
      <c r="CP124" s="33"/>
      <c r="CQ124" s="85" t="str">
        <f t="shared" si="58"/>
        <v/>
      </c>
    </row>
    <row r="125" spans="1:95" ht="15" x14ac:dyDescent="0.3">
      <c r="A125" s="31" t="s">
        <v>228</v>
      </c>
      <c r="B125" s="31" t="s">
        <v>227</v>
      </c>
      <c r="C125" s="30" t="s">
        <v>75</v>
      </c>
      <c r="D125" s="31" t="s">
        <v>1</v>
      </c>
      <c r="G125" s="85" t="str">
        <f t="shared" si="59"/>
        <v/>
      </c>
      <c r="H125" s="31"/>
      <c r="I125" s="31"/>
      <c r="J125" s="85" t="str">
        <f t="shared" si="30"/>
        <v/>
      </c>
      <c r="K125" s="31"/>
      <c r="L125" s="31"/>
      <c r="M125" s="85" t="str">
        <f t="shared" si="31"/>
        <v/>
      </c>
      <c r="N125" s="31"/>
      <c r="O125" s="31"/>
      <c r="P125" s="85" t="str">
        <f t="shared" si="32"/>
        <v/>
      </c>
      <c r="Q125" s="31"/>
      <c r="R125" s="31"/>
      <c r="S125" s="85" t="str">
        <f t="shared" si="33"/>
        <v/>
      </c>
      <c r="T125" s="31"/>
      <c r="U125" s="31"/>
      <c r="V125" s="85" t="str">
        <f t="shared" si="34"/>
        <v/>
      </c>
      <c r="W125" s="31"/>
      <c r="X125" s="31"/>
      <c r="Y125" s="85" t="str">
        <f t="shared" si="35"/>
        <v/>
      </c>
      <c r="Z125" s="31"/>
      <c r="AA125" s="31"/>
      <c r="AB125" s="85" t="str">
        <f t="shared" si="36"/>
        <v/>
      </c>
      <c r="AC125" s="31"/>
      <c r="AD125" s="31"/>
      <c r="AE125" s="85" t="str">
        <f t="shared" si="37"/>
        <v/>
      </c>
      <c r="AF125" s="31"/>
      <c r="AG125" s="31"/>
      <c r="AH125" s="85" t="str">
        <f t="shared" si="38"/>
        <v/>
      </c>
      <c r="AI125" s="31"/>
      <c r="AJ125" s="31"/>
      <c r="AK125" s="85" t="str">
        <f t="shared" si="39"/>
        <v/>
      </c>
      <c r="AL125" s="31"/>
      <c r="AM125" s="31"/>
      <c r="AN125" s="85" t="str">
        <f t="shared" si="40"/>
        <v/>
      </c>
      <c r="AO125" s="31"/>
      <c r="AP125" s="31"/>
      <c r="AQ125" s="85" t="str">
        <f t="shared" si="41"/>
        <v/>
      </c>
      <c r="AR125" s="31"/>
      <c r="AS125" s="31"/>
      <c r="AT125" s="85" t="str">
        <f t="shared" si="42"/>
        <v/>
      </c>
      <c r="AU125" s="31"/>
      <c r="AV125" s="31"/>
      <c r="AW125" s="85" t="str">
        <f t="shared" si="43"/>
        <v/>
      </c>
      <c r="AX125" s="33">
        <v>898</v>
      </c>
      <c r="AY125" s="31"/>
      <c r="AZ125" s="85">
        <f t="shared" si="44"/>
        <v>0</v>
      </c>
      <c r="BA125" s="33">
        <v>700</v>
      </c>
      <c r="BB125" s="31">
        <v>60652</v>
      </c>
      <c r="BC125" s="85">
        <f t="shared" si="45"/>
        <v>86.645714285714291</v>
      </c>
      <c r="BD125" s="33">
        <v>898</v>
      </c>
      <c r="BE125" s="31">
        <v>77308</v>
      </c>
      <c r="BF125" s="85">
        <f t="shared" si="46"/>
        <v>86.089086859688194</v>
      </c>
      <c r="BG125" s="33">
        <v>1544</v>
      </c>
      <c r="BH125" s="31">
        <v>108820</v>
      </c>
      <c r="BI125" s="85">
        <f t="shared" si="47"/>
        <v>70.479274611398964</v>
      </c>
      <c r="BJ125" s="33">
        <v>1532</v>
      </c>
      <c r="BK125" s="33">
        <v>108160</v>
      </c>
      <c r="BL125" s="85">
        <f t="shared" si="48"/>
        <v>70.600522193211489</v>
      </c>
      <c r="BM125" s="33">
        <f>539+1673</f>
        <v>2212</v>
      </c>
      <c r="BN125" s="33">
        <f>38307+120196</f>
        <v>158503</v>
      </c>
      <c r="BO125" s="85">
        <f t="shared" si="49"/>
        <v>71.655967450271248</v>
      </c>
      <c r="BP125" s="33">
        <f>434+494</f>
        <v>928</v>
      </c>
      <c r="BQ125" s="33">
        <f>34190+40312</f>
        <v>74502</v>
      </c>
      <c r="BR125" s="85">
        <f t="shared" si="50"/>
        <v>80.28232758620689</v>
      </c>
      <c r="BS125" s="33">
        <f>342+388</f>
        <v>730</v>
      </c>
      <c r="BT125" s="33">
        <f>33149+37077</f>
        <v>70226</v>
      </c>
      <c r="BU125" s="85">
        <f t="shared" si="51"/>
        <v>96.2</v>
      </c>
      <c r="BV125" s="31" t="s">
        <v>1</v>
      </c>
      <c r="BW125" s="33">
        <v>495</v>
      </c>
      <c r="BX125" s="33">
        <v>53863</v>
      </c>
      <c r="BY125" s="85">
        <f t="shared" si="52"/>
        <v>108.81414141414142</v>
      </c>
      <c r="BZ125" s="33">
        <v>1720</v>
      </c>
      <c r="CA125" s="33">
        <v>134291</v>
      </c>
      <c r="CB125" s="85">
        <f t="shared" si="53"/>
        <v>78.07616279069768</v>
      </c>
      <c r="CC125" s="33">
        <v>1481</v>
      </c>
      <c r="CD125" s="33">
        <v>115000</v>
      </c>
      <c r="CE125" s="85">
        <f t="shared" si="54"/>
        <v>77.650236326806208</v>
      </c>
      <c r="CF125" s="33">
        <v>2207</v>
      </c>
      <c r="CG125" s="33">
        <v>160000</v>
      </c>
      <c r="CH125" s="85">
        <f t="shared" si="55"/>
        <v>72.496601721794292</v>
      </c>
      <c r="CI125" s="33">
        <v>1970</v>
      </c>
      <c r="CJ125" s="33">
        <v>143000</v>
      </c>
      <c r="CK125" s="85">
        <f t="shared" si="56"/>
        <v>72.588832487309645</v>
      </c>
      <c r="CL125" s="33">
        <v>1148</v>
      </c>
      <c r="CM125" s="33">
        <v>90000</v>
      </c>
      <c r="CN125" s="85">
        <f t="shared" si="57"/>
        <v>78.397212543554005</v>
      </c>
      <c r="CO125" s="33">
        <v>754</v>
      </c>
      <c r="CP125" s="33">
        <v>65000</v>
      </c>
      <c r="CQ125" s="85">
        <f t="shared" si="58"/>
        <v>86.206896551724142</v>
      </c>
    </row>
    <row r="126" spans="1:95" x14ac:dyDescent="0.3">
      <c r="A126" s="31" t="s">
        <v>280</v>
      </c>
      <c r="B126" s="31" t="s">
        <v>227</v>
      </c>
      <c r="C126" s="30" t="s">
        <v>75</v>
      </c>
      <c r="D126" s="31" t="s">
        <v>1</v>
      </c>
      <c r="G126" s="85" t="str">
        <f t="shared" si="59"/>
        <v/>
      </c>
      <c r="H126" s="31"/>
      <c r="I126" s="31"/>
      <c r="J126" s="85" t="str">
        <f t="shared" si="30"/>
        <v/>
      </c>
      <c r="K126" s="31"/>
      <c r="L126" s="31"/>
      <c r="M126" s="85" t="str">
        <f t="shared" si="31"/>
        <v/>
      </c>
      <c r="N126" s="31"/>
      <c r="O126" s="31"/>
      <c r="P126" s="85" t="str">
        <f t="shared" si="32"/>
        <v/>
      </c>
      <c r="Q126" s="31"/>
      <c r="R126" s="31"/>
      <c r="S126" s="85" t="str">
        <f t="shared" si="33"/>
        <v/>
      </c>
      <c r="T126" s="31"/>
      <c r="U126" s="31"/>
      <c r="V126" s="85" t="str">
        <f t="shared" si="34"/>
        <v/>
      </c>
      <c r="W126" s="31"/>
      <c r="X126" s="31"/>
      <c r="Y126" s="85" t="str">
        <f t="shared" si="35"/>
        <v/>
      </c>
      <c r="Z126" s="31"/>
      <c r="AA126" s="31"/>
      <c r="AB126" s="85" t="str">
        <f t="shared" si="36"/>
        <v/>
      </c>
      <c r="AC126" s="31"/>
      <c r="AD126" s="31"/>
      <c r="AE126" s="85" t="str">
        <f t="shared" si="37"/>
        <v/>
      </c>
      <c r="AF126" s="31">
        <v>16118</v>
      </c>
      <c r="AG126" s="31">
        <v>156007</v>
      </c>
      <c r="AH126" s="85">
        <f t="shared" si="38"/>
        <v>9.6790544732597095</v>
      </c>
      <c r="AI126" s="31">
        <v>17517</v>
      </c>
      <c r="AJ126" s="31">
        <v>155431</v>
      </c>
      <c r="AK126" s="85">
        <f t="shared" si="39"/>
        <v>8.8731517953987549</v>
      </c>
      <c r="AL126" s="31">
        <v>20234</v>
      </c>
      <c r="AM126" s="31">
        <v>146678</v>
      </c>
      <c r="AN126" s="85">
        <f t="shared" si="40"/>
        <v>7.2490856973411093</v>
      </c>
      <c r="AO126" s="31">
        <v>15782</v>
      </c>
      <c r="AP126" s="31">
        <v>127227</v>
      </c>
      <c r="AQ126" s="85">
        <f t="shared" si="41"/>
        <v>8.0615257888734</v>
      </c>
      <c r="AR126" s="31">
        <v>10752</v>
      </c>
      <c r="AS126" s="31">
        <v>117175</v>
      </c>
      <c r="AT126" s="85">
        <f t="shared" si="42"/>
        <v>10.897972470238095</v>
      </c>
      <c r="AU126" s="31">
        <v>14094</v>
      </c>
      <c r="AV126" s="31">
        <v>156039</v>
      </c>
      <c r="AW126" s="85">
        <f t="shared" si="43"/>
        <v>11.071306939123032</v>
      </c>
      <c r="AX126" s="33">
        <v>11631</v>
      </c>
      <c r="AY126" s="31">
        <v>130561</v>
      </c>
      <c r="AZ126" s="85">
        <f t="shared" si="44"/>
        <v>11.225260080818503</v>
      </c>
      <c r="BA126" s="33">
        <v>7665</v>
      </c>
      <c r="BB126" s="31">
        <v>117700</v>
      </c>
      <c r="BC126" s="85">
        <f t="shared" si="45"/>
        <v>15.355512067840834</v>
      </c>
      <c r="BD126" s="33">
        <v>6405</v>
      </c>
      <c r="BE126" s="31">
        <v>100945</v>
      </c>
      <c r="BF126" s="85">
        <f t="shared" si="46"/>
        <v>15.760343481654957</v>
      </c>
      <c r="BG126" s="33">
        <v>7733</v>
      </c>
      <c r="BH126" s="31">
        <v>117837</v>
      </c>
      <c r="BI126" s="85">
        <f t="shared" si="47"/>
        <v>15.238199922410448</v>
      </c>
      <c r="BJ126" s="33">
        <v>7726</v>
      </c>
      <c r="BK126" s="33">
        <v>116000</v>
      </c>
      <c r="BL126" s="85">
        <f t="shared" si="48"/>
        <v>15.014237639140564</v>
      </c>
      <c r="BM126" s="33">
        <f>4322+6788</f>
        <v>11110</v>
      </c>
      <c r="BN126" s="33">
        <f>62317+75070</f>
        <v>137387</v>
      </c>
      <c r="BO126" s="85">
        <f t="shared" si="49"/>
        <v>12.366066606660667</v>
      </c>
      <c r="BP126" s="33">
        <f>4117+7964</f>
        <v>12081</v>
      </c>
      <c r="BQ126" s="33">
        <f>54566+82589</f>
        <v>137155</v>
      </c>
      <c r="BR126" s="85">
        <f t="shared" si="50"/>
        <v>11.352950914659383</v>
      </c>
      <c r="BS126" s="33">
        <f>5010+6558</f>
        <v>11568</v>
      </c>
      <c r="BT126" s="33">
        <f>72710+72826</f>
        <v>145536</v>
      </c>
      <c r="BU126" s="85">
        <f t="shared" si="51"/>
        <v>12.580912863070539</v>
      </c>
      <c r="BV126" s="31" t="s">
        <v>1</v>
      </c>
      <c r="BW126" s="33"/>
      <c r="BX126" s="33"/>
      <c r="BY126" s="85" t="str">
        <f t="shared" si="52"/>
        <v/>
      </c>
      <c r="BZ126" s="33"/>
      <c r="CA126" s="33"/>
      <c r="CB126" s="85" t="str">
        <f t="shared" si="53"/>
        <v/>
      </c>
      <c r="CC126" s="33"/>
      <c r="CD126" s="33"/>
      <c r="CE126" s="85" t="str">
        <f t="shared" si="54"/>
        <v/>
      </c>
      <c r="CF126" s="33"/>
      <c r="CG126" s="33"/>
      <c r="CH126" s="85" t="str">
        <f t="shared" si="55"/>
        <v/>
      </c>
      <c r="CI126" s="33"/>
      <c r="CJ126" s="33"/>
      <c r="CK126" s="85" t="str">
        <f t="shared" si="56"/>
        <v/>
      </c>
      <c r="CL126" s="33"/>
      <c r="CM126" s="33"/>
      <c r="CN126" s="85" t="str">
        <f t="shared" si="57"/>
        <v/>
      </c>
      <c r="CO126" s="33"/>
      <c r="CP126" s="33"/>
      <c r="CQ126" s="85" t="str">
        <f t="shared" si="58"/>
        <v/>
      </c>
    </row>
    <row r="127" spans="1:95" x14ac:dyDescent="0.3">
      <c r="A127" s="31" t="s">
        <v>229</v>
      </c>
      <c r="B127" s="31" t="s">
        <v>227</v>
      </c>
      <c r="C127" s="30" t="s">
        <v>75</v>
      </c>
      <c r="D127" s="31" t="s">
        <v>1</v>
      </c>
      <c r="G127" s="85" t="str">
        <f t="shared" si="59"/>
        <v/>
      </c>
      <c r="H127" s="31"/>
      <c r="I127" s="31"/>
      <c r="J127" s="85" t="str">
        <f t="shared" si="30"/>
        <v/>
      </c>
      <c r="K127" s="31"/>
      <c r="L127" s="31"/>
      <c r="M127" s="85" t="str">
        <f t="shared" si="31"/>
        <v/>
      </c>
      <c r="N127" s="31"/>
      <c r="O127" s="31"/>
      <c r="P127" s="85" t="str">
        <f t="shared" si="32"/>
        <v/>
      </c>
      <c r="Q127" s="31"/>
      <c r="R127" s="31"/>
      <c r="S127" s="85" t="str">
        <f t="shared" si="33"/>
        <v/>
      </c>
      <c r="T127" s="31"/>
      <c r="U127" s="31"/>
      <c r="V127" s="85" t="str">
        <f t="shared" si="34"/>
        <v/>
      </c>
      <c r="W127" s="31"/>
      <c r="X127" s="31"/>
      <c r="Y127" s="85" t="str">
        <f t="shared" si="35"/>
        <v/>
      </c>
      <c r="Z127" s="31"/>
      <c r="AA127" s="31"/>
      <c r="AB127" s="85" t="str">
        <f t="shared" si="36"/>
        <v/>
      </c>
      <c r="AC127" s="31"/>
      <c r="AD127" s="31"/>
      <c r="AE127" s="85" t="str">
        <f t="shared" si="37"/>
        <v/>
      </c>
      <c r="AF127" s="31"/>
      <c r="AG127" s="31"/>
      <c r="AH127" s="85" t="str">
        <f t="shared" si="38"/>
        <v/>
      </c>
      <c r="AI127" s="31"/>
      <c r="AJ127" s="31"/>
      <c r="AK127" s="85" t="str">
        <f t="shared" si="39"/>
        <v/>
      </c>
      <c r="AL127" s="31"/>
      <c r="AM127" s="31"/>
      <c r="AN127" s="85" t="str">
        <f t="shared" si="40"/>
        <v/>
      </c>
      <c r="AO127" s="31"/>
      <c r="AP127" s="31"/>
      <c r="AQ127" s="85" t="str">
        <f t="shared" si="41"/>
        <v/>
      </c>
      <c r="AR127" s="31"/>
      <c r="AS127" s="31"/>
      <c r="AT127" s="85" t="str">
        <f t="shared" si="42"/>
        <v/>
      </c>
      <c r="AU127" s="31"/>
      <c r="AV127" s="31"/>
      <c r="AW127" s="85" t="str">
        <f t="shared" si="43"/>
        <v/>
      </c>
      <c r="AX127" s="33">
        <v>369</v>
      </c>
      <c r="AY127" s="31"/>
      <c r="AZ127" s="85">
        <f t="shared" si="44"/>
        <v>0</v>
      </c>
      <c r="BA127" s="33">
        <v>450</v>
      </c>
      <c r="BB127" s="31">
        <v>61201</v>
      </c>
      <c r="BC127" s="85">
        <f t="shared" si="45"/>
        <v>136.00222222222223</v>
      </c>
      <c r="BD127" s="33">
        <v>369</v>
      </c>
      <c r="BE127" s="31">
        <v>44981</v>
      </c>
      <c r="BF127" s="85">
        <f t="shared" si="46"/>
        <v>121.89972899728997</v>
      </c>
      <c r="BG127" s="33">
        <v>379</v>
      </c>
      <c r="BH127" s="31">
        <v>45785</v>
      </c>
      <c r="BI127" s="85">
        <f t="shared" si="47"/>
        <v>120.8047493403694</v>
      </c>
      <c r="BJ127" s="33">
        <v>281</v>
      </c>
      <c r="BK127" s="33">
        <v>34810</v>
      </c>
      <c r="BL127" s="85">
        <f t="shared" si="48"/>
        <v>123.87900355871886</v>
      </c>
      <c r="BM127" s="33">
        <f>138+198</f>
        <v>336</v>
      </c>
      <c r="BN127" s="33">
        <f>17042+25349</f>
        <v>42391</v>
      </c>
      <c r="BO127" s="85">
        <f t="shared" si="49"/>
        <v>126.16369047619048</v>
      </c>
      <c r="BP127" s="33">
        <f>108+132</f>
        <v>240</v>
      </c>
      <c r="BQ127" s="33">
        <f>15489+19203</f>
        <v>34692</v>
      </c>
      <c r="BR127" s="85">
        <f t="shared" si="50"/>
        <v>144.55000000000001</v>
      </c>
      <c r="BS127" s="33">
        <f>110+133</f>
        <v>243</v>
      </c>
      <c r="BT127" s="33">
        <f>19804+23664</f>
        <v>43468</v>
      </c>
      <c r="BU127" s="85">
        <f t="shared" si="51"/>
        <v>178.88065843621399</v>
      </c>
      <c r="BV127" s="31" t="s">
        <v>1</v>
      </c>
      <c r="BW127" s="33"/>
      <c r="BX127" s="33"/>
      <c r="BY127" s="85" t="str">
        <f t="shared" si="52"/>
        <v/>
      </c>
      <c r="BZ127" s="33"/>
      <c r="CA127" s="33"/>
      <c r="CB127" s="85" t="str">
        <f t="shared" si="53"/>
        <v/>
      </c>
      <c r="CC127" s="33"/>
      <c r="CD127" s="33"/>
      <c r="CE127" s="85" t="str">
        <f t="shared" si="54"/>
        <v/>
      </c>
      <c r="CF127" s="33"/>
      <c r="CG127" s="33"/>
      <c r="CH127" s="85" t="str">
        <f t="shared" si="55"/>
        <v/>
      </c>
      <c r="CI127" s="33">
        <v>248</v>
      </c>
      <c r="CJ127" s="33">
        <v>46000</v>
      </c>
      <c r="CK127" s="85">
        <f t="shared" si="56"/>
        <v>185.48387096774192</v>
      </c>
      <c r="CL127" s="33">
        <v>165</v>
      </c>
      <c r="CM127" s="33">
        <v>34000</v>
      </c>
      <c r="CN127" s="85">
        <f t="shared" si="57"/>
        <v>206.06060606060606</v>
      </c>
      <c r="CO127" s="33">
        <v>263</v>
      </c>
      <c r="CP127" s="33">
        <v>54000</v>
      </c>
      <c r="CQ127" s="85">
        <f t="shared" si="58"/>
        <v>205.32319391634982</v>
      </c>
    </row>
    <row r="128" spans="1:95" x14ac:dyDescent="0.3">
      <c r="A128" s="31" t="s">
        <v>162</v>
      </c>
      <c r="B128" s="31" t="s">
        <v>227</v>
      </c>
      <c r="C128" s="30" t="s">
        <v>132</v>
      </c>
      <c r="D128" s="31" t="s">
        <v>230</v>
      </c>
      <c r="G128" s="85" t="str">
        <f t="shared" si="59"/>
        <v/>
      </c>
      <c r="H128" s="31"/>
      <c r="I128" s="31"/>
      <c r="J128" s="85" t="str">
        <f t="shared" si="30"/>
        <v/>
      </c>
      <c r="K128" s="31"/>
      <c r="L128" s="31"/>
      <c r="M128" s="85" t="str">
        <f t="shared" si="31"/>
        <v/>
      </c>
      <c r="N128" s="31"/>
      <c r="O128" s="31"/>
      <c r="P128" s="85" t="str">
        <f t="shared" si="32"/>
        <v/>
      </c>
      <c r="Q128" s="31"/>
      <c r="R128" s="31"/>
      <c r="S128" s="85" t="str">
        <f t="shared" si="33"/>
        <v/>
      </c>
      <c r="T128" s="31"/>
      <c r="U128" s="31"/>
      <c r="V128" s="85" t="str">
        <f t="shared" si="34"/>
        <v/>
      </c>
      <c r="W128" s="31"/>
      <c r="X128" s="31"/>
      <c r="Y128" s="85" t="str">
        <f t="shared" si="35"/>
        <v/>
      </c>
      <c r="Z128" s="31"/>
      <c r="AA128" s="31"/>
      <c r="AB128" s="85" t="str">
        <f t="shared" si="36"/>
        <v/>
      </c>
      <c r="AC128" s="31"/>
      <c r="AD128" s="31"/>
      <c r="AE128" s="85" t="str">
        <f t="shared" si="37"/>
        <v/>
      </c>
      <c r="AF128" s="31">
        <v>21529300</v>
      </c>
      <c r="AG128" s="31">
        <v>764493</v>
      </c>
      <c r="AH128" s="85">
        <f t="shared" si="38"/>
        <v>3.5509422043447765E-2</v>
      </c>
      <c r="AI128" s="31">
        <v>24301200</v>
      </c>
      <c r="AJ128" s="31">
        <v>809812</v>
      </c>
      <c r="AK128" s="85">
        <f t="shared" si="39"/>
        <v>3.3323951080605076E-2</v>
      </c>
      <c r="AL128" s="31">
        <v>18817900</v>
      </c>
      <c r="AM128" s="31">
        <v>572020</v>
      </c>
      <c r="AN128" s="85">
        <f t="shared" si="40"/>
        <v>3.0397653298189491E-2</v>
      </c>
      <c r="AO128" s="31">
        <v>17996200</v>
      </c>
      <c r="AP128" s="31">
        <v>599471</v>
      </c>
      <c r="AQ128" s="85">
        <f t="shared" si="41"/>
        <v>3.3310976761760813E-2</v>
      </c>
      <c r="AR128" s="31">
        <v>23708600</v>
      </c>
      <c r="AS128" s="31">
        <v>787122</v>
      </c>
      <c r="AT128" s="85">
        <f t="shared" si="42"/>
        <v>3.3199851530668199E-2</v>
      </c>
      <c r="AU128" s="31"/>
      <c r="AV128" s="31"/>
      <c r="AW128" s="85" t="str">
        <f t="shared" si="43"/>
        <v/>
      </c>
      <c r="AX128" s="33"/>
      <c r="AY128" s="31"/>
      <c r="AZ128" s="85" t="str">
        <f t="shared" si="44"/>
        <v/>
      </c>
      <c r="BA128" s="33"/>
      <c r="BB128" s="31"/>
      <c r="BC128" s="85" t="str">
        <f t="shared" si="45"/>
        <v/>
      </c>
      <c r="BD128" s="33"/>
      <c r="BE128" s="31"/>
      <c r="BF128" s="85" t="str">
        <f t="shared" si="46"/>
        <v/>
      </c>
      <c r="BG128" s="33"/>
      <c r="BH128" s="31"/>
      <c r="BI128" s="85" t="str">
        <f t="shared" si="47"/>
        <v/>
      </c>
      <c r="BJ128" s="33"/>
      <c r="BK128" s="33"/>
      <c r="BL128" s="85" t="str">
        <f t="shared" si="48"/>
        <v/>
      </c>
      <c r="BM128" s="33"/>
      <c r="BN128" s="33"/>
      <c r="BO128" s="85" t="str">
        <f t="shared" si="49"/>
        <v/>
      </c>
      <c r="BP128" s="33"/>
      <c r="BQ128" s="33"/>
      <c r="BR128" s="85" t="str">
        <f t="shared" si="50"/>
        <v/>
      </c>
      <c r="BS128" s="33"/>
      <c r="BT128" s="33"/>
      <c r="BU128" s="85" t="str">
        <f t="shared" si="51"/>
        <v/>
      </c>
      <c r="BV128" s="31" t="s">
        <v>230</v>
      </c>
      <c r="BW128" s="33"/>
      <c r="BX128" s="33"/>
      <c r="BY128" s="85" t="str">
        <f t="shared" si="52"/>
        <v/>
      </c>
      <c r="BZ128" s="33"/>
      <c r="CA128" s="33"/>
      <c r="CB128" s="85" t="str">
        <f t="shared" si="53"/>
        <v/>
      </c>
      <c r="CC128" s="33"/>
      <c r="CD128" s="33"/>
      <c r="CE128" s="85" t="str">
        <f t="shared" si="54"/>
        <v/>
      </c>
      <c r="CF128" s="33"/>
      <c r="CG128" s="33"/>
      <c r="CH128" s="85" t="str">
        <f t="shared" si="55"/>
        <v/>
      </c>
      <c r="CI128" s="33"/>
      <c r="CJ128" s="33"/>
      <c r="CK128" s="85" t="str">
        <f t="shared" si="56"/>
        <v/>
      </c>
      <c r="CL128" s="33"/>
      <c r="CM128" s="33"/>
      <c r="CN128" s="85" t="str">
        <f t="shared" si="57"/>
        <v/>
      </c>
      <c r="CO128" s="33"/>
      <c r="CP128" s="33"/>
      <c r="CQ128" s="85" t="str">
        <f t="shared" si="58"/>
        <v/>
      </c>
    </row>
    <row r="129" spans="1:95" x14ac:dyDescent="0.3">
      <c r="A129" s="31" t="s">
        <v>237</v>
      </c>
      <c r="B129" s="31" t="s">
        <v>227</v>
      </c>
      <c r="C129" s="30" t="s">
        <v>132</v>
      </c>
      <c r="D129" s="31" t="s">
        <v>230</v>
      </c>
      <c r="G129" s="85" t="str">
        <f t="shared" si="59"/>
        <v/>
      </c>
      <c r="H129" s="31"/>
      <c r="I129" s="31"/>
      <c r="J129" s="85" t="str">
        <f t="shared" si="30"/>
        <v/>
      </c>
      <c r="K129" s="31"/>
      <c r="L129" s="31"/>
      <c r="M129" s="85" t="str">
        <f t="shared" si="31"/>
        <v/>
      </c>
      <c r="N129" s="31"/>
      <c r="O129" s="31"/>
      <c r="P129" s="85" t="str">
        <f t="shared" si="32"/>
        <v/>
      </c>
      <c r="Q129" s="31"/>
      <c r="R129" s="31"/>
      <c r="S129" s="85" t="str">
        <f t="shared" si="33"/>
        <v/>
      </c>
      <c r="T129" s="31"/>
      <c r="U129" s="31"/>
      <c r="V129" s="85" t="str">
        <f t="shared" si="34"/>
        <v/>
      </c>
      <c r="W129" s="31"/>
      <c r="X129" s="31"/>
      <c r="Y129" s="85" t="str">
        <f t="shared" si="35"/>
        <v/>
      </c>
      <c r="Z129" s="31"/>
      <c r="AA129" s="31"/>
      <c r="AB129" s="85" t="str">
        <f t="shared" si="36"/>
        <v/>
      </c>
      <c r="AC129" s="31"/>
      <c r="AD129" s="31"/>
      <c r="AE129" s="85" t="str">
        <f t="shared" si="37"/>
        <v/>
      </c>
      <c r="AH129" s="85" t="str">
        <f t="shared" si="38"/>
        <v/>
      </c>
      <c r="AI129" s="31"/>
      <c r="AJ129" s="31"/>
      <c r="AK129" s="85" t="str">
        <f t="shared" si="39"/>
        <v/>
      </c>
      <c r="AL129" s="31"/>
      <c r="AM129" s="31"/>
      <c r="AN129" s="85" t="str">
        <f t="shared" si="40"/>
        <v/>
      </c>
      <c r="AO129" s="31"/>
      <c r="AP129" s="31"/>
      <c r="AQ129" s="85" t="str">
        <f t="shared" si="41"/>
        <v/>
      </c>
      <c r="AR129" s="31"/>
      <c r="AS129" s="31"/>
      <c r="AT129" s="85" t="str">
        <f t="shared" si="42"/>
        <v/>
      </c>
      <c r="AU129" s="31"/>
      <c r="AV129" s="31"/>
      <c r="AW129" s="85" t="str">
        <f t="shared" si="43"/>
        <v/>
      </c>
      <c r="AX129" s="33">
        <v>12200000</v>
      </c>
      <c r="AY129" s="31"/>
      <c r="AZ129" s="85">
        <f t="shared" si="44"/>
        <v>0</v>
      </c>
      <c r="BA129" s="33">
        <v>6225600</v>
      </c>
      <c r="BB129" s="31">
        <v>203153</v>
      </c>
      <c r="BC129" s="85">
        <f t="shared" si="45"/>
        <v>3.263187483937291E-2</v>
      </c>
      <c r="BD129" s="33">
        <v>12200000</v>
      </c>
      <c r="BE129" s="31">
        <v>410854</v>
      </c>
      <c r="BF129" s="85">
        <f t="shared" si="46"/>
        <v>3.3676557377049179E-2</v>
      </c>
      <c r="BG129" s="33">
        <v>10728800</v>
      </c>
      <c r="BH129" s="31">
        <v>344172</v>
      </c>
      <c r="BI129" s="85">
        <f t="shared" si="47"/>
        <v>3.2079263291328014E-2</v>
      </c>
      <c r="BJ129" s="33">
        <v>7628700</v>
      </c>
      <c r="BK129" s="33">
        <v>257466</v>
      </c>
      <c r="BL129" s="85">
        <f t="shared" si="48"/>
        <v>3.3749655904675761E-2</v>
      </c>
      <c r="BM129" s="33">
        <v>9885000</v>
      </c>
      <c r="BN129" s="33">
        <v>386000</v>
      </c>
      <c r="BO129" s="85">
        <f t="shared" si="49"/>
        <v>3.9049064238745573E-2</v>
      </c>
      <c r="BP129" s="33">
        <v>12000000</v>
      </c>
      <c r="BQ129" s="33">
        <v>432000</v>
      </c>
      <c r="BR129" s="85">
        <f t="shared" si="50"/>
        <v>3.5999999999999997E-2</v>
      </c>
      <c r="BS129" s="33">
        <v>10059100</v>
      </c>
      <c r="BT129" s="33">
        <v>389667</v>
      </c>
      <c r="BU129" s="85">
        <f t="shared" si="51"/>
        <v>3.8737759839349448E-2</v>
      </c>
      <c r="BV129" s="31" t="s">
        <v>230</v>
      </c>
      <c r="BW129" s="33">
        <v>7868200</v>
      </c>
      <c r="BX129" s="33">
        <v>330867</v>
      </c>
      <c r="BY129" s="85">
        <f t="shared" si="52"/>
        <v>4.205116799267939E-2</v>
      </c>
      <c r="BZ129" s="33">
        <v>7580600</v>
      </c>
      <c r="CA129" s="33">
        <v>312232</v>
      </c>
      <c r="CB129" s="85">
        <f t="shared" si="53"/>
        <v>4.118829644091497E-2</v>
      </c>
      <c r="CC129" s="33">
        <v>8373000</v>
      </c>
      <c r="CD129" s="33">
        <v>304000</v>
      </c>
      <c r="CE129" s="85">
        <f t="shared" si="54"/>
        <v>3.6307177833512477E-2</v>
      </c>
      <c r="CF129" s="33">
        <v>3842000</v>
      </c>
      <c r="CG129" s="33">
        <v>171000</v>
      </c>
      <c r="CH129" s="85">
        <f t="shared" si="55"/>
        <v>4.4508068714211348E-2</v>
      </c>
      <c r="CI129" s="33">
        <v>5258000</v>
      </c>
      <c r="CJ129" s="33">
        <v>230000</v>
      </c>
      <c r="CK129" s="85">
        <f t="shared" si="56"/>
        <v>4.3742868010650436E-2</v>
      </c>
      <c r="CL129" s="33">
        <v>8984000</v>
      </c>
      <c r="CM129" s="33">
        <v>357000</v>
      </c>
      <c r="CN129" s="85">
        <f t="shared" si="57"/>
        <v>3.9737310774710599E-2</v>
      </c>
      <c r="CO129" s="33">
        <v>5901000</v>
      </c>
      <c r="CP129" s="33">
        <v>246000</v>
      </c>
      <c r="CQ129" s="85">
        <f t="shared" si="58"/>
        <v>4.1687849517031014E-2</v>
      </c>
    </row>
    <row r="130" spans="1:95" x14ac:dyDescent="0.3">
      <c r="A130" s="31" t="s">
        <v>238</v>
      </c>
      <c r="B130" s="31" t="s">
        <v>227</v>
      </c>
      <c r="C130" s="30" t="s">
        <v>132</v>
      </c>
      <c r="D130" s="31" t="s">
        <v>230</v>
      </c>
      <c r="G130" s="85" t="str">
        <f t="shared" si="59"/>
        <v/>
      </c>
      <c r="H130" s="31"/>
      <c r="I130" s="31"/>
      <c r="J130" s="85" t="str">
        <f t="shared" si="30"/>
        <v/>
      </c>
      <c r="K130" s="31"/>
      <c r="L130" s="31"/>
      <c r="M130" s="85" t="str">
        <f t="shared" si="31"/>
        <v/>
      </c>
      <c r="N130" s="31"/>
      <c r="O130" s="31"/>
      <c r="P130" s="85" t="str">
        <f t="shared" si="32"/>
        <v/>
      </c>
      <c r="Q130" s="31"/>
      <c r="R130" s="31"/>
      <c r="S130" s="85" t="str">
        <f t="shared" si="33"/>
        <v/>
      </c>
      <c r="T130" s="31"/>
      <c r="U130" s="31"/>
      <c r="V130" s="85" t="str">
        <f t="shared" si="34"/>
        <v/>
      </c>
      <c r="W130" s="31"/>
      <c r="X130" s="31"/>
      <c r="Y130" s="85" t="str">
        <f t="shared" si="35"/>
        <v/>
      </c>
      <c r="Z130" s="31"/>
      <c r="AA130" s="31"/>
      <c r="AB130" s="85" t="str">
        <f t="shared" si="36"/>
        <v/>
      </c>
      <c r="AC130" s="31"/>
      <c r="AD130" s="31"/>
      <c r="AE130" s="85" t="str">
        <f t="shared" si="37"/>
        <v/>
      </c>
      <c r="AF130" s="31"/>
      <c r="AG130" s="31"/>
      <c r="AH130" s="85" t="str">
        <f t="shared" si="38"/>
        <v/>
      </c>
      <c r="AI130" s="31"/>
      <c r="AJ130" s="31"/>
      <c r="AK130" s="85" t="str">
        <f t="shared" si="39"/>
        <v/>
      </c>
      <c r="AL130" s="31"/>
      <c r="AM130" s="31"/>
      <c r="AN130" s="85" t="str">
        <f t="shared" si="40"/>
        <v/>
      </c>
      <c r="AO130" s="31"/>
      <c r="AP130" s="31"/>
      <c r="AQ130" s="85" t="str">
        <f t="shared" si="41"/>
        <v/>
      </c>
      <c r="AR130" s="31"/>
      <c r="AS130" s="31"/>
      <c r="AT130" s="85" t="str">
        <f t="shared" si="42"/>
        <v/>
      </c>
      <c r="AU130" s="31"/>
      <c r="AV130" s="31"/>
      <c r="AW130" s="85" t="str">
        <f t="shared" si="43"/>
        <v/>
      </c>
      <c r="AX130" s="33">
        <v>5637800</v>
      </c>
      <c r="AY130" s="31"/>
      <c r="AZ130" s="85">
        <f t="shared" si="44"/>
        <v>0</v>
      </c>
      <c r="BA130" s="33">
        <v>4453700</v>
      </c>
      <c r="BB130" s="31">
        <v>189678</v>
      </c>
      <c r="BC130" s="85">
        <f t="shared" si="45"/>
        <v>4.25888587017536E-2</v>
      </c>
      <c r="BD130" s="33">
        <v>5637800</v>
      </c>
      <c r="BE130" s="31">
        <v>247665</v>
      </c>
      <c r="BF130" s="85">
        <f t="shared" si="46"/>
        <v>4.39293696122601E-2</v>
      </c>
      <c r="BG130" s="33">
        <v>7377500</v>
      </c>
      <c r="BH130" s="31">
        <v>292464</v>
      </c>
      <c r="BI130" s="85">
        <f t="shared" si="47"/>
        <v>3.9642697390715013E-2</v>
      </c>
      <c r="BJ130" s="33">
        <v>5665400</v>
      </c>
      <c r="BK130" s="33">
        <v>238275</v>
      </c>
      <c r="BL130" s="85">
        <f t="shared" si="48"/>
        <v>4.2057930596250924E-2</v>
      </c>
      <c r="BM130" s="33">
        <v>4368000</v>
      </c>
      <c r="BN130" s="33">
        <v>211000</v>
      </c>
      <c r="BO130" s="85">
        <f t="shared" si="49"/>
        <v>4.8305860805860808E-2</v>
      </c>
      <c r="BP130" s="33">
        <v>5000000</v>
      </c>
      <c r="BQ130" s="33">
        <v>247000</v>
      </c>
      <c r="BR130" s="85">
        <f t="shared" si="50"/>
        <v>4.9399999999999999E-2</v>
      </c>
      <c r="BS130" s="33">
        <v>5318900</v>
      </c>
      <c r="BT130" s="33">
        <v>257081</v>
      </c>
      <c r="BU130" s="85">
        <f t="shared" si="51"/>
        <v>4.8333490007332343E-2</v>
      </c>
      <c r="BV130" s="31" t="s">
        <v>230</v>
      </c>
      <c r="BW130" s="33">
        <v>4210800</v>
      </c>
      <c r="BX130" s="33">
        <v>213462</v>
      </c>
      <c r="BY130" s="85">
        <f t="shared" si="52"/>
        <v>5.0693929894556851E-2</v>
      </c>
      <c r="BZ130" s="33">
        <v>4553500</v>
      </c>
      <c r="CA130" s="33">
        <v>232916</v>
      </c>
      <c r="CB130" s="85">
        <f t="shared" si="53"/>
        <v>5.1150982760513893E-2</v>
      </c>
      <c r="CC130" s="33">
        <v>4713000</v>
      </c>
      <c r="CD130" s="33">
        <v>220000</v>
      </c>
      <c r="CE130" s="85">
        <f t="shared" si="54"/>
        <v>4.6679397411415233E-2</v>
      </c>
      <c r="CF130" s="33">
        <v>4110000</v>
      </c>
      <c r="CG130" s="33">
        <v>212000</v>
      </c>
      <c r="CH130" s="85">
        <f t="shared" si="55"/>
        <v>5.1581508515815083E-2</v>
      </c>
      <c r="CI130" s="33">
        <v>3894000</v>
      </c>
      <c r="CJ130" s="33">
        <v>208000</v>
      </c>
      <c r="CK130" s="85">
        <f t="shared" si="56"/>
        <v>5.3415511042629683E-2</v>
      </c>
      <c r="CL130" s="33">
        <v>4674000</v>
      </c>
      <c r="CM130" s="33">
        <v>231000</v>
      </c>
      <c r="CN130" s="85">
        <f t="shared" si="57"/>
        <v>4.9422336328626443E-2</v>
      </c>
      <c r="CO130" s="33">
        <v>3850000</v>
      </c>
      <c r="CP130" s="33">
        <v>194000</v>
      </c>
      <c r="CQ130" s="85">
        <f t="shared" si="58"/>
        <v>5.0389610389610387E-2</v>
      </c>
    </row>
    <row r="131" spans="1:95" x14ac:dyDescent="0.3">
      <c r="A131" s="31" t="s">
        <v>279</v>
      </c>
      <c r="B131" s="31" t="s">
        <v>227</v>
      </c>
      <c r="C131" s="30" t="s">
        <v>132</v>
      </c>
      <c r="D131" s="31" t="s">
        <v>230</v>
      </c>
      <c r="G131" s="85" t="str">
        <f t="shared" si="59"/>
        <v/>
      </c>
      <c r="H131" s="31"/>
      <c r="I131" s="31"/>
      <c r="J131" s="85" t="str">
        <f t="shared" ref="J131:J173" si="60">IFERROR(I131/H131,"")</f>
        <v/>
      </c>
      <c r="K131" s="31"/>
      <c r="L131" s="31"/>
      <c r="M131" s="85" t="str">
        <f t="shared" ref="M131:M173" si="61">IFERROR(L131/K131,"")</f>
        <v/>
      </c>
      <c r="N131" s="31"/>
      <c r="O131" s="31"/>
      <c r="P131" s="85" t="str">
        <f t="shared" ref="P131:P173" si="62">IFERROR(O131/N131,"")</f>
        <v/>
      </c>
      <c r="Q131" s="31"/>
      <c r="R131" s="31"/>
      <c r="S131" s="85" t="str">
        <f t="shared" ref="S131:S173" si="63">IFERROR(R131/Q131,"")</f>
        <v/>
      </c>
      <c r="T131" s="31"/>
      <c r="U131" s="31"/>
      <c r="V131" s="85" t="str">
        <f t="shared" ref="V131:V173" si="64">IFERROR(U131/T131,"")</f>
        <v/>
      </c>
      <c r="W131" s="31"/>
      <c r="X131" s="31"/>
      <c r="Y131" s="85" t="str">
        <f t="shared" ref="Y131:Y173" si="65">IFERROR(X131/W131,"")</f>
        <v/>
      </c>
      <c r="Z131" s="31"/>
      <c r="AA131" s="31"/>
      <c r="AB131" s="85" t="str">
        <f t="shared" ref="AB131:AB173" si="66">IFERROR(AA131/Z131,"")</f>
        <v/>
      </c>
      <c r="AC131" s="31"/>
      <c r="AD131" s="31"/>
      <c r="AE131" s="85" t="str">
        <f t="shared" ref="AE131:AE173" si="67">IFERROR(AD131/AC131,"")</f>
        <v/>
      </c>
      <c r="AF131" s="31"/>
      <c r="AG131" s="31"/>
      <c r="AH131" s="85" t="str">
        <f t="shared" ref="AH131:AH173" si="68">IFERROR(AG131/AF131,"")</f>
        <v/>
      </c>
      <c r="AI131" s="31"/>
      <c r="AJ131" s="31"/>
      <c r="AK131" s="85" t="str">
        <f t="shared" ref="AK131:AK173" si="69">IFERROR(AJ131/AI131,"")</f>
        <v/>
      </c>
      <c r="AL131" s="31"/>
      <c r="AM131" s="31"/>
      <c r="AN131" s="85" t="str">
        <f t="shared" ref="AN131:AN173" si="70">IFERROR(AM131/AL131,"")</f>
        <v/>
      </c>
      <c r="AO131" s="31"/>
      <c r="AP131" s="31"/>
      <c r="AQ131" s="85" t="str">
        <f t="shared" ref="AQ131:AQ173" si="71">IFERROR(AP131/AO131,"")</f>
        <v/>
      </c>
      <c r="AR131" s="31"/>
      <c r="AS131" s="31"/>
      <c r="AT131" s="85" t="str">
        <f t="shared" ref="AT131:AT173" si="72">IFERROR(AS131/AR131,"")</f>
        <v/>
      </c>
      <c r="AU131" s="31"/>
      <c r="AV131" s="31"/>
      <c r="AW131" s="85" t="str">
        <f t="shared" ref="AW131:AW173" si="73">IFERROR(AV131/AU131,"")</f>
        <v/>
      </c>
      <c r="AX131" s="33"/>
      <c r="AY131" s="31"/>
      <c r="AZ131" s="85" t="str">
        <f t="shared" ref="AZ131:AZ173" si="74">IFERROR(AY131/AX131,"")</f>
        <v/>
      </c>
      <c r="BA131" s="33"/>
      <c r="BB131" s="31"/>
      <c r="BC131" s="85" t="str">
        <f t="shared" ref="BC131:BC173" si="75">IFERROR(BB131/BA131,"")</f>
        <v/>
      </c>
      <c r="BD131" s="33"/>
      <c r="BE131" s="31"/>
      <c r="BF131" s="85" t="str">
        <f t="shared" ref="BF131:BF173" si="76">IFERROR(BE131/BD131,"")</f>
        <v/>
      </c>
      <c r="BG131" s="33"/>
      <c r="BH131" s="31"/>
      <c r="BI131" s="85" t="str">
        <f t="shared" ref="BI131:BI173" si="77">IFERROR(BH131/BG131,"")</f>
        <v/>
      </c>
      <c r="BJ131" s="33"/>
      <c r="BK131" s="33"/>
      <c r="BL131" s="85" t="str">
        <f t="shared" ref="BL131:BL173" si="78">IFERROR(BK131/BJ131,"")</f>
        <v/>
      </c>
      <c r="BM131" s="33"/>
      <c r="BN131" s="33"/>
      <c r="BO131" s="85" t="str">
        <f t="shared" ref="BO131:BO173" si="79">IFERROR(BN131/BM131,"")</f>
        <v/>
      </c>
      <c r="BP131" s="33"/>
      <c r="BQ131" s="33"/>
      <c r="BR131" s="85" t="str">
        <f t="shared" ref="BR131:BR173" si="80">IFERROR(BQ131/BP131,"")</f>
        <v/>
      </c>
      <c r="BS131" s="33"/>
      <c r="BT131" s="33"/>
      <c r="BU131" s="85" t="str">
        <f t="shared" ref="BU131:BU173" si="81">IFERROR(BT131/BS131,"")</f>
        <v/>
      </c>
      <c r="BV131" s="31" t="s">
        <v>230</v>
      </c>
      <c r="BW131" s="33"/>
      <c r="BX131" s="33"/>
      <c r="BY131" s="85" t="str">
        <f t="shared" ref="BY131:BY173" si="82">IFERROR(BX131/BW131,"")</f>
        <v/>
      </c>
      <c r="BZ131" s="33"/>
      <c r="CA131" s="33"/>
      <c r="CB131" s="85" t="str">
        <f t="shared" ref="CB131:CB173" si="83">IFERROR(CA131/BZ131,"")</f>
        <v/>
      </c>
      <c r="CC131" s="33"/>
      <c r="CD131" s="33"/>
      <c r="CE131" s="85" t="str">
        <f t="shared" ref="CE131:CE173" si="84">IFERROR(CD131/CC131,"")</f>
        <v/>
      </c>
      <c r="CF131" s="33"/>
      <c r="CG131" s="33"/>
      <c r="CH131" s="85" t="str">
        <f t="shared" ref="CH131:CH173" si="85">IFERROR(CG131/CF131,"")</f>
        <v/>
      </c>
      <c r="CI131" s="33"/>
      <c r="CJ131" s="33"/>
      <c r="CK131" s="85" t="str">
        <f t="shared" ref="CK131:CK173" si="86">IFERROR(CJ131/CI131,"")</f>
        <v/>
      </c>
      <c r="CL131" s="33"/>
      <c r="CM131" s="33"/>
      <c r="CN131" s="85" t="str">
        <f t="shared" ref="CN131:CN173" si="87">IFERROR(CM131/CL131,"")</f>
        <v/>
      </c>
      <c r="CO131" s="33"/>
      <c r="CP131" s="33"/>
      <c r="CQ131" s="85" t="str">
        <f t="shared" ref="CQ131:CQ173" si="88">IFERROR(CP131/CO131,"")</f>
        <v/>
      </c>
    </row>
    <row r="132" spans="1:95" x14ac:dyDescent="0.3">
      <c r="A132" s="31" t="s">
        <v>274</v>
      </c>
      <c r="B132" s="31" t="s">
        <v>227</v>
      </c>
      <c r="C132" s="30" t="s">
        <v>133</v>
      </c>
      <c r="D132" s="31" t="s">
        <v>231</v>
      </c>
      <c r="G132" s="85" t="str">
        <f t="shared" ref="G132:G173" si="89">IFERROR(F132/E132,"")</f>
        <v/>
      </c>
      <c r="H132" s="31"/>
      <c r="I132" s="31"/>
      <c r="J132" s="85" t="str">
        <f t="shared" si="60"/>
        <v/>
      </c>
      <c r="K132" s="31"/>
      <c r="L132" s="31"/>
      <c r="M132" s="85" t="str">
        <f t="shared" si="61"/>
        <v/>
      </c>
      <c r="N132" s="31"/>
      <c r="O132" s="31"/>
      <c r="P132" s="85" t="str">
        <f t="shared" si="62"/>
        <v/>
      </c>
      <c r="Q132" s="31"/>
      <c r="R132" s="31"/>
      <c r="S132" s="85" t="str">
        <f t="shared" si="63"/>
        <v/>
      </c>
      <c r="T132" s="31"/>
      <c r="U132" s="31"/>
      <c r="V132" s="85" t="str">
        <f t="shared" si="64"/>
        <v/>
      </c>
      <c r="W132" s="31"/>
      <c r="X132" s="31"/>
      <c r="Y132" s="85" t="str">
        <f t="shared" si="65"/>
        <v/>
      </c>
      <c r="Z132" s="31"/>
      <c r="AA132" s="31"/>
      <c r="AB132" s="85" t="str">
        <f t="shared" si="66"/>
        <v/>
      </c>
      <c r="AC132" s="31"/>
      <c r="AD132" s="31"/>
      <c r="AE132" s="85" t="str">
        <f t="shared" si="67"/>
        <v/>
      </c>
      <c r="AF132" s="31"/>
      <c r="AG132" s="31"/>
      <c r="AH132" s="85" t="str">
        <f t="shared" si="68"/>
        <v/>
      </c>
      <c r="AI132" s="31"/>
      <c r="AJ132" s="31"/>
      <c r="AK132" s="85" t="str">
        <f t="shared" si="69"/>
        <v/>
      </c>
      <c r="AL132" s="31"/>
      <c r="AM132" s="31"/>
      <c r="AN132" s="85" t="str">
        <f t="shared" si="70"/>
        <v/>
      </c>
      <c r="AO132" s="31"/>
      <c r="AP132" s="31"/>
      <c r="AQ132" s="85" t="str">
        <f t="shared" si="71"/>
        <v/>
      </c>
      <c r="AR132" s="31"/>
      <c r="AS132" s="31"/>
      <c r="AT132" s="85" t="str">
        <f t="shared" si="72"/>
        <v/>
      </c>
      <c r="AU132" s="31"/>
      <c r="AV132" s="31"/>
      <c r="AW132" s="85" t="str">
        <f t="shared" si="73"/>
        <v/>
      </c>
      <c r="AX132" s="33">
        <v>152000000</v>
      </c>
      <c r="AY132" s="31"/>
      <c r="AZ132" s="85">
        <f t="shared" si="74"/>
        <v>0</v>
      </c>
      <c r="BA132" s="33">
        <v>96748400</v>
      </c>
      <c r="BB132" s="31">
        <v>839128</v>
      </c>
      <c r="BC132" s="85">
        <f t="shared" si="75"/>
        <v>8.6733010571751062E-3</v>
      </c>
      <c r="BD132" s="33">
        <v>151841700</v>
      </c>
      <c r="BE132" s="31">
        <v>1346357</v>
      </c>
      <c r="BF132" s="85">
        <f t="shared" si="76"/>
        <v>8.8668461957420123E-3</v>
      </c>
      <c r="BG132" s="33">
        <v>125209000</v>
      </c>
      <c r="BH132" s="31">
        <v>1089977</v>
      </c>
      <c r="BI132" s="85">
        <f t="shared" si="77"/>
        <v>8.7052608039358201E-3</v>
      </c>
      <c r="BJ132" s="33">
        <v>97000000</v>
      </c>
      <c r="BK132" s="33">
        <v>858718</v>
      </c>
      <c r="BL132" s="85">
        <f t="shared" si="78"/>
        <v>8.8527628865979376E-3</v>
      </c>
      <c r="BM132" s="33">
        <v>113000000</v>
      </c>
      <c r="BN132" s="33">
        <v>1049000</v>
      </c>
      <c r="BO132" s="85">
        <f t="shared" si="79"/>
        <v>9.2831858407079644E-3</v>
      </c>
      <c r="BP132" s="33">
        <v>111000000</v>
      </c>
      <c r="BQ132" s="33">
        <v>1068000</v>
      </c>
      <c r="BR132" s="85">
        <f t="shared" si="80"/>
        <v>9.6216216216216208E-3</v>
      </c>
      <c r="BS132" s="33">
        <v>140340600</v>
      </c>
      <c r="BT132" s="33">
        <v>1388052</v>
      </c>
      <c r="BU132" s="85">
        <f t="shared" si="81"/>
        <v>9.8905947387997479E-3</v>
      </c>
      <c r="BV132" s="31" t="s">
        <v>231</v>
      </c>
      <c r="BW132" s="33">
        <v>103734600</v>
      </c>
      <c r="BX132" s="33">
        <v>1064920</v>
      </c>
      <c r="BY132" s="85">
        <f t="shared" si="82"/>
        <v>1.0265812949584806E-2</v>
      </c>
      <c r="BZ132" s="33">
        <v>96531200</v>
      </c>
      <c r="CA132" s="33">
        <v>682935</v>
      </c>
      <c r="CB132" s="85">
        <f t="shared" si="83"/>
        <v>7.0747592488231781E-3</v>
      </c>
      <c r="CC132" s="33">
        <v>103000000</v>
      </c>
      <c r="CD132" s="33">
        <v>996000</v>
      </c>
      <c r="CE132" s="85">
        <f t="shared" si="84"/>
        <v>9.6699029126213597E-3</v>
      </c>
      <c r="CF132" s="33">
        <v>89000000</v>
      </c>
      <c r="CG132" s="33">
        <v>932000</v>
      </c>
      <c r="CH132" s="85">
        <f t="shared" si="85"/>
        <v>1.0471910112359551E-2</v>
      </c>
      <c r="CI132" s="33">
        <v>100000000</v>
      </c>
      <c r="CJ132" s="33">
        <v>1075000</v>
      </c>
      <c r="CK132" s="85">
        <f t="shared" si="86"/>
        <v>1.0749999999999999E-2</v>
      </c>
      <c r="CL132" s="33">
        <v>89000000</v>
      </c>
      <c r="CM132" s="33">
        <v>961000</v>
      </c>
      <c r="CN132" s="85">
        <f t="shared" si="87"/>
        <v>1.0797752808988764E-2</v>
      </c>
      <c r="CO132" s="33">
        <v>80000000</v>
      </c>
      <c r="CP132" s="33">
        <v>859000</v>
      </c>
      <c r="CQ132" s="85">
        <f t="shared" si="88"/>
        <v>1.0737500000000001E-2</v>
      </c>
    </row>
    <row r="133" spans="1:95" x14ac:dyDescent="0.3">
      <c r="A133" s="31" t="s">
        <v>275</v>
      </c>
      <c r="B133" s="31" t="s">
        <v>227</v>
      </c>
      <c r="C133" s="30" t="s">
        <v>133</v>
      </c>
      <c r="D133" s="31" t="s">
        <v>231</v>
      </c>
      <c r="G133" s="85" t="str">
        <f t="shared" si="89"/>
        <v/>
      </c>
      <c r="H133" s="31"/>
      <c r="I133" s="31"/>
      <c r="J133" s="85" t="str">
        <f t="shared" si="60"/>
        <v/>
      </c>
      <c r="K133" s="31"/>
      <c r="L133" s="31"/>
      <c r="M133" s="85" t="str">
        <f t="shared" si="61"/>
        <v/>
      </c>
      <c r="N133" s="31"/>
      <c r="O133" s="31"/>
      <c r="P133" s="85" t="str">
        <f t="shared" si="62"/>
        <v/>
      </c>
      <c r="Q133" s="31"/>
      <c r="R133" s="31"/>
      <c r="S133" s="85" t="str">
        <f t="shared" si="63"/>
        <v/>
      </c>
      <c r="T133" s="31"/>
      <c r="U133" s="31"/>
      <c r="V133" s="85" t="str">
        <f t="shared" si="64"/>
        <v/>
      </c>
      <c r="W133" s="31"/>
      <c r="X133" s="31"/>
      <c r="Y133" s="85" t="str">
        <f t="shared" si="65"/>
        <v/>
      </c>
      <c r="Z133" s="31"/>
      <c r="AA133" s="31"/>
      <c r="AB133" s="85" t="str">
        <f t="shared" si="66"/>
        <v/>
      </c>
      <c r="AC133" s="31"/>
      <c r="AD133" s="31"/>
      <c r="AE133" s="85" t="str">
        <f t="shared" si="67"/>
        <v/>
      </c>
      <c r="AF133" s="31"/>
      <c r="AG133" s="31"/>
      <c r="AH133" s="85" t="str">
        <f t="shared" si="68"/>
        <v/>
      </c>
      <c r="AI133" s="31"/>
      <c r="AJ133" s="31"/>
      <c r="AK133" s="85" t="str">
        <f t="shared" si="69"/>
        <v/>
      </c>
      <c r="AL133" s="31"/>
      <c r="AM133" s="31"/>
      <c r="AN133" s="85" t="str">
        <f t="shared" si="70"/>
        <v/>
      </c>
      <c r="AO133" s="31"/>
      <c r="AP133" s="31"/>
      <c r="AQ133" s="85" t="str">
        <f t="shared" si="71"/>
        <v/>
      </c>
      <c r="AR133" s="31"/>
      <c r="AS133" s="31"/>
      <c r="AT133" s="85" t="str">
        <f t="shared" si="72"/>
        <v/>
      </c>
      <c r="AU133" s="31"/>
      <c r="AV133" s="31"/>
      <c r="AW133" s="85" t="str">
        <f t="shared" si="73"/>
        <v/>
      </c>
      <c r="AX133" s="33">
        <v>98000000</v>
      </c>
      <c r="AY133" s="31"/>
      <c r="AZ133" s="85">
        <f t="shared" si="74"/>
        <v>0</v>
      </c>
      <c r="BA133" s="33">
        <v>74943900</v>
      </c>
      <c r="BB133" s="31">
        <v>714774</v>
      </c>
      <c r="BC133" s="85">
        <f t="shared" si="75"/>
        <v>9.5374540156036719E-3</v>
      </c>
      <c r="BD133" s="33">
        <v>98236300</v>
      </c>
      <c r="BE133" s="31">
        <v>924763</v>
      </c>
      <c r="BF133" s="85">
        <f t="shared" si="76"/>
        <v>9.4136586984648243E-3</v>
      </c>
      <c r="BG133" s="33">
        <v>92870200</v>
      </c>
      <c r="BH133" s="31">
        <v>867041</v>
      </c>
      <c r="BI133" s="85">
        <f t="shared" si="77"/>
        <v>9.3360518228667536E-3</v>
      </c>
      <c r="BJ133" s="33">
        <v>71000000</v>
      </c>
      <c r="BK133" s="33">
        <v>671795</v>
      </c>
      <c r="BL133" s="85">
        <f t="shared" si="78"/>
        <v>9.4619014084507038E-3</v>
      </c>
      <c r="BM133" s="33">
        <v>90000000</v>
      </c>
      <c r="BN133" s="33">
        <v>833000</v>
      </c>
      <c r="BO133" s="85">
        <f t="shared" si="79"/>
        <v>9.2555555555555551E-3</v>
      </c>
      <c r="BP133" s="33">
        <v>101000000</v>
      </c>
      <c r="BQ133" s="33">
        <v>991000</v>
      </c>
      <c r="BR133" s="85">
        <f t="shared" si="80"/>
        <v>9.8118811881188119E-3</v>
      </c>
      <c r="BS133" s="33">
        <v>131026100</v>
      </c>
      <c r="BT133" s="33">
        <v>1284087</v>
      </c>
      <c r="BU133" s="85">
        <f t="shared" si="81"/>
        <v>9.8002382731379473E-3</v>
      </c>
      <c r="BV133" s="31" t="s">
        <v>231</v>
      </c>
      <c r="BW133" s="33">
        <v>98917800</v>
      </c>
      <c r="BX133" s="33">
        <v>964525</v>
      </c>
      <c r="BY133" s="85">
        <f t="shared" si="82"/>
        <v>9.7507728639334885E-3</v>
      </c>
      <c r="BZ133" s="33">
        <v>96395300</v>
      </c>
      <c r="CA133" s="33">
        <v>984172</v>
      </c>
      <c r="CB133" s="85">
        <f t="shared" si="83"/>
        <v>1.0209750890344239E-2</v>
      </c>
      <c r="CC133" s="33">
        <v>108000000</v>
      </c>
      <c r="CD133" s="33">
        <v>1042000</v>
      </c>
      <c r="CE133" s="85">
        <f t="shared" si="84"/>
        <v>9.6481481481481488E-3</v>
      </c>
      <c r="CF133" s="33">
        <v>116000000</v>
      </c>
      <c r="CG133" s="33">
        <v>1189000</v>
      </c>
      <c r="CH133" s="85">
        <f t="shared" si="85"/>
        <v>1.025E-2</v>
      </c>
      <c r="CI133" s="33">
        <v>124000000</v>
      </c>
      <c r="CJ133" s="33">
        <v>1347000</v>
      </c>
      <c r="CK133" s="85">
        <f t="shared" si="86"/>
        <v>1.0862903225806452E-2</v>
      </c>
      <c r="CL133" s="33">
        <v>109000000</v>
      </c>
      <c r="CM133" s="33">
        <v>1180000</v>
      </c>
      <c r="CN133" s="85">
        <f t="shared" si="87"/>
        <v>1.0825688073394495E-2</v>
      </c>
      <c r="CO133" s="33">
        <v>116000000</v>
      </c>
      <c r="CP133" s="33">
        <v>1263000</v>
      </c>
      <c r="CQ133" s="85">
        <f t="shared" si="88"/>
        <v>1.0887931034482759E-2</v>
      </c>
    </row>
    <row r="134" spans="1:95" x14ac:dyDescent="0.3">
      <c r="A134" s="31" t="s">
        <v>276</v>
      </c>
      <c r="B134" s="31" t="s">
        <v>227</v>
      </c>
      <c r="C134" s="30" t="s">
        <v>133</v>
      </c>
      <c r="D134" s="31" t="s">
        <v>231</v>
      </c>
      <c r="G134" s="85" t="str">
        <f t="shared" si="89"/>
        <v/>
      </c>
      <c r="H134" s="31"/>
      <c r="I134" s="31"/>
      <c r="J134" s="85" t="str">
        <f t="shared" si="60"/>
        <v/>
      </c>
      <c r="K134" s="31"/>
      <c r="L134" s="31"/>
      <c r="M134" s="85" t="str">
        <f t="shared" si="61"/>
        <v/>
      </c>
      <c r="N134" s="31"/>
      <c r="O134" s="31"/>
      <c r="P134" s="85" t="str">
        <f t="shared" si="62"/>
        <v/>
      </c>
      <c r="Q134" s="31"/>
      <c r="R134" s="31"/>
      <c r="S134" s="85" t="str">
        <f t="shared" si="63"/>
        <v/>
      </c>
      <c r="T134" s="31"/>
      <c r="U134" s="31"/>
      <c r="V134" s="85" t="str">
        <f t="shared" si="64"/>
        <v/>
      </c>
      <c r="W134" s="31"/>
      <c r="X134" s="31"/>
      <c r="Y134" s="85" t="str">
        <f t="shared" si="65"/>
        <v/>
      </c>
      <c r="Z134" s="31"/>
      <c r="AA134" s="31"/>
      <c r="AB134" s="85" t="str">
        <f t="shared" si="66"/>
        <v/>
      </c>
      <c r="AC134" s="31"/>
      <c r="AD134" s="31"/>
      <c r="AE134" s="85" t="str">
        <f t="shared" si="67"/>
        <v/>
      </c>
      <c r="AF134" s="31"/>
      <c r="AG134" s="31"/>
      <c r="AH134" s="85" t="str">
        <f t="shared" si="68"/>
        <v/>
      </c>
      <c r="AI134" s="31"/>
      <c r="AJ134" s="31"/>
      <c r="AK134" s="85" t="str">
        <f t="shared" si="69"/>
        <v/>
      </c>
      <c r="AL134" s="31"/>
      <c r="AM134" s="31"/>
      <c r="AN134" s="85" t="str">
        <f t="shared" si="70"/>
        <v/>
      </c>
      <c r="AO134" s="31"/>
      <c r="AP134" s="31"/>
      <c r="AQ134" s="85" t="str">
        <f t="shared" si="71"/>
        <v/>
      </c>
      <c r="AR134" s="31"/>
      <c r="AS134" s="31"/>
      <c r="AT134" s="85" t="str">
        <f t="shared" si="72"/>
        <v/>
      </c>
      <c r="AU134" s="31"/>
      <c r="AV134" s="31"/>
      <c r="AW134" s="85" t="str">
        <f t="shared" si="73"/>
        <v/>
      </c>
      <c r="AX134" s="33">
        <v>131000000</v>
      </c>
      <c r="AY134" s="31"/>
      <c r="AZ134" s="85">
        <f t="shared" si="74"/>
        <v>0</v>
      </c>
      <c r="BA134" s="33">
        <v>88314100</v>
      </c>
      <c r="BB134" s="31">
        <v>923520</v>
      </c>
      <c r="BC134" s="85">
        <f t="shared" si="75"/>
        <v>1.0457220307968943E-2</v>
      </c>
      <c r="BD134" s="33">
        <v>128757800</v>
      </c>
      <c r="BE134" s="31">
        <v>1345382</v>
      </c>
      <c r="BF134" s="85">
        <f t="shared" si="76"/>
        <v>1.0448935909125505E-2</v>
      </c>
      <c r="BG134" s="33">
        <v>100000000</v>
      </c>
      <c r="BH134" s="31">
        <v>1007343</v>
      </c>
      <c r="BI134" s="85">
        <f t="shared" si="77"/>
        <v>1.007343E-2</v>
      </c>
      <c r="BJ134" s="33">
        <v>86000000</v>
      </c>
      <c r="BK134" s="33">
        <v>951550</v>
      </c>
      <c r="BL134" s="85">
        <f t="shared" si="78"/>
        <v>1.1064534883720931E-2</v>
      </c>
      <c r="BM134" s="33">
        <v>110000000</v>
      </c>
      <c r="BN134" s="33">
        <v>1253000</v>
      </c>
      <c r="BO134" s="85">
        <f t="shared" si="79"/>
        <v>1.139090909090909E-2</v>
      </c>
      <c r="BP134" s="33">
        <v>99000000</v>
      </c>
      <c r="BQ134" s="33">
        <v>1103000</v>
      </c>
      <c r="BR134" s="85">
        <f t="shared" si="80"/>
        <v>1.1141414141414141E-2</v>
      </c>
      <c r="BS134" s="33">
        <v>128173900</v>
      </c>
      <c r="BT134" s="33">
        <v>1430420</v>
      </c>
      <c r="BU134" s="85">
        <f t="shared" si="81"/>
        <v>1.115999435142412E-2</v>
      </c>
      <c r="BV134" s="31" t="s">
        <v>231</v>
      </c>
      <c r="BW134" s="33">
        <v>127695800</v>
      </c>
      <c r="BX134" s="33">
        <v>1470680</v>
      </c>
      <c r="BY134" s="85">
        <f t="shared" si="82"/>
        <v>1.1517058509363659E-2</v>
      </c>
      <c r="BZ134" s="33">
        <v>104428000</v>
      </c>
      <c r="CA134" s="33">
        <v>1202316</v>
      </c>
      <c r="CB134" s="85">
        <f t="shared" si="83"/>
        <v>1.1513348910253955E-2</v>
      </c>
      <c r="CC134" s="33">
        <v>118000000</v>
      </c>
      <c r="CD134" s="33">
        <v>1297000</v>
      </c>
      <c r="CE134" s="85">
        <f t="shared" si="84"/>
        <v>1.0991525423728813E-2</v>
      </c>
      <c r="CF134" s="33">
        <v>121000000</v>
      </c>
      <c r="CG134" s="33">
        <v>1375000</v>
      </c>
      <c r="CH134" s="85">
        <f t="shared" si="85"/>
        <v>1.1363636363636364E-2</v>
      </c>
      <c r="CI134" s="33">
        <v>149000000</v>
      </c>
      <c r="CJ134" s="33">
        <v>1659000</v>
      </c>
      <c r="CK134" s="85">
        <f t="shared" si="86"/>
        <v>1.1134228187919462E-2</v>
      </c>
      <c r="CL134" s="33">
        <v>112000000</v>
      </c>
      <c r="CM134" s="33">
        <v>1249000</v>
      </c>
      <c r="CN134" s="85">
        <f t="shared" si="87"/>
        <v>1.1151785714285715E-2</v>
      </c>
      <c r="CO134" s="33">
        <v>99000000</v>
      </c>
      <c r="CP134" s="33">
        <v>1132000</v>
      </c>
      <c r="CQ134" s="85">
        <f t="shared" si="88"/>
        <v>1.1434343434343434E-2</v>
      </c>
    </row>
    <row r="135" spans="1:95" x14ac:dyDescent="0.3">
      <c r="A135" s="31" t="s">
        <v>277</v>
      </c>
      <c r="B135" s="31" t="s">
        <v>227</v>
      </c>
      <c r="C135" s="30" t="s">
        <v>133</v>
      </c>
      <c r="D135" s="31" t="s">
        <v>231</v>
      </c>
      <c r="G135" s="85" t="str">
        <f t="shared" si="89"/>
        <v/>
      </c>
      <c r="H135" s="31"/>
      <c r="I135" s="31"/>
      <c r="J135" s="85" t="str">
        <f t="shared" si="60"/>
        <v/>
      </c>
      <c r="K135" s="31"/>
      <c r="L135" s="31"/>
      <c r="M135" s="85" t="str">
        <f t="shared" si="61"/>
        <v/>
      </c>
      <c r="N135" s="31"/>
      <c r="O135" s="31"/>
      <c r="P135" s="85" t="str">
        <f t="shared" si="62"/>
        <v/>
      </c>
      <c r="Q135" s="31"/>
      <c r="R135" s="31"/>
      <c r="S135" s="85" t="str">
        <f t="shared" si="63"/>
        <v/>
      </c>
      <c r="T135" s="31"/>
      <c r="U135" s="31"/>
      <c r="V135" s="85" t="str">
        <f t="shared" si="64"/>
        <v/>
      </c>
      <c r="W135" s="31"/>
      <c r="X135" s="31"/>
      <c r="Y135" s="85" t="str">
        <f t="shared" si="65"/>
        <v/>
      </c>
      <c r="Z135" s="31"/>
      <c r="AA135" s="31"/>
      <c r="AB135" s="85" t="str">
        <f t="shared" si="66"/>
        <v/>
      </c>
      <c r="AC135" s="31"/>
      <c r="AD135" s="31"/>
      <c r="AE135" s="85" t="str">
        <f t="shared" si="67"/>
        <v/>
      </c>
      <c r="AF135" s="31"/>
      <c r="AG135" s="31"/>
      <c r="AH135" s="85" t="str">
        <f t="shared" si="68"/>
        <v/>
      </c>
      <c r="AI135" s="31"/>
      <c r="AJ135" s="31"/>
      <c r="AK135" s="85" t="str">
        <f t="shared" si="69"/>
        <v/>
      </c>
      <c r="AL135" s="31"/>
      <c r="AM135" s="31"/>
      <c r="AN135" s="85" t="str">
        <f t="shared" si="70"/>
        <v/>
      </c>
      <c r="AO135" s="31"/>
      <c r="AP135" s="31"/>
      <c r="AQ135" s="85" t="str">
        <f t="shared" si="71"/>
        <v/>
      </c>
      <c r="AR135" s="31"/>
      <c r="AS135" s="31"/>
      <c r="AT135" s="85" t="str">
        <f t="shared" si="72"/>
        <v/>
      </c>
      <c r="AU135" s="31"/>
      <c r="AV135" s="31"/>
      <c r="AW135" s="85" t="str">
        <f t="shared" si="73"/>
        <v/>
      </c>
      <c r="AX135" s="33">
        <v>60000000</v>
      </c>
      <c r="AY135" s="31"/>
      <c r="AZ135" s="85">
        <f t="shared" si="74"/>
        <v>0</v>
      </c>
      <c r="BA135" s="33">
        <v>39221300</v>
      </c>
      <c r="BB135" s="31">
        <v>482466</v>
      </c>
      <c r="BC135" s="85">
        <f t="shared" si="75"/>
        <v>1.230112209437219E-2</v>
      </c>
      <c r="BD135" s="33">
        <v>60485500</v>
      </c>
      <c r="BE135" s="31">
        <v>718172</v>
      </c>
      <c r="BF135" s="85">
        <f t="shared" si="76"/>
        <v>1.1873457274884064E-2</v>
      </c>
      <c r="BG135" s="33">
        <v>53318000</v>
      </c>
      <c r="BH135" s="31">
        <v>609717</v>
      </c>
      <c r="BI135" s="85">
        <f t="shared" si="77"/>
        <v>1.143548145091714E-2</v>
      </c>
      <c r="BJ135" s="33">
        <v>53000000</v>
      </c>
      <c r="BK135" s="33">
        <v>655103</v>
      </c>
      <c r="BL135" s="85">
        <f t="shared" si="78"/>
        <v>1.2360433962264151E-2</v>
      </c>
      <c r="BM135" s="33">
        <v>67000000</v>
      </c>
      <c r="BN135" s="33">
        <v>862000</v>
      </c>
      <c r="BO135" s="85">
        <f t="shared" si="79"/>
        <v>1.2865671641791044E-2</v>
      </c>
      <c r="BP135" s="33">
        <v>65000000</v>
      </c>
      <c r="BQ135" s="33">
        <v>801000</v>
      </c>
      <c r="BR135" s="85">
        <f t="shared" si="80"/>
        <v>1.2323076923076923E-2</v>
      </c>
      <c r="BS135" s="33">
        <v>79410900</v>
      </c>
      <c r="BT135" s="33">
        <v>1020547</v>
      </c>
      <c r="BU135" s="85">
        <f t="shared" si="81"/>
        <v>1.2851472530849039E-2</v>
      </c>
      <c r="BV135" s="31" t="s">
        <v>231</v>
      </c>
      <c r="BW135" s="33"/>
      <c r="BX135" s="33"/>
      <c r="BY135" s="85" t="str">
        <f t="shared" si="82"/>
        <v/>
      </c>
      <c r="BZ135" s="33"/>
      <c r="CA135" s="33"/>
      <c r="CB135" s="85" t="str">
        <f t="shared" si="83"/>
        <v/>
      </c>
      <c r="CC135" s="33">
        <v>60000000</v>
      </c>
      <c r="CD135" s="33">
        <v>787000</v>
      </c>
      <c r="CE135" s="85">
        <f t="shared" si="84"/>
        <v>1.3116666666666667E-2</v>
      </c>
      <c r="CF135" s="33">
        <v>62000000</v>
      </c>
      <c r="CG135" s="33">
        <v>883000</v>
      </c>
      <c r="CH135" s="85">
        <f t="shared" si="85"/>
        <v>1.4241935483870968E-2</v>
      </c>
      <c r="CI135" s="33">
        <v>82000000</v>
      </c>
      <c r="CJ135" s="33">
        <v>1154000</v>
      </c>
      <c r="CK135" s="85">
        <f t="shared" si="86"/>
        <v>1.4073170731707317E-2</v>
      </c>
      <c r="CL135" s="33">
        <v>74000000</v>
      </c>
      <c r="CM135" s="33">
        <v>1019000</v>
      </c>
      <c r="CN135" s="85">
        <f t="shared" si="87"/>
        <v>1.3770270270270271E-2</v>
      </c>
      <c r="CO135" s="33">
        <v>58000000</v>
      </c>
      <c r="CP135" s="33">
        <v>830000</v>
      </c>
      <c r="CQ135" s="85">
        <f t="shared" si="88"/>
        <v>1.4310344827586207E-2</v>
      </c>
    </row>
    <row r="136" spans="1:95" x14ac:dyDescent="0.3">
      <c r="A136" s="31" t="s">
        <v>278</v>
      </c>
      <c r="B136" s="31" t="s">
        <v>227</v>
      </c>
      <c r="C136" s="30" t="s">
        <v>133</v>
      </c>
      <c r="D136" s="31" t="s">
        <v>231</v>
      </c>
      <c r="G136" s="85" t="str">
        <f t="shared" si="89"/>
        <v/>
      </c>
      <c r="H136" s="31"/>
      <c r="I136" s="31"/>
      <c r="J136" s="85" t="str">
        <f t="shared" si="60"/>
        <v/>
      </c>
      <c r="K136" s="31"/>
      <c r="L136" s="31"/>
      <c r="M136" s="85" t="str">
        <f t="shared" si="61"/>
        <v/>
      </c>
      <c r="N136" s="31"/>
      <c r="O136" s="31"/>
      <c r="P136" s="85" t="str">
        <f t="shared" si="62"/>
        <v/>
      </c>
      <c r="Q136" s="31"/>
      <c r="R136" s="31"/>
      <c r="S136" s="85" t="str">
        <f t="shared" si="63"/>
        <v/>
      </c>
      <c r="T136" s="31"/>
      <c r="U136" s="31"/>
      <c r="V136" s="85" t="str">
        <f t="shared" si="64"/>
        <v/>
      </c>
      <c r="W136" s="31"/>
      <c r="X136" s="31"/>
      <c r="Y136" s="85" t="str">
        <f t="shared" si="65"/>
        <v/>
      </c>
      <c r="Z136" s="31"/>
      <c r="AA136" s="31"/>
      <c r="AB136" s="85" t="str">
        <f t="shared" si="66"/>
        <v/>
      </c>
      <c r="AC136" s="31"/>
      <c r="AD136" s="31"/>
      <c r="AE136" s="85" t="str">
        <f t="shared" si="67"/>
        <v/>
      </c>
      <c r="AF136" s="31"/>
      <c r="AG136" s="31"/>
      <c r="AH136" s="85" t="str">
        <f t="shared" si="68"/>
        <v/>
      </c>
      <c r="AI136" s="31"/>
      <c r="AJ136" s="31"/>
      <c r="AK136" s="85" t="str">
        <f t="shared" si="69"/>
        <v/>
      </c>
      <c r="AL136" s="31"/>
      <c r="AM136" s="31"/>
      <c r="AN136" s="85" t="str">
        <f t="shared" si="70"/>
        <v/>
      </c>
      <c r="AO136" s="31"/>
      <c r="AP136" s="31"/>
      <c r="AQ136" s="85" t="str">
        <f t="shared" si="71"/>
        <v/>
      </c>
      <c r="AR136" s="31"/>
      <c r="AS136" s="31"/>
      <c r="AT136" s="85" t="str">
        <f t="shared" si="72"/>
        <v/>
      </c>
      <c r="AU136" s="31"/>
      <c r="AV136" s="31"/>
      <c r="AW136" s="85" t="str">
        <f t="shared" si="73"/>
        <v/>
      </c>
      <c r="AX136" s="33"/>
      <c r="AY136" s="31"/>
      <c r="AZ136" s="85" t="str">
        <f t="shared" si="74"/>
        <v/>
      </c>
      <c r="BA136" s="33"/>
      <c r="BB136" s="31"/>
      <c r="BC136" s="85" t="str">
        <f t="shared" si="75"/>
        <v/>
      </c>
      <c r="BD136" s="33"/>
      <c r="BE136" s="31"/>
      <c r="BF136" s="85" t="str">
        <f t="shared" si="76"/>
        <v/>
      </c>
      <c r="BG136" s="33"/>
      <c r="BH136" s="31"/>
      <c r="BI136" s="85" t="str">
        <f t="shared" si="77"/>
        <v/>
      </c>
      <c r="BJ136" s="33"/>
      <c r="BK136" s="33"/>
      <c r="BL136" s="85" t="str">
        <f t="shared" si="78"/>
        <v/>
      </c>
      <c r="BM136" s="33"/>
      <c r="BN136" s="33"/>
      <c r="BO136" s="85" t="str">
        <f t="shared" si="79"/>
        <v/>
      </c>
      <c r="BP136" s="33"/>
      <c r="BQ136" s="33"/>
      <c r="BR136" s="85" t="str">
        <f t="shared" si="80"/>
        <v/>
      </c>
      <c r="BS136" s="33"/>
      <c r="BT136" s="33"/>
      <c r="BU136" s="85" t="str">
        <f t="shared" si="81"/>
        <v/>
      </c>
      <c r="BV136" s="31" t="s">
        <v>231</v>
      </c>
      <c r="BW136" s="33"/>
      <c r="BX136" s="33"/>
      <c r="BY136" s="85" t="str">
        <f t="shared" si="82"/>
        <v/>
      </c>
      <c r="BZ136" s="33"/>
      <c r="CA136" s="33"/>
      <c r="CB136" s="85" t="str">
        <f t="shared" si="83"/>
        <v/>
      </c>
      <c r="CC136" s="33">
        <v>16000000</v>
      </c>
      <c r="CD136" s="33">
        <v>215000</v>
      </c>
      <c r="CE136" s="85">
        <f t="shared" si="84"/>
        <v>1.34375E-2</v>
      </c>
      <c r="CF136" s="33">
        <v>13000000</v>
      </c>
      <c r="CG136" s="33">
        <v>192000</v>
      </c>
      <c r="CH136" s="85">
        <f t="shared" si="85"/>
        <v>1.4769230769230769E-2</v>
      </c>
      <c r="CI136" s="33">
        <v>12000000</v>
      </c>
      <c r="CJ136" s="33">
        <v>181000</v>
      </c>
      <c r="CK136" s="85">
        <f t="shared" si="86"/>
        <v>1.5083333333333334E-2</v>
      </c>
      <c r="CL136" s="33">
        <v>11000000</v>
      </c>
      <c r="CM136" s="33">
        <v>154000</v>
      </c>
      <c r="CN136" s="85">
        <f t="shared" si="87"/>
        <v>1.4E-2</v>
      </c>
      <c r="CO136" s="33">
        <v>9000000</v>
      </c>
      <c r="CP136" s="33">
        <v>132000</v>
      </c>
      <c r="CQ136" s="85">
        <f t="shared" si="88"/>
        <v>1.4666666666666666E-2</v>
      </c>
    </row>
    <row r="137" spans="1:95" x14ac:dyDescent="0.3">
      <c r="A137" s="31" t="s">
        <v>233</v>
      </c>
      <c r="B137" s="31" t="s">
        <v>227</v>
      </c>
      <c r="C137" s="30" t="s">
        <v>133</v>
      </c>
      <c r="D137" s="31" t="s">
        <v>231</v>
      </c>
      <c r="G137" s="85" t="str">
        <f t="shared" si="89"/>
        <v/>
      </c>
      <c r="H137" s="31"/>
      <c r="I137" s="31"/>
      <c r="J137" s="85" t="str">
        <f t="shared" si="60"/>
        <v/>
      </c>
      <c r="K137" s="31"/>
      <c r="L137" s="31"/>
      <c r="M137" s="85" t="str">
        <f t="shared" si="61"/>
        <v/>
      </c>
      <c r="N137" s="31"/>
      <c r="O137" s="31"/>
      <c r="P137" s="85" t="str">
        <f t="shared" si="62"/>
        <v/>
      </c>
      <c r="Q137" s="31"/>
      <c r="R137" s="31"/>
      <c r="S137" s="85" t="str">
        <f t="shared" si="63"/>
        <v/>
      </c>
      <c r="T137" s="31"/>
      <c r="U137" s="31"/>
      <c r="V137" s="85" t="str">
        <f t="shared" si="64"/>
        <v/>
      </c>
      <c r="W137" s="31"/>
      <c r="X137" s="31"/>
      <c r="Y137" s="85" t="str">
        <f t="shared" si="65"/>
        <v/>
      </c>
      <c r="Z137" s="31"/>
      <c r="AA137" s="31"/>
      <c r="AB137" s="85" t="str">
        <f t="shared" si="66"/>
        <v/>
      </c>
      <c r="AC137" s="31"/>
      <c r="AD137" s="31"/>
      <c r="AE137" s="85" t="str">
        <f t="shared" si="67"/>
        <v/>
      </c>
      <c r="AF137" s="31"/>
      <c r="AG137" s="31"/>
      <c r="AH137" s="85" t="str">
        <f t="shared" si="68"/>
        <v/>
      </c>
      <c r="AI137" s="31"/>
      <c r="AJ137" s="31"/>
      <c r="AK137" s="85" t="str">
        <f t="shared" si="69"/>
        <v/>
      </c>
      <c r="AL137" s="31"/>
      <c r="AM137" s="31"/>
      <c r="AN137" s="85" t="str">
        <f t="shared" si="70"/>
        <v/>
      </c>
      <c r="AO137" s="31"/>
      <c r="AP137" s="31"/>
      <c r="AQ137" s="85" t="str">
        <f t="shared" si="71"/>
        <v/>
      </c>
      <c r="AR137" s="31"/>
      <c r="AS137" s="31"/>
      <c r="AT137" s="85" t="str">
        <f t="shared" si="72"/>
        <v/>
      </c>
      <c r="AU137" s="31"/>
      <c r="AV137" s="31"/>
      <c r="AW137" s="85" t="str">
        <f t="shared" si="73"/>
        <v/>
      </c>
      <c r="AX137" s="33"/>
      <c r="AY137" s="31"/>
      <c r="AZ137" s="85" t="str">
        <f t="shared" si="74"/>
        <v/>
      </c>
      <c r="BA137" s="33"/>
      <c r="BB137" s="31"/>
      <c r="BC137" s="85" t="str">
        <f t="shared" si="75"/>
        <v/>
      </c>
      <c r="BD137" s="33"/>
      <c r="BE137" s="31"/>
      <c r="BF137" s="85" t="str">
        <f t="shared" si="76"/>
        <v/>
      </c>
      <c r="BG137" s="33"/>
      <c r="BH137" s="31"/>
      <c r="BI137" s="85" t="str">
        <f t="shared" si="77"/>
        <v/>
      </c>
      <c r="BJ137" s="33"/>
      <c r="BK137" s="33"/>
      <c r="BL137" s="85" t="str">
        <f t="shared" si="78"/>
        <v/>
      </c>
      <c r="BM137" s="33"/>
      <c r="BN137" s="33"/>
      <c r="BO137" s="85" t="str">
        <f t="shared" si="79"/>
        <v/>
      </c>
      <c r="BP137" s="33"/>
      <c r="BQ137" s="33"/>
      <c r="BR137" s="85" t="str">
        <f t="shared" si="80"/>
        <v/>
      </c>
      <c r="BS137" s="33"/>
      <c r="BT137" s="33"/>
      <c r="BU137" s="85" t="str">
        <f t="shared" si="81"/>
        <v/>
      </c>
      <c r="BV137" s="31" t="s">
        <v>231</v>
      </c>
      <c r="BW137" s="33">
        <v>4085300</v>
      </c>
      <c r="BX137" s="33">
        <v>51984</v>
      </c>
      <c r="BY137" s="85">
        <f t="shared" si="82"/>
        <v>1.2724646904756077E-2</v>
      </c>
      <c r="BZ137" s="33">
        <v>4138500</v>
      </c>
      <c r="CA137" s="33">
        <v>59055</v>
      </c>
      <c r="CB137" s="85">
        <f t="shared" si="83"/>
        <v>1.4269662921348314E-2</v>
      </c>
      <c r="CC137" s="33">
        <v>3500000</v>
      </c>
      <c r="CD137" s="33">
        <v>45000</v>
      </c>
      <c r="CE137" s="85">
        <f t="shared" si="84"/>
        <v>1.2857142857142857E-2</v>
      </c>
      <c r="CF137" s="33">
        <v>3500000</v>
      </c>
      <c r="CG137" s="33">
        <v>48000</v>
      </c>
      <c r="CH137" s="85">
        <f t="shared" si="85"/>
        <v>1.3714285714285714E-2</v>
      </c>
      <c r="CI137" s="33">
        <v>5000000</v>
      </c>
      <c r="CJ137" s="33">
        <v>64000</v>
      </c>
      <c r="CK137" s="85">
        <f t="shared" si="86"/>
        <v>1.2800000000000001E-2</v>
      </c>
      <c r="CL137" s="33"/>
      <c r="CM137" s="33"/>
      <c r="CN137" s="85" t="str">
        <f t="shared" si="87"/>
        <v/>
      </c>
      <c r="CO137" s="33">
        <v>5213000</v>
      </c>
      <c r="CP137" s="33">
        <v>72000</v>
      </c>
      <c r="CQ137" s="85">
        <f t="shared" si="88"/>
        <v>1.3811624784193363E-2</v>
      </c>
    </row>
    <row r="138" spans="1:95" x14ac:dyDescent="0.3">
      <c r="A138" s="31" t="s">
        <v>234</v>
      </c>
      <c r="B138" s="31" t="s">
        <v>227</v>
      </c>
      <c r="C138" s="30" t="s">
        <v>133</v>
      </c>
      <c r="D138" s="31" t="s">
        <v>231</v>
      </c>
      <c r="G138" s="85" t="str">
        <f t="shared" si="89"/>
        <v/>
      </c>
      <c r="H138" s="31"/>
      <c r="I138" s="31"/>
      <c r="J138" s="85" t="str">
        <f t="shared" si="60"/>
        <v/>
      </c>
      <c r="K138" s="31"/>
      <c r="L138" s="31"/>
      <c r="M138" s="85" t="str">
        <f t="shared" si="61"/>
        <v/>
      </c>
      <c r="N138" s="31"/>
      <c r="O138" s="31"/>
      <c r="P138" s="85" t="str">
        <f t="shared" si="62"/>
        <v/>
      </c>
      <c r="Q138" s="31"/>
      <c r="R138" s="31"/>
      <c r="S138" s="85" t="str">
        <f t="shared" si="63"/>
        <v/>
      </c>
      <c r="T138" s="31"/>
      <c r="U138" s="31"/>
      <c r="V138" s="85" t="str">
        <f t="shared" si="64"/>
        <v/>
      </c>
      <c r="W138" s="31"/>
      <c r="X138" s="31"/>
      <c r="Y138" s="85" t="str">
        <f t="shared" si="65"/>
        <v/>
      </c>
      <c r="Z138" s="31"/>
      <c r="AA138" s="31"/>
      <c r="AB138" s="85" t="str">
        <f t="shared" si="66"/>
        <v/>
      </c>
      <c r="AC138" s="31"/>
      <c r="AD138" s="31"/>
      <c r="AE138" s="85" t="str">
        <f t="shared" si="67"/>
        <v/>
      </c>
      <c r="AF138" s="31"/>
      <c r="AG138" s="31"/>
      <c r="AH138" s="85" t="str">
        <f t="shared" si="68"/>
        <v/>
      </c>
      <c r="AI138" s="31"/>
      <c r="AJ138" s="31"/>
      <c r="AK138" s="85" t="str">
        <f t="shared" si="69"/>
        <v/>
      </c>
      <c r="AL138" s="31"/>
      <c r="AM138" s="31"/>
      <c r="AN138" s="85" t="str">
        <f t="shared" si="70"/>
        <v/>
      </c>
      <c r="AO138" s="31"/>
      <c r="AP138" s="31"/>
      <c r="AQ138" s="85" t="str">
        <f t="shared" si="71"/>
        <v/>
      </c>
      <c r="AR138" s="31"/>
      <c r="AS138" s="31"/>
      <c r="AT138" s="85" t="str">
        <f t="shared" si="72"/>
        <v/>
      </c>
      <c r="AU138" s="31"/>
      <c r="AV138" s="31"/>
      <c r="AW138" s="85" t="str">
        <f t="shared" si="73"/>
        <v/>
      </c>
      <c r="AX138" s="33">
        <v>3061300</v>
      </c>
      <c r="AY138" s="31"/>
      <c r="AZ138" s="85"/>
      <c r="BA138" s="33">
        <v>2313100</v>
      </c>
      <c r="BB138" s="31">
        <v>194287</v>
      </c>
      <c r="BC138" s="85">
        <f t="shared" si="75"/>
        <v>8.3994206908477795E-2</v>
      </c>
      <c r="BD138" s="33">
        <v>3061300</v>
      </c>
      <c r="BE138" s="31">
        <v>263979</v>
      </c>
      <c r="BF138" s="85">
        <f t="shared" si="76"/>
        <v>8.6231012968346787E-2</v>
      </c>
      <c r="BG138" s="33">
        <v>2408100</v>
      </c>
      <c r="BH138" s="31">
        <v>207358</v>
      </c>
      <c r="BI138" s="85">
        <f t="shared" si="77"/>
        <v>8.6108550309372534E-2</v>
      </c>
      <c r="BJ138" s="33">
        <v>2762300</v>
      </c>
      <c r="BK138" s="33">
        <v>238062</v>
      </c>
      <c r="BL138" s="85">
        <f t="shared" si="78"/>
        <v>8.6182529051877052E-2</v>
      </c>
      <c r="BM138" s="33"/>
      <c r="BN138" s="33"/>
      <c r="BO138" s="85" t="str">
        <f t="shared" si="79"/>
        <v/>
      </c>
      <c r="BP138" s="33"/>
      <c r="BQ138" s="33"/>
      <c r="BR138" s="85" t="str">
        <f t="shared" si="80"/>
        <v/>
      </c>
      <c r="BS138" s="33"/>
      <c r="BT138" s="33"/>
      <c r="BU138" s="85" t="str">
        <f t="shared" si="81"/>
        <v/>
      </c>
      <c r="BV138" s="31" t="s">
        <v>231</v>
      </c>
      <c r="BW138" s="33">
        <v>3596600</v>
      </c>
      <c r="BX138" s="33">
        <v>324582</v>
      </c>
      <c r="BY138" s="85">
        <f t="shared" si="82"/>
        <v>9.0246899849858203E-2</v>
      </c>
      <c r="BZ138" s="33">
        <v>3129900</v>
      </c>
      <c r="CA138" s="33">
        <v>269522</v>
      </c>
      <c r="CB138" s="85">
        <f t="shared" si="83"/>
        <v>8.6112016358350113E-2</v>
      </c>
      <c r="CC138" s="33">
        <v>4017000</v>
      </c>
      <c r="CD138" s="33">
        <v>398000</v>
      </c>
      <c r="CE138" s="85">
        <f t="shared" si="84"/>
        <v>9.9078914612895197E-2</v>
      </c>
      <c r="CF138" s="33">
        <v>5560000</v>
      </c>
      <c r="CG138" s="33">
        <v>592000</v>
      </c>
      <c r="CH138" s="85">
        <f t="shared" si="85"/>
        <v>0.10647482014388489</v>
      </c>
      <c r="CI138" s="33">
        <v>4065000</v>
      </c>
      <c r="CJ138" s="33">
        <v>414000</v>
      </c>
      <c r="CK138" s="85">
        <f t="shared" si="86"/>
        <v>0.1018450184501845</v>
      </c>
      <c r="CL138" s="33">
        <v>3201000</v>
      </c>
      <c r="CM138" s="33">
        <v>337000</v>
      </c>
      <c r="CN138" s="85">
        <f t="shared" si="87"/>
        <v>0.10527960012496095</v>
      </c>
      <c r="CO138" s="33">
        <v>2160000</v>
      </c>
      <c r="CP138" s="33">
        <v>246000</v>
      </c>
      <c r="CQ138" s="85">
        <f t="shared" si="88"/>
        <v>0.11388888888888889</v>
      </c>
    </row>
    <row r="139" spans="1:95" x14ac:dyDescent="0.3">
      <c r="A139" s="31" t="s">
        <v>235</v>
      </c>
      <c r="B139" s="31" t="s">
        <v>227</v>
      </c>
      <c r="C139" s="30" t="s">
        <v>133</v>
      </c>
      <c r="D139" s="31" t="s">
        <v>231</v>
      </c>
      <c r="G139" s="85" t="str">
        <f t="shared" si="89"/>
        <v/>
      </c>
      <c r="H139" s="31"/>
      <c r="I139" s="31"/>
      <c r="J139" s="85" t="str">
        <f t="shared" si="60"/>
        <v/>
      </c>
      <c r="K139" s="31"/>
      <c r="L139" s="31"/>
      <c r="M139" s="85" t="str">
        <f t="shared" si="61"/>
        <v/>
      </c>
      <c r="N139" s="31"/>
      <c r="O139" s="31"/>
      <c r="P139" s="85" t="str">
        <f t="shared" si="62"/>
        <v/>
      </c>
      <c r="Q139" s="31"/>
      <c r="R139" s="31"/>
      <c r="S139" s="85" t="str">
        <f t="shared" si="63"/>
        <v/>
      </c>
      <c r="T139" s="31"/>
      <c r="U139" s="31"/>
      <c r="V139" s="85" t="str">
        <f t="shared" si="64"/>
        <v/>
      </c>
      <c r="W139" s="31"/>
      <c r="X139" s="31"/>
      <c r="Y139" s="85" t="str">
        <f t="shared" si="65"/>
        <v/>
      </c>
      <c r="Z139" s="31"/>
      <c r="AA139" s="31"/>
      <c r="AB139" s="85" t="str">
        <f t="shared" si="66"/>
        <v/>
      </c>
      <c r="AC139" s="31"/>
      <c r="AD139" s="31"/>
      <c r="AE139" s="85" t="str">
        <f t="shared" si="67"/>
        <v/>
      </c>
      <c r="AF139" s="31"/>
      <c r="AG139" s="31"/>
      <c r="AH139" s="85" t="str">
        <f t="shared" si="68"/>
        <v/>
      </c>
      <c r="AI139" s="31"/>
      <c r="AJ139" s="31"/>
      <c r="AK139" s="85" t="str">
        <f t="shared" si="69"/>
        <v/>
      </c>
      <c r="AL139" s="31"/>
      <c r="AM139" s="31"/>
      <c r="AN139" s="85" t="str">
        <f t="shared" si="70"/>
        <v/>
      </c>
      <c r="AO139" s="31"/>
      <c r="AP139" s="31"/>
      <c r="AQ139" s="85" t="str">
        <f t="shared" si="71"/>
        <v/>
      </c>
      <c r="AR139" s="31"/>
      <c r="AS139" s="31"/>
      <c r="AT139" s="85" t="str">
        <f t="shared" si="72"/>
        <v/>
      </c>
      <c r="AU139" s="31"/>
      <c r="AV139" s="31"/>
      <c r="AW139" s="85" t="str">
        <f t="shared" si="73"/>
        <v/>
      </c>
      <c r="AX139" s="33">
        <v>2460900</v>
      </c>
      <c r="AY139" s="31"/>
      <c r="AZ139" s="85"/>
      <c r="BA139" s="33">
        <v>2228400</v>
      </c>
      <c r="BB139" s="31">
        <v>115859</v>
      </c>
      <c r="BC139" s="85">
        <f t="shared" si="75"/>
        <v>5.1992012206067133E-2</v>
      </c>
      <c r="BD139" s="33">
        <v>2460900</v>
      </c>
      <c r="BE139" s="31">
        <v>132407</v>
      </c>
      <c r="BF139" s="85">
        <f t="shared" si="76"/>
        <v>5.3804299240115407E-2</v>
      </c>
      <c r="BG139" s="33">
        <v>1763200</v>
      </c>
      <c r="BH139" s="31">
        <v>94885</v>
      </c>
      <c r="BI139" s="85">
        <f t="shared" si="77"/>
        <v>5.3814088021778582E-2</v>
      </c>
      <c r="BJ139" s="33">
        <v>2322200</v>
      </c>
      <c r="BK139" s="33">
        <v>3000000</v>
      </c>
      <c r="BL139" s="85">
        <f t="shared" si="78"/>
        <v>1.2918783911807767</v>
      </c>
      <c r="BM139" s="33"/>
      <c r="BN139" s="33"/>
      <c r="BO139" s="85" t="str">
        <f t="shared" si="79"/>
        <v/>
      </c>
      <c r="BP139" s="33"/>
      <c r="BQ139" s="33"/>
      <c r="BR139" s="85" t="str">
        <f t="shared" si="80"/>
        <v/>
      </c>
      <c r="BS139" s="33"/>
      <c r="BT139" s="33"/>
      <c r="BU139" s="85" t="str">
        <f t="shared" si="81"/>
        <v/>
      </c>
      <c r="BV139" s="31" t="s">
        <v>231</v>
      </c>
      <c r="BW139" s="33">
        <v>3076000</v>
      </c>
      <c r="BX139" s="33">
        <v>186329</v>
      </c>
      <c r="BY139" s="85">
        <f t="shared" si="82"/>
        <v>6.0575097529258777E-2</v>
      </c>
      <c r="BZ139" s="33">
        <v>2090800</v>
      </c>
      <c r="CA139" s="33">
        <v>136749</v>
      </c>
      <c r="CB139" s="85">
        <f t="shared" si="83"/>
        <v>6.5405108092596129E-2</v>
      </c>
      <c r="CC139" s="33">
        <v>2567000</v>
      </c>
      <c r="CD139" s="33">
        <v>170000</v>
      </c>
      <c r="CE139" s="85">
        <f t="shared" si="84"/>
        <v>6.6225165562913912E-2</v>
      </c>
      <c r="CF139" s="33">
        <v>3669999</v>
      </c>
      <c r="CG139" s="33">
        <v>280000</v>
      </c>
      <c r="CH139" s="85">
        <f t="shared" si="85"/>
        <v>7.6294298717792572E-2</v>
      </c>
      <c r="CI139" s="33">
        <v>4062000</v>
      </c>
      <c r="CJ139" s="33">
        <v>221000</v>
      </c>
      <c r="CK139" s="85">
        <f t="shared" si="86"/>
        <v>5.4406696208764156E-2</v>
      </c>
      <c r="CL139" s="33">
        <v>2803000</v>
      </c>
      <c r="CM139" s="33">
        <v>159000</v>
      </c>
      <c r="CN139" s="85">
        <f t="shared" si="87"/>
        <v>5.6724937566892612E-2</v>
      </c>
      <c r="CO139" s="33">
        <v>1519000</v>
      </c>
      <c r="CP139" s="33">
        <v>120000</v>
      </c>
      <c r="CQ139" s="85">
        <f t="shared" si="88"/>
        <v>7.8999341672152737E-2</v>
      </c>
    </row>
    <row r="140" spans="1:95" ht="15" customHeight="1" x14ac:dyDescent="0.3">
      <c r="A140" s="31" t="s">
        <v>236</v>
      </c>
      <c r="B140" s="31" t="s">
        <v>227</v>
      </c>
      <c r="C140" s="30" t="s">
        <v>74</v>
      </c>
      <c r="D140" s="31" t="s">
        <v>232</v>
      </c>
      <c r="G140" s="85" t="str">
        <f t="shared" si="89"/>
        <v/>
      </c>
      <c r="H140" s="31"/>
      <c r="I140" s="31"/>
      <c r="J140" s="85" t="str">
        <f t="shared" si="60"/>
        <v/>
      </c>
      <c r="K140" s="31"/>
      <c r="L140" s="31"/>
      <c r="M140" s="85" t="str">
        <f t="shared" si="61"/>
        <v/>
      </c>
      <c r="N140" s="31"/>
      <c r="O140" s="31"/>
      <c r="P140" s="85" t="str">
        <f t="shared" si="62"/>
        <v/>
      </c>
      <c r="Q140" s="31"/>
      <c r="R140" s="31"/>
      <c r="S140" s="85" t="str">
        <f t="shared" si="63"/>
        <v/>
      </c>
      <c r="T140" s="31"/>
      <c r="U140" s="31"/>
      <c r="V140" s="85" t="str">
        <f t="shared" si="64"/>
        <v/>
      </c>
      <c r="W140" s="31"/>
      <c r="X140" s="31"/>
      <c r="Y140" s="85" t="str">
        <f t="shared" si="65"/>
        <v/>
      </c>
      <c r="Z140" s="31"/>
      <c r="AA140" s="31"/>
      <c r="AB140" s="85" t="str">
        <f t="shared" si="66"/>
        <v/>
      </c>
      <c r="AC140" s="31"/>
      <c r="AD140" s="31"/>
      <c r="AE140" s="85" t="str">
        <f t="shared" si="67"/>
        <v/>
      </c>
      <c r="AF140" s="31"/>
      <c r="AG140" s="31"/>
      <c r="AH140" s="85" t="str">
        <f t="shared" si="68"/>
        <v/>
      </c>
      <c r="AI140" s="31"/>
      <c r="AJ140" s="31"/>
      <c r="AK140" s="85" t="str">
        <f t="shared" si="69"/>
        <v/>
      </c>
      <c r="AL140" s="31"/>
      <c r="AM140" s="31"/>
      <c r="AN140" s="85" t="str">
        <f t="shared" si="70"/>
        <v/>
      </c>
      <c r="AO140" s="31"/>
      <c r="AP140" s="31"/>
      <c r="AQ140" s="85" t="str">
        <f t="shared" si="71"/>
        <v/>
      </c>
      <c r="AR140" s="31"/>
      <c r="AS140" s="31"/>
      <c r="AT140" s="85" t="str">
        <f t="shared" si="72"/>
        <v/>
      </c>
      <c r="AU140" s="31"/>
      <c r="AV140" s="31"/>
      <c r="AW140" s="85" t="str">
        <f t="shared" si="73"/>
        <v/>
      </c>
      <c r="AX140" s="33">
        <v>93200</v>
      </c>
      <c r="AY140" s="31"/>
      <c r="AZ140" s="85"/>
      <c r="BA140" s="33">
        <v>49000</v>
      </c>
      <c r="BB140" s="31">
        <v>15641</v>
      </c>
      <c r="BC140" s="85">
        <f t="shared" si="75"/>
        <v>0.31920408163265307</v>
      </c>
      <c r="BD140" s="33">
        <v>93200</v>
      </c>
      <c r="BE140" s="31">
        <v>27809</v>
      </c>
      <c r="BF140" s="85">
        <f t="shared" si="76"/>
        <v>0.29837982832618026</v>
      </c>
      <c r="BG140" s="33">
        <v>106000</v>
      </c>
      <c r="BH140" s="31">
        <v>24836</v>
      </c>
      <c r="BI140" s="85">
        <f t="shared" si="77"/>
        <v>0.23430188679245284</v>
      </c>
      <c r="BJ140" s="33">
        <v>82951</v>
      </c>
      <c r="BK140" s="33">
        <v>21517</v>
      </c>
      <c r="BL140" s="85">
        <f t="shared" si="78"/>
        <v>0.25939410013140285</v>
      </c>
      <c r="BM140" s="33">
        <f>77255+37988</f>
        <v>115243</v>
      </c>
      <c r="BN140" s="33">
        <f>19481+12451</f>
        <v>31932</v>
      </c>
      <c r="BO140" s="85">
        <f t="shared" si="79"/>
        <v>0.2770840745207952</v>
      </c>
      <c r="BP140" s="33">
        <f>48766+38398</f>
        <v>87164</v>
      </c>
      <c r="BQ140" s="33">
        <f>12070+11558</f>
        <v>23628</v>
      </c>
      <c r="BR140" s="85">
        <f t="shared" si="80"/>
        <v>0.27107521453811206</v>
      </c>
      <c r="BS140" s="33">
        <f>71883+32598</f>
        <v>104481</v>
      </c>
      <c r="BT140" s="33">
        <f>19033+10528</f>
        <v>29561</v>
      </c>
      <c r="BU140" s="85">
        <f t="shared" si="81"/>
        <v>0.28293182492510599</v>
      </c>
      <c r="BV140" s="31" t="s">
        <v>232</v>
      </c>
      <c r="BW140" s="33">
        <v>92886</v>
      </c>
      <c r="BX140" s="33">
        <v>30810</v>
      </c>
      <c r="BY140" s="85">
        <f t="shared" si="82"/>
        <v>0.33169691880369484</v>
      </c>
      <c r="BZ140" s="33">
        <v>112215</v>
      </c>
      <c r="CA140" s="33">
        <v>31945</v>
      </c>
      <c r="CB140" s="85">
        <f t="shared" si="83"/>
        <v>0.28467673662166376</v>
      </c>
      <c r="CC140" s="33">
        <v>125000</v>
      </c>
      <c r="CD140" s="33">
        <v>29000</v>
      </c>
      <c r="CE140" s="85">
        <f t="shared" si="84"/>
        <v>0.23200000000000001</v>
      </c>
      <c r="CF140" s="33">
        <v>136000</v>
      </c>
      <c r="CG140" s="33">
        <v>34000</v>
      </c>
      <c r="CH140" s="85">
        <f t="shared" si="85"/>
        <v>0.25</v>
      </c>
      <c r="CI140" s="33">
        <v>101000</v>
      </c>
      <c r="CJ140" s="33">
        <v>28000</v>
      </c>
      <c r="CK140" s="85">
        <f t="shared" si="86"/>
        <v>0.27722772277227725</v>
      </c>
      <c r="CL140" s="33">
        <v>123000</v>
      </c>
      <c r="CM140" s="33">
        <v>35000</v>
      </c>
      <c r="CN140" s="85">
        <f t="shared" si="87"/>
        <v>0.28455284552845528</v>
      </c>
      <c r="CO140" s="33">
        <v>88000</v>
      </c>
      <c r="CP140" s="33">
        <v>32000</v>
      </c>
      <c r="CQ140" s="85">
        <f t="shared" si="88"/>
        <v>0.36363636363636365</v>
      </c>
    </row>
    <row r="141" spans="1:95" ht="15" customHeight="1" x14ac:dyDescent="0.3">
      <c r="A141" s="31" t="s">
        <v>234</v>
      </c>
      <c r="B141" s="31" t="s">
        <v>348</v>
      </c>
      <c r="C141" s="30" t="s">
        <v>75</v>
      </c>
      <c r="D141" s="31" t="s">
        <v>1</v>
      </c>
      <c r="G141" s="85" t="str">
        <f t="shared" si="89"/>
        <v/>
      </c>
      <c r="H141" s="31"/>
      <c r="I141" s="31"/>
      <c r="J141" s="85" t="str">
        <f t="shared" si="60"/>
        <v/>
      </c>
      <c r="K141" s="31"/>
      <c r="L141" s="31"/>
      <c r="M141" s="85" t="str">
        <f t="shared" si="61"/>
        <v/>
      </c>
      <c r="N141" s="31"/>
      <c r="O141" s="31"/>
      <c r="P141" s="85" t="str">
        <f t="shared" si="62"/>
        <v/>
      </c>
      <c r="Q141" s="31"/>
      <c r="R141" s="31"/>
      <c r="S141" s="85" t="str">
        <f t="shared" si="63"/>
        <v/>
      </c>
      <c r="T141" s="31"/>
      <c r="U141" s="31"/>
      <c r="V141" s="85" t="str">
        <f t="shared" si="64"/>
        <v/>
      </c>
      <c r="W141" s="31"/>
      <c r="X141" s="31"/>
      <c r="Y141" s="85" t="str">
        <f t="shared" si="65"/>
        <v/>
      </c>
      <c r="Z141" s="31"/>
      <c r="AA141" s="31"/>
      <c r="AB141" s="85" t="str">
        <f t="shared" si="66"/>
        <v/>
      </c>
      <c r="AC141" s="31"/>
      <c r="AD141" s="31"/>
      <c r="AE141" s="85" t="str">
        <f t="shared" si="67"/>
        <v/>
      </c>
      <c r="AF141" s="31"/>
      <c r="AG141" s="31"/>
      <c r="AH141" s="85" t="str">
        <f t="shared" si="68"/>
        <v/>
      </c>
      <c r="AI141" s="31"/>
      <c r="AJ141" s="31"/>
      <c r="AK141" s="85" t="str">
        <f t="shared" si="69"/>
        <v/>
      </c>
      <c r="AL141" s="31"/>
      <c r="AM141" s="31"/>
      <c r="AN141" s="85" t="str">
        <f t="shared" si="70"/>
        <v/>
      </c>
      <c r="AO141" s="31"/>
      <c r="AP141" s="31"/>
      <c r="AQ141" s="85" t="str">
        <f t="shared" si="71"/>
        <v/>
      </c>
      <c r="AR141" s="31"/>
      <c r="AS141" s="31"/>
      <c r="AT141" s="85" t="str">
        <f t="shared" si="72"/>
        <v/>
      </c>
      <c r="AU141" s="31"/>
      <c r="AV141" s="31"/>
      <c r="AW141" s="85" t="str">
        <f t="shared" si="73"/>
        <v/>
      </c>
      <c r="AX141" s="33"/>
      <c r="AY141" s="31"/>
      <c r="AZ141" s="85" t="str">
        <f t="shared" si="74"/>
        <v/>
      </c>
      <c r="BA141" s="33">
        <f>254+78+23</f>
        <v>355</v>
      </c>
      <c r="BB141" s="33">
        <f>125000+40000+7000</f>
        <v>172000</v>
      </c>
      <c r="BC141" s="85">
        <f t="shared" si="75"/>
        <v>484.50704225352115</v>
      </c>
      <c r="BD141" s="33">
        <f>313+51+24</f>
        <v>388</v>
      </c>
      <c r="BE141" s="33">
        <f>159000+20000+6000</f>
        <v>185000</v>
      </c>
      <c r="BF141" s="85">
        <f t="shared" si="76"/>
        <v>476.8041237113402</v>
      </c>
      <c r="BG141" s="33"/>
      <c r="BH141" s="33"/>
      <c r="BI141" s="85" t="str">
        <f t="shared" si="77"/>
        <v/>
      </c>
      <c r="BJ141" s="33"/>
      <c r="BK141" s="33"/>
      <c r="BL141" s="85" t="str">
        <f t="shared" si="78"/>
        <v/>
      </c>
      <c r="BM141" s="33"/>
      <c r="BN141" s="33"/>
      <c r="BO141" s="85" t="str">
        <f t="shared" si="79"/>
        <v/>
      </c>
      <c r="BP141" s="33"/>
      <c r="BQ141" s="33"/>
      <c r="BR141" s="85" t="str">
        <f t="shared" si="80"/>
        <v/>
      </c>
      <c r="BS141" s="33"/>
      <c r="BT141" s="33"/>
      <c r="BU141" s="85" t="str">
        <f t="shared" si="81"/>
        <v/>
      </c>
      <c r="BV141" s="31"/>
      <c r="BW141" s="33"/>
      <c r="BX141" s="33"/>
      <c r="BY141" s="85" t="str">
        <f t="shared" si="82"/>
        <v/>
      </c>
      <c r="BZ141" s="33"/>
      <c r="CA141" s="33"/>
      <c r="CB141" s="85" t="str">
        <f t="shared" si="83"/>
        <v/>
      </c>
      <c r="CC141" s="33"/>
      <c r="CD141" s="33"/>
      <c r="CE141" s="85" t="str">
        <f t="shared" si="84"/>
        <v/>
      </c>
      <c r="CF141" s="33"/>
      <c r="CG141" s="33"/>
      <c r="CH141" s="85" t="str">
        <f t="shared" si="85"/>
        <v/>
      </c>
      <c r="CI141" s="33"/>
      <c r="CJ141" s="33"/>
      <c r="CK141" s="85" t="str">
        <f t="shared" si="86"/>
        <v/>
      </c>
      <c r="CL141" s="33"/>
      <c r="CM141" s="33"/>
      <c r="CN141" s="85" t="str">
        <f t="shared" si="87"/>
        <v/>
      </c>
      <c r="CO141" s="33"/>
      <c r="CP141" s="33"/>
      <c r="CQ141" s="85" t="str">
        <f t="shared" si="88"/>
        <v/>
      </c>
    </row>
    <row r="142" spans="1:95" ht="15" customHeight="1" x14ac:dyDescent="0.3">
      <c r="A142" s="31" t="s">
        <v>356</v>
      </c>
      <c r="B142" s="31" t="s">
        <v>348</v>
      </c>
      <c r="C142" s="30" t="s">
        <v>75</v>
      </c>
      <c r="D142" s="31" t="s">
        <v>1</v>
      </c>
      <c r="G142" s="85" t="str">
        <f t="shared" si="89"/>
        <v/>
      </c>
      <c r="H142" s="31"/>
      <c r="I142" s="31"/>
      <c r="J142" s="85" t="str">
        <f t="shared" si="60"/>
        <v/>
      </c>
      <c r="K142" s="31"/>
      <c r="L142" s="31"/>
      <c r="M142" s="85" t="str">
        <f t="shared" si="61"/>
        <v/>
      </c>
      <c r="N142" s="31"/>
      <c r="O142" s="31"/>
      <c r="P142" s="85" t="str">
        <f t="shared" si="62"/>
        <v/>
      </c>
      <c r="Q142" s="31"/>
      <c r="R142" s="31"/>
      <c r="S142" s="85" t="str">
        <f t="shared" si="63"/>
        <v/>
      </c>
      <c r="T142" s="31"/>
      <c r="U142" s="31"/>
      <c r="V142" s="85" t="str">
        <f t="shared" si="64"/>
        <v/>
      </c>
      <c r="W142" s="31"/>
      <c r="X142" s="31"/>
      <c r="Y142" s="85" t="str">
        <f t="shared" si="65"/>
        <v/>
      </c>
      <c r="Z142" s="31"/>
      <c r="AA142" s="31"/>
      <c r="AB142" s="85" t="str">
        <f t="shared" si="66"/>
        <v/>
      </c>
      <c r="AC142" s="31"/>
      <c r="AD142" s="31"/>
      <c r="AE142" s="85" t="str">
        <f t="shared" si="67"/>
        <v/>
      </c>
      <c r="AF142" s="31"/>
      <c r="AG142" s="31"/>
      <c r="AH142" s="85" t="str">
        <f t="shared" si="68"/>
        <v/>
      </c>
      <c r="AI142" s="31"/>
      <c r="AJ142" s="31"/>
      <c r="AK142" s="85" t="str">
        <f t="shared" si="69"/>
        <v/>
      </c>
      <c r="AL142" s="31"/>
      <c r="AM142" s="31"/>
      <c r="AN142" s="85" t="str">
        <f t="shared" si="70"/>
        <v/>
      </c>
      <c r="AO142" s="31"/>
      <c r="AP142" s="31"/>
      <c r="AQ142" s="85" t="str">
        <f t="shared" si="71"/>
        <v/>
      </c>
      <c r="AR142" s="31"/>
      <c r="AS142" s="31"/>
      <c r="AT142" s="85" t="str">
        <f t="shared" si="72"/>
        <v/>
      </c>
      <c r="AU142" s="31"/>
      <c r="AV142" s="31"/>
      <c r="AW142" s="85" t="str">
        <f t="shared" si="73"/>
        <v/>
      </c>
      <c r="AX142" s="33"/>
      <c r="AY142" s="31"/>
      <c r="AZ142" s="85" t="str">
        <f t="shared" si="74"/>
        <v/>
      </c>
      <c r="BA142" s="33">
        <f>48+23+19+57+3+4</f>
        <v>154</v>
      </c>
      <c r="BB142" s="33">
        <f>202900-125000+1500+600</f>
        <v>80000</v>
      </c>
      <c r="BC142" s="85">
        <f t="shared" si="75"/>
        <v>519.48051948051943</v>
      </c>
      <c r="BD142" s="33">
        <f>46+17+19+35+12</f>
        <v>129</v>
      </c>
      <c r="BE142" s="33">
        <f>207900-159000+5000</f>
        <v>53900</v>
      </c>
      <c r="BF142" s="85">
        <f t="shared" si="76"/>
        <v>417.82945736434107</v>
      </c>
      <c r="BG142" s="33"/>
      <c r="BH142" s="33"/>
      <c r="BI142" s="85" t="str">
        <f t="shared" si="77"/>
        <v/>
      </c>
      <c r="BJ142" s="33"/>
      <c r="BK142" s="33"/>
      <c r="BL142" s="85" t="str">
        <f t="shared" si="78"/>
        <v/>
      </c>
      <c r="BM142" s="33"/>
      <c r="BN142" s="33"/>
      <c r="BO142" s="85" t="str">
        <f t="shared" si="79"/>
        <v/>
      </c>
      <c r="BP142" s="33"/>
      <c r="BQ142" s="33"/>
      <c r="BR142" s="85" t="str">
        <f t="shared" si="80"/>
        <v/>
      </c>
      <c r="BS142" s="33"/>
      <c r="BT142" s="33"/>
      <c r="BU142" s="85" t="str">
        <f t="shared" si="81"/>
        <v/>
      </c>
      <c r="BV142" s="31"/>
      <c r="BW142" s="33"/>
      <c r="BX142" s="33"/>
      <c r="BY142" s="85" t="str">
        <f t="shared" si="82"/>
        <v/>
      </c>
      <c r="BZ142" s="33"/>
      <c r="CA142" s="33"/>
      <c r="CB142" s="85" t="str">
        <f t="shared" si="83"/>
        <v/>
      </c>
      <c r="CC142" s="33"/>
      <c r="CD142" s="33"/>
      <c r="CE142" s="85" t="str">
        <f t="shared" si="84"/>
        <v/>
      </c>
      <c r="CF142" s="33"/>
      <c r="CG142" s="33"/>
      <c r="CH142" s="85" t="str">
        <f t="shared" si="85"/>
        <v/>
      </c>
      <c r="CI142" s="33"/>
      <c r="CJ142" s="33"/>
      <c r="CK142" s="85" t="str">
        <f t="shared" si="86"/>
        <v/>
      </c>
      <c r="CL142" s="33"/>
      <c r="CM142" s="33"/>
      <c r="CN142" s="85" t="str">
        <f t="shared" si="87"/>
        <v/>
      </c>
      <c r="CO142" s="33"/>
      <c r="CP142" s="33"/>
      <c r="CQ142" s="85" t="str">
        <f t="shared" si="88"/>
        <v/>
      </c>
    </row>
    <row r="143" spans="1:95" ht="15" customHeight="1" x14ac:dyDescent="0.3">
      <c r="A143" s="31" t="s">
        <v>162</v>
      </c>
      <c r="B143" s="31" t="s">
        <v>349</v>
      </c>
      <c r="C143" s="30" t="s">
        <v>75</v>
      </c>
      <c r="D143" s="31" t="s">
        <v>1</v>
      </c>
      <c r="G143" s="85" t="str">
        <f t="shared" si="89"/>
        <v/>
      </c>
      <c r="H143" s="31"/>
      <c r="I143" s="31"/>
      <c r="J143" s="85" t="str">
        <f t="shared" si="60"/>
        <v/>
      </c>
      <c r="K143" s="31"/>
      <c r="L143" s="31"/>
      <c r="M143" s="85" t="str">
        <f t="shared" si="61"/>
        <v/>
      </c>
      <c r="N143" s="31"/>
      <c r="O143" s="31"/>
      <c r="P143" s="85" t="str">
        <f t="shared" si="62"/>
        <v/>
      </c>
      <c r="Q143" s="31"/>
      <c r="R143" s="31"/>
      <c r="S143" s="85" t="str">
        <f t="shared" si="63"/>
        <v/>
      </c>
      <c r="T143" s="31"/>
      <c r="U143" s="31"/>
      <c r="V143" s="85" t="str">
        <f t="shared" si="64"/>
        <v/>
      </c>
      <c r="W143" s="31"/>
      <c r="X143" s="31"/>
      <c r="Y143" s="85" t="str">
        <f t="shared" si="65"/>
        <v/>
      </c>
      <c r="Z143" s="31"/>
      <c r="AA143" s="31"/>
      <c r="AB143" s="85" t="str">
        <f t="shared" si="66"/>
        <v/>
      </c>
      <c r="AC143" s="31"/>
      <c r="AD143" s="31"/>
      <c r="AE143" s="85" t="str">
        <f t="shared" si="67"/>
        <v/>
      </c>
      <c r="AF143" s="31"/>
      <c r="AG143" s="31"/>
      <c r="AH143" s="85" t="str">
        <f t="shared" si="68"/>
        <v/>
      </c>
      <c r="AI143" s="31"/>
      <c r="AJ143" s="31"/>
      <c r="AK143" s="85" t="str">
        <f t="shared" si="69"/>
        <v/>
      </c>
      <c r="AL143" s="31"/>
      <c r="AM143" s="31"/>
      <c r="AN143" s="85" t="str">
        <f t="shared" si="70"/>
        <v/>
      </c>
      <c r="AO143" s="31"/>
      <c r="AP143" s="31"/>
      <c r="AQ143" s="85" t="str">
        <f t="shared" si="71"/>
        <v/>
      </c>
      <c r="AR143" s="31"/>
      <c r="AS143" s="31"/>
      <c r="AT143" s="85" t="str">
        <f t="shared" si="72"/>
        <v/>
      </c>
      <c r="AU143" s="31"/>
      <c r="AV143" s="31"/>
      <c r="AW143" s="85" t="str">
        <f t="shared" si="73"/>
        <v/>
      </c>
      <c r="AX143" s="33"/>
      <c r="AY143" s="31"/>
      <c r="AZ143" s="85" t="str">
        <f t="shared" si="74"/>
        <v/>
      </c>
      <c r="BA143" s="33"/>
      <c r="BB143" s="33"/>
      <c r="BC143" s="85" t="str">
        <f t="shared" si="75"/>
        <v/>
      </c>
      <c r="BD143" s="33">
        <v>4965</v>
      </c>
      <c r="BE143" s="33">
        <v>360000</v>
      </c>
      <c r="BF143" s="85">
        <f t="shared" si="76"/>
        <v>72.507552870090635</v>
      </c>
      <c r="BG143" s="33">
        <v>4461</v>
      </c>
      <c r="BH143" s="33">
        <v>343700</v>
      </c>
      <c r="BI143" s="85">
        <f t="shared" si="77"/>
        <v>77.045505492042139</v>
      </c>
      <c r="BJ143" s="33">
        <f>1822+874</f>
        <v>2696</v>
      </c>
      <c r="BK143" s="33">
        <f>142000+69000</f>
        <v>211000</v>
      </c>
      <c r="BL143" s="85">
        <f t="shared" si="78"/>
        <v>78.264094955489611</v>
      </c>
      <c r="BM143" s="33"/>
      <c r="BN143" s="33"/>
      <c r="BO143" s="85" t="str">
        <f t="shared" si="79"/>
        <v/>
      </c>
      <c r="BP143" s="33"/>
      <c r="BQ143" s="33"/>
      <c r="BR143" s="85" t="str">
        <f t="shared" si="80"/>
        <v/>
      </c>
      <c r="BS143" s="33"/>
      <c r="BT143" s="33"/>
      <c r="BU143" s="85" t="str">
        <f t="shared" si="81"/>
        <v/>
      </c>
      <c r="BV143" s="31"/>
      <c r="BW143" s="33"/>
      <c r="BX143" s="33"/>
      <c r="BY143" s="85" t="str">
        <f t="shared" si="82"/>
        <v/>
      </c>
      <c r="BZ143" s="33"/>
      <c r="CA143" s="33"/>
      <c r="CB143" s="85" t="str">
        <f t="shared" si="83"/>
        <v/>
      </c>
      <c r="CC143" s="33"/>
      <c r="CD143" s="33"/>
      <c r="CE143" s="85" t="str">
        <f t="shared" si="84"/>
        <v/>
      </c>
      <c r="CF143" s="33"/>
      <c r="CG143" s="33"/>
      <c r="CH143" s="85" t="str">
        <f t="shared" si="85"/>
        <v/>
      </c>
      <c r="CI143" s="33"/>
      <c r="CJ143" s="33"/>
      <c r="CK143" s="85" t="str">
        <f t="shared" si="86"/>
        <v/>
      </c>
      <c r="CL143" s="33"/>
      <c r="CM143" s="33"/>
      <c r="CN143" s="85" t="str">
        <f t="shared" si="87"/>
        <v/>
      </c>
      <c r="CO143" s="33"/>
      <c r="CP143" s="33"/>
      <c r="CQ143" s="85" t="str">
        <f t="shared" si="88"/>
        <v/>
      </c>
    </row>
    <row r="144" spans="1:95" ht="15" customHeight="1" x14ac:dyDescent="0.3">
      <c r="A144" s="31" t="s">
        <v>357</v>
      </c>
      <c r="B144" s="31" t="s">
        <v>349</v>
      </c>
      <c r="C144" s="30" t="s">
        <v>75</v>
      </c>
      <c r="D144" s="31" t="s">
        <v>1</v>
      </c>
      <c r="G144" s="85" t="str">
        <f t="shared" si="89"/>
        <v/>
      </c>
      <c r="H144" s="31"/>
      <c r="I144" s="31"/>
      <c r="J144" s="85" t="str">
        <f t="shared" si="60"/>
        <v/>
      </c>
      <c r="K144" s="31"/>
      <c r="L144" s="31"/>
      <c r="M144" s="85" t="str">
        <f t="shared" si="61"/>
        <v/>
      </c>
      <c r="N144" s="31"/>
      <c r="O144" s="31"/>
      <c r="P144" s="85" t="str">
        <f t="shared" si="62"/>
        <v/>
      </c>
      <c r="Q144" s="31"/>
      <c r="R144" s="31"/>
      <c r="S144" s="85" t="str">
        <f t="shared" si="63"/>
        <v/>
      </c>
      <c r="T144" s="31"/>
      <c r="U144" s="31"/>
      <c r="V144" s="85" t="str">
        <f t="shared" si="64"/>
        <v/>
      </c>
      <c r="W144" s="31"/>
      <c r="X144" s="31"/>
      <c r="Y144" s="85" t="str">
        <f t="shared" si="65"/>
        <v/>
      </c>
      <c r="Z144" s="31"/>
      <c r="AA144" s="31"/>
      <c r="AB144" s="85" t="str">
        <f t="shared" si="66"/>
        <v/>
      </c>
      <c r="AC144" s="31"/>
      <c r="AD144" s="31"/>
      <c r="AE144" s="85" t="str">
        <f t="shared" si="67"/>
        <v/>
      </c>
      <c r="AF144" s="31"/>
      <c r="AG144" s="31"/>
      <c r="AH144" s="85" t="str">
        <f t="shared" si="68"/>
        <v/>
      </c>
      <c r="AI144" s="31"/>
      <c r="AJ144" s="31"/>
      <c r="AK144" s="85" t="str">
        <f t="shared" si="69"/>
        <v/>
      </c>
      <c r="AL144" s="31"/>
      <c r="AM144" s="31"/>
      <c r="AN144" s="85" t="str">
        <f t="shared" si="70"/>
        <v/>
      </c>
      <c r="AO144" s="31"/>
      <c r="AP144" s="31"/>
      <c r="AQ144" s="85" t="str">
        <f t="shared" si="71"/>
        <v/>
      </c>
      <c r="AR144" s="31"/>
      <c r="AS144" s="31"/>
      <c r="AT144" s="85" t="str">
        <f t="shared" si="72"/>
        <v/>
      </c>
      <c r="AU144" s="31"/>
      <c r="AV144" s="31"/>
      <c r="AW144" s="85" t="str">
        <f t="shared" si="73"/>
        <v/>
      </c>
      <c r="AX144" s="33"/>
      <c r="AY144" s="31"/>
      <c r="AZ144" s="85" t="str">
        <f t="shared" si="74"/>
        <v/>
      </c>
      <c r="BA144" s="33"/>
      <c r="BB144" s="33"/>
      <c r="BC144" s="85" t="str">
        <f t="shared" si="75"/>
        <v/>
      </c>
      <c r="BD144" s="33">
        <v>3935</v>
      </c>
      <c r="BE144" s="33">
        <v>473000</v>
      </c>
      <c r="BF144" s="85">
        <f t="shared" si="76"/>
        <v>120.20330368487929</v>
      </c>
      <c r="BG144" s="33">
        <v>3300</v>
      </c>
      <c r="BH144" s="33">
        <v>402000</v>
      </c>
      <c r="BI144" s="85">
        <f t="shared" si="77"/>
        <v>121.81818181818181</v>
      </c>
      <c r="BJ144" s="33">
        <f>295+347+65+37+1775+622+719+226</f>
        <v>4086</v>
      </c>
      <c r="BK144" s="33">
        <f>31000+37000+8000+5000+241000+90000+123000+41000</f>
        <v>576000</v>
      </c>
      <c r="BL144" s="85">
        <f t="shared" si="78"/>
        <v>140.9691629955947</v>
      </c>
      <c r="BM144" s="33"/>
      <c r="BN144" s="33"/>
      <c r="BO144" s="85" t="str">
        <f t="shared" si="79"/>
        <v/>
      </c>
      <c r="BP144" s="33"/>
      <c r="BQ144" s="33"/>
      <c r="BR144" s="85" t="str">
        <f t="shared" si="80"/>
        <v/>
      </c>
      <c r="BS144" s="33"/>
      <c r="BT144" s="33"/>
      <c r="BU144" s="85" t="str">
        <f t="shared" si="81"/>
        <v/>
      </c>
      <c r="BV144" s="31"/>
      <c r="BW144" s="33"/>
      <c r="BX144" s="33"/>
      <c r="BY144" s="85" t="str">
        <f t="shared" si="82"/>
        <v/>
      </c>
      <c r="BZ144" s="33"/>
      <c r="CA144" s="33"/>
      <c r="CB144" s="85" t="str">
        <f t="shared" si="83"/>
        <v/>
      </c>
      <c r="CC144" s="33"/>
      <c r="CD144" s="33"/>
      <c r="CE144" s="85" t="str">
        <f t="shared" si="84"/>
        <v/>
      </c>
      <c r="CF144" s="33"/>
      <c r="CG144" s="33"/>
      <c r="CH144" s="85" t="str">
        <f t="shared" si="85"/>
        <v/>
      </c>
      <c r="CI144" s="33"/>
      <c r="CJ144" s="33"/>
      <c r="CK144" s="85" t="str">
        <f t="shared" si="86"/>
        <v/>
      </c>
      <c r="CL144" s="33"/>
      <c r="CM144" s="33"/>
      <c r="CN144" s="85" t="str">
        <f t="shared" si="87"/>
        <v/>
      </c>
      <c r="CO144" s="33"/>
      <c r="CP144" s="33"/>
      <c r="CQ144" s="85" t="str">
        <f t="shared" si="88"/>
        <v/>
      </c>
    </row>
    <row r="145" spans="1:95" ht="15" customHeight="1" x14ac:dyDescent="0.3">
      <c r="A145" s="31" t="s">
        <v>89</v>
      </c>
      <c r="B145" s="31" t="s">
        <v>345</v>
      </c>
      <c r="C145" s="30" t="s">
        <v>75</v>
      </c>
      <c r="D145" s="31" t="s">
        <v>1</v>
      </c>
      <c r="G145" s="85" t="str">
        <f t="shared" si="89"/>
        <v/>
      </c>
      <c r="H145" s="31"/>
      <c r="I145" s="31"/>
      <c r="J145" s="85" t="str">
        <f t="shared" si="60"/>
        <v/>
      </c>
      <c r="K145" s="31"/>
      <c r="L145" s="31"/>
      <c r="M145" s="85" t="str">
        <f t="shared" si="61"/>
        <v/>
      </c>
      <c r="N145" s="31"/>
      <c r="O145" s="31"/>
      <c r="P145" s="85" t="str">
        <f t="shared" si="62"/>
        <v/>
      </c>
      <c r="Q145" s="31"/>
      <c r="R145" s="31"/>
      <c r="S145" s="85" t="str">
        <f t="shared" si="63"/>
        <v/>
      </c>
      <c r="T145" s="31"/>
      <c r="U145" s="31"/>
      <c r="V145" s="85" t="str">
        <f t="shared" si="64"/>
        <v/>
      </c>
      <c r="W145" s="31"/>
      <c r="X145" s="31"/>
      <c r="Y145" s="85" t="str">
        <f t="shared" si="65"/>
        <v/>
      </c>
      <c r="Z145" s="31"/>
      <c r="AA145" s="31"/>
      <c r="AB145" s="85" t="str">
        <f t="shared" si="66"/>
        <v/>
      </c>
      <c r="AC145" s="31"/>
      <c r="AD145" s="31"/>
      <c r="AE145" s="85" t="str">
        <f t="shared" si="67"/>
        <v/>
      </c>
      <c r="AF145" s="31"/>
      <c r="AG145" s="31"/>
      <c r="AH145" s="85" t="str">
        <f t="shared" si="68"/>
        <v/>
      </c>
      <c r="AI145" s="31"/>
      <c r="AJ145" s="31"/>
      <c r="AK145" s="85" t="str">
        <f t="shared" si="69"/>
        <v/>
      </c>
      <c r="AL145" s="31"/>
      <c r="AM145" s="31"/>
      <c r="AN145" s="85" t="str">
        <f t="shared" si="70"/>
        <v/>
      </c>
      <c r="AO145" s="31"/>
      <c r="AP145" s="31"/>
      <c r="AQ145" s="85" t="str">
        <f t="shared" si="71"/>
        <v/>
      </c>
      <c r="AR145" s="31"/>
      <c r="AS145" s="31"/>
      <c r="AT145" s="85" t="str">
        <f t="shared" si="72"/>
        <v/>
      </c>
      <c r="AU145" s="31"/>
      <c r="AV145" s="31"/>
      <c r="AW145" s="85" t="str">
        <f t="shared" si="73"/>
        <v/>
      </c>
      <c r="AX145" s="33"/>
      <c r="AY145" s="31"/>
      <c r="AZ145" s="85" t="str">
        <f t="shared" si="74"/>
        <v/>
      </c>
      <c r="BA145" s="33">
        <v>63</v>
      </c>
      <c r="BB145" s="33">
        <v>91900</v>
      </c>
      <c r="BC145" s="85">
        <f t="shared" si="75"/>
        <v>1458.7301587301588</v>
      </c>
      <c r="BD145" s="33"/>
      <c r="BE145" s="33"/>
      <c r="BF145" s="85" t="str">
        <f t="shared" si="76"/>
        <v/>
      </c>
      <c r="BG145" s="33"/>
      <c r="BH145" s="33"/>
      <c r="BI145" s="85" t="str">
        <f t="shared" si="77"/>
        <v/>
      </c>
      <c r="BJ145" s="33"/>
      <c r="BK145" s="33"/>
      <c r="BL145" s="85" t="str">
        <f t="shared" si="78"/>
        <v/>
      </c>
      <c r="BM145" s="33"/>
      <c r="BN145" s="33"/>
      <c r="BO145" s="85" t="str">
        <f t="shared" si="79"/>
        <v/>
      </c>
      <c r="BP145" s="33"/>
      <c r="BQ145" s="33"/>
      <c r="BR145" s="85" t="str">
        <f t="shared" si="80"/>
        <v/>
      </c>
      <c r="BS145" s="33"/>
      <c r="BT145" s="33"/>
      <c r="BU145" s="85" t="str">
        <f t="shared" si="81"/>
        <v/>
      </c>
      <c r="BV145" s="31"/>
      <c r="BW145" s="33"/>
      <c r="BX145" s="33"/>
      <c r="BY145" s="85" t="str">
        <f t="shared" si="82"/>
        <v/>
      </c>
      <c r="BZ145" s="33"/>
      <c r="CA145" s="33"/>
      <c r="CB145" s="85" t="str">
        <f t="shared" si="83"/>
        <v/>
      </c>
      <c r="CC145" s="33"/>
      <c r="CD145" s="33"/>
      <c r="CE145" s="85" t="str">
        <f t="shared" si="84"/>
        <v/>
      </c>
      <c r="CF145" s="33"/>
      <c r="CG145" s="33"/>
      <c r="CH145" s="85" t="str">
        <f t="shared" si="85"/>
        <v/>
      </c>
      <c r="CI145" s="33"/>
      <c r="CJ145" s="33"/>
      <c r="CK145" s="85" t="str">
        <f t="shared" si="86"/>
        <v/>
      </c>
      <c r="CL145" s="33"/>
      <c r="CM145" s="33"/>
      <c r="CN145" s="85" t="str">
        <f t="shared" si="87"/>
        <v/>
      </c>
      <c r="CO145" s="33"/>
      <c r="CP145" s="33"/>
      <c r="CQ145" s="85" t="str">
        <f t="shared" si="88"/>
        <v/>
      </c>
    </row>
    <row r="146" spans="1:95" ht="15" customHeight="1" x14ac:dyDescent="0.3">
      <c r="A146" s="31" t="s">
        <v>240</v>
      </c>
      <c r="C146" s="30" t="s">
        <v>75</v>
      </c>
      <c r="D146" s="31" t="s">
        <v>1</v>
      </c>
      <c r="G146" s="85" t="str">
        <f t="shared" si="89"/>
        <v/>
      </c>
      <c r="H146" s="31"/>
      <c r="I146" s="31"/>
      <c r="J146" s="85" t="str">
        <f t="shared" si="60"/>
        <v/>
      </c>
      <c r="K146" s="31"/>
      <c r="L146" s="31"/>
      <c r="M146" s="85" t="str">
        <f t="shared" si="61"/>
        <v/>
      </c>
      <c r="N146" s="31"/>
      <c r="O146" s="31"/>
      <c r="P146" s="85" t="str">
        <f t="shared" si="62"/>
        <v/>
      </c>
      <c r="Q146" s="31"/>
      <c r="R146" s="31"/>
      <c r="S146" s="85" t="str">
        <f t="shared" si="63"/>
        <v/>
      </c>
      <c r="T146" s="31"/>
      <c r="U146" s="31"/>
      <c r="V146" s="85" t="str">
        <f t="shared" si="64"/>
        <v/>
      </c>
      <c r="W146" s="31"/>
      <c r="X146" s="31"/>
      <c r="Y146" s="85" t="str">
        <f t="shared" si="65"/>
        <v/>
      </c>
      <c r="Z146" s="31"/>
      <c r="AA146" s="31"/>
      <c r="AB146" s="85" t="str">
        <f t="shared" si="66"/>
        <v/>
      </c>
      <c r="AC146" s="31"/>
      <c r="AD146" s="31"/>
      <c r="AE146" s="85" t="str">
        <f t="shared" si="67"/>
        <v/>
      </c>
      <c r="AF146" s="31"/>
      <c r="AG146" s="31"/>
      <c r="AH146" s="85" t="str">
        <f t="shared" si="68"/>
        <v/>
      </c>
      <c r="AI146" s="31"/>
      <c r="AJ146" s="31"/>
      <c r="AK146" s="85" t="str">
        <f t="shared" si="69"/>
        <v/>
      </c>
      <c r="AL146" s="31"/>
      <c r="AM146" s="31"/>
      <c r="AN146" s="85" t="str">
        <f t="shared" si="70"/>
        <v/>
      </c>
      <c r="AO146" s="31"/>
      <c r="AP146" s="31"/>
      <c r="AQ146" s="85" t="str">
        <f t="shared" si="71"/>
        <v/>
      </c>
      <c r="AR146" s="66"/>
      <c r="AS146" s="66"/>
      <c r="AT146" s="85" t="str">
        <f t="shared" si="72"/>
        <v/>
      </c>
      <c r="AU146" s="66"/>
      <c r="AV146" s="66"/>
      <c r="AW146" s="85" t="str">
        <f t="shared" si="73"/>
        <v/>
      </c>
      <c r="AX146" s="33"/>
      <c r="AY146" s="66"/>
      <c r="AZ146" s="85" t="str">
        <f t="shared" si="74"/>
        <v/>
      </c>
      <c r="BA146" s="33"/>
      <c r="BB146" s="66"/>
      <c r="BC146" s="85" t="str">
        <f t="shared" si="75"/>
        <v/>
      </c>
      <c r="BD146" s="33"/>
      <c r="BE146" s="66"/>
      <c r="BF146" s="85" t="str">
        <f t="shared" si="76"/>
        <v/>
      </c>
      <c r="BG146" s="33"/>
      <c r="BH146" s="66"/>
      <c r="BI146" s="85" t="str">
        <f t="shared" si="77"/>
        <v/>
      </c>
      <c r="BJ146" s="33"/>
      <c r="BK146" s="33"/>
      <c r="BL146" s="85" t="str">
        <f t="shared" si="78"/>
        <v/>
      </c>
      <c r="BM146" s="33"/>
      <c r="BN146" s="33"/>
      <c r="BO146" s="85" t="str">
        <f t="shared" si="79"/>
        <v/>
      </c>
      <c r="BP146" s="33"/>
      <c r="BQ146" s="33"/>
      <c r="BR146" s="85" t="str">
        <f t="shared" si="80"/>
        <v/>
      </c>
      <c r="BS146" s="33"/>
      <c r="BT146" s="33"/>
      <c r="BU146" s="85" t="str">
        <f t="shared" si="81"/>
        <v/>
      </c>
      <c r="BV146" s="66"/>
      <c r="BW146" s="66"/>
      <c r="BX146" s="66"/>
      <c r="BY146" s="85" t="str">
        <f t="shared" si="82"/>
        <v/>
      </c>
      <c r="BZ146" s="66"/>
      <c r="CA146" s="66"/>
      <c r="CB146" s="85" t="str">
        <f t="shared" si="83"/>
        <v/>
      </c>
      <c r="CC146" s="66"/>
      <c r="CD146" s="66"/>
      <c r="CE146" s="85" t="str">
        <f t="shared" si="84"/>
        <v/>
      </c>
      <c r="CF146" s="66"/>
      <c r="CG146" s="66"/>
      <c r="CH146" s="85" t="str">
        <f t="shared" si="85"/>
        <v/>
      </c>
      <c r="CI146" s="31"/>
      <c r="CJ146" s="66">
        <v>579000</v>
      </c>
      <c r="CK146" s="85" t="str">
        <f t="shared" si="86"/>
        <v/>
      </c>
      <c r="CL146" s="33"/>
      <c r="CM146" s="33"/>
      <c r="CN146" s="85" t="str">
        <f t="shared" si="87"/>
        <v/>
      </c>
      <c r="CO146" s="33"/>
      <c r="CP146" s="33"/>
      <c r="CQ146" s="85" t="str">
        <f t="shared" si="88"/>
        <v/>
      </c>
    </row>
    <row r="147" spans="1:95" ht="15" customHeight="1" x14ac:dyDescent="0.3">
      <c r="A147" s="31" t="s">
        <v>241</v>
      </c>
      <c r="C147" s="30" t="s">
        <v>75</v>
      </c>
      <c r="D147" s="31" t="s">
        <v>1</v>
      </c>
      <c r="G147" s="85" t="str">
        <f t="shared" si="89"/>
        <v/>
      </c>
      <c r="H147" s="31"/>
      <c r="I147" s="31"/>
      <c r="J147" s="85" t="str">
        <f t="shared" si="60"/>
        <v/>
      </c>
      <c r="K147" s="31"/>
      <c r="L147" s="31"/>
      <c r="M147" s="85" t="str">
        <f t="shared" si="61"/>
        <v/>
      </c>
      <c r="N147" s="31"/>
      <c r="O147" s="31"/>
      <c r="P147" s="85" t="str">
        <f t="shared" si="62"/>
        <v/>
      </c>
      <c r="Q147" s="31"/>
      <c r="R147" s="31"/>
      <c r="S147" s="85" t="str">
        <f t="shared" si="63"/>
        <v/>
      </c>
      <c r="T147" s="31"/>
      <c r="U147" s="31"/>
      <c r="V147" s="85" t="str">
        <f t="shared" si="64"/>
        <v/>
      </c>
      <c r="W147" s="31"/>
      <c r="X147" s="31"/>
      <c r="Y147" s="85" t="str">
        <f t="shared" si="65"/>
        <v/>
      </c>
      <c r="Z147" s="31"/>
      <c r="AA147" s="31"/>
      <c r="AB147" s="85" t="str">
        <f t="shared" si="66"/>
        <v/>
      </c>
      <c r="AC147" s="31"/>
      <c r="AD147" s="31"/>
      <c r="AE147" s="85" t="str">
        <f t="shared" si="67"/>
        <v/>
      </c>
      <c r="AF147" s="31"/>
      <c r="AG147" s="31"/>
      <c r="AH147" s="85" t="str">
        <f t="shared" si="68"/>
        <v/>
      </c>
      <c r="AI147" s="31"/>
      <c r="AJ147" s="31"/>
      <c r="AK147" s="85" t="str">
        <f t="shared" si="69"/>
        <v/>
      </c>
      <c r="AL147" s="31"/>
      <c r="AM147" s="31"/>
      <c r="AN147" s="85" t="str">
        <f t="shared" si="70"/>
        <v/>
      </c>
      <c r="AO147" s="31"/>
      <c r="AP147" s="31"/>
      <c r="AQ147" s="85" t="str">
        <f t="shared" si="71"/>
        <v/>
      </c>
      <c r="AR147" s="31"/>
      <c r="AS147" s="31"/>
      <c r="AT147" s="85" t="str">
        <f t="shared" si="72"/>
        <v/>
      </c>
      <c r="AU147" s="31"/>
      <c r="AV147" s="31"/>
      <c r="AW147" s="85" t="str">
        <f t="shared" si="73"/>
        <v/>
      </c>
      <c r="AX147" s="33"/>
      <c r="AY147" s="31"/>
      <c r="AZ147" s="85" t="str">
        <f t="shared" si="74"/>
        <v/>
      </c>
      <c r="BA147" s="33"/>
      <c r="BB147" s="31"/>
      <c r="BC147" s="85" t="str">
        <f t="shared" si="75"/>
        <v/>
      </c>
      <c r="BD147" s="33"/>
      <c r="BE147" s="31"/>
      <c r="BF147" s="85" t="str">
        <f t="shared" si="76"/>
        <v/>
      </c>
      <c r="BG147" s="33"/>
      <c r="BH147" s="31"/>
      <c r="BI147" s="85" t="str">
        <f t="shared" si="77"/>
        <v/>
      </c>
      <c r="BJ147" s="33"/>
      <c r="BK147" s="33"/>
      <c r="BL147" s="85" t="str">
        <f t="shared" si="78"/>
        <v/>
      </c>
      <c r="BM147" s="33"/>
      <c r="BN147" s="33"/>
      <c r="BO147" s="85" t="str">
        <f t="shared" si="79"/>
        <v/>
      </c>
      <c r="BP147" s="33"/>
      <c r="BQ147" s="33"/>
      <c r="BR147" s="85" t="str">
        <f t="shared" si="80"/>
        <v/>
      </c>
      <c r="BS147" s="33"/>
      <c r="BT147" s="33"/>
      <c r="BU147" s="85" t="str">
        <f t="shared" si="81"/>
        <v/>
      </c>
      <c r="BV147" s="31" t="s">
        <v>1</v>
      </c>
      <c r="BW147" s="31"/>
      <c r="BX147" s="31"/>
      <c r="BY147" s="85" t="str">
        <f t="shared" si="82"/>
        <v/>
      </c>
      <c r="BZ147" s="31"/>
      <c r="CA147" s="31"/>
      <c r="CB147" s="85" t="str">
        <f t="shared" si="83"/>
        <v/>
      </c>
      <c r="CC147" s="31"/>
      <c r="CD147" s="31"/>
      <c r="CE147" s="85" t="str">
        <f t="shared" si="84"/>
        <v/>
      </c>
      <c r="CH147" s="85" t="str">
        <f t="shared" si="85"/>
        <v/>
      </c>
      <c r="CI147" s="66">
        <v>12341</v>
      </c>
      <c r="CJ147" s="66">
        <v>589000</v>
      </c>
      <c r="CK147" s="85">
        <f t="shared" si="86"/>
        <v>47.727088566566728</v>
      </c>
      <c r="CL147" s="33"/>
      <c r="CM147" s="33"/>
      <c r="CN147" s="85" t="str">
        <f t="shared" si="87"/>
        <v/>
      </c>
      <c r="CO147" s="33"/>
      <c r="CP147" s="33"/>
      <c r="CQ147" s="85" t="str">
        <f t="shared" si="88"/>
        <v/>
      </c>
    </row>
    <row r="148" spans="1:95" ht="15" customHeight="1" x14ac:dyDescent="0.3">
      <c r="A148" s="31" t="s">
        <v>242</v>
      </c>
      <c r="C148" s="30" t="s">
        <v>75</v>
      </c>
      <c r="D148" s="31" t="s">
        <v>1</v>
      </c>
      <c r="G148" s="85" t="str">
        <f t="shared" si="89"/>
        <v/>
      </c>
      <c r="H148" s="31"/>
      <c r="I148" s="31"/>
      <c r="J148" s="85" t="str">
        <f t="shared" si="60"/>
        <v/>
      </c>
      <c r="K148" s="31"/>
      <c r="L148" s="31"/>
      <c r="M148" s="85" t="str">
        <f t="shared" si="61"/>
        <v/>
      </c>
      <c r="N148" s="31"/>
      <c r="O148" s="31"/>
      <c r="P148" s="85" t="str">
        <f t="shared" si="62"/>
        <v/>
      </c>
      <c r="Q148" s="31"/>
      <c r="R148" s="31"/>
      <c r="S148" s="85" t="str">
        <f t="shared" si="63"/>
        <v/>
      </c>
      <c r="T148" s="31"/>
      <c r="U148" s="31"/>
      <c r="V148" s="85" t="str">
        <f t="shared" si="64"/>
        <v/>
      </c>
      <c r="W148" s="31"/>
      <c r="X148" s="31"/>
      <c r="Y148" s="85" t="str">
        <f t="shared" si="65"/>
        <v/>
      </c>
      <c r="Z148" s="31"/>
      <c r="AA148" s="31"/>
      <c r="AB148" s="85" t="str">
        <f t="shared" si="66"/>
        <v/>
      </c>
      <c r="AC148" s="31"/>
      <c r="AD148" s="31"/>
      <c r="AE148" s="85" t="str">
        <f t="shared" si="67"/>
        <v/>
      </c>
      <c r="AF148" s="31"/>
      <c r="AG148" s="31"/>
      <c r="AH148" s="85" t="str">
        <f t="shared" si="68"/>
        <v/>
      </c>
      <c r="AI148" s="31"/>
      <c r="AJ148" s="31"/>
      <c r="AK148" s="85" t="str">
        <f t="shared" si="69"/>
        <v/>
      </c>
      <c r="AL148" s="31"/>
      <c r="AM148" s="31"/>
      <c r="AN148" s="85" t="str">
        <f t="shared" si="70"/>
        <v/>
      </c>
      <c r="AO148" s="31"/>
      <c r="AP148" s="31"/>
      <c r="AQ148" s="85" t="str">
        <f t="shared" si="71"/>
        <v/>
      </c>
      <c r="AR148" s="31"/>
      <c r="AS148" s="31"/>
      <c r="AT148" s="85" t="str">
        <f t="shared" si="72"/>
        <v/>
      </c>
      <c r="AU148" s="31"/>
      <c r="AV148" s="31"/>
      <c r="AW148" s="85" t="str">
        <f t="shared" si="73"/>
        <v/>
      </c>
      <c r="AX148" s="33"/>
      <c r="AY148" s="31"/>
      <c r="AZ148" s="85" t="str">
        <f t="shared" si="74"/>
        <v/>
      </c>
      <c r="BA148" s="33"/>
      <c r="BB148" s="31"/>
      <c r="BC148" s="85" t="str">
        <f t="shared" si="75"/>
        <v/>
      </c>
      <c r="BD148" s="33"/>
      <c r="BE148" s="31"/>
      <c r="BF148" s="85" t="str">
        <f t="shared" si="76"/>
        <v/>
      </c>
      <c r="BG148" s="33"/>
      <c r="BH148" s="31"/>
      <c r="BI148" s="85" t="str">
        <f t="shared" si="77"/>
        <v/>
      </c>
      <c r="BJ148" s="33"/>
      <c r="BK148" s="33"/>
      <c r="BL148" s="85" t="str">
        <f t="shared" si="78"/>
        <v/>
      </c>
      <c r="BM148" s="33"/>
      <c r="BN148" s="33"/>
      <c r="BO148" s="85" t="str">
        <f t="shared" si="79"/>
        <v/>
      </c>
      <c r="BP148" s="33"/>
      <c r="BQ148" s="33"/>
      <c r="BR148" s="85" t="str">
        <f t="shared" si="80"/>
        <v/>
      </c>
      <c r="BS148" s="33"/>
      <c r="BT148" s="33"/>
      <c r="BU148" s="85" t="str">
        <f t="shared" si="81"/>
        <v/>
      </c>
      <c r="BV148" s="31" t="s">
        <v>1</v>
      </c>
      <c r="BW148" s="31"/>
      <c r="BX148" s="31"/>
      <c r="BY148" s="85" t="str">
        <f t="shared" si="82"/>
        <v/>
      </c>
      <c r="BZ148" s="31"/>
      <c r="CA148" s="31"/>
      <c r="CB148" s="85" t="str">
        <f t="shared" si="83"/>
        <v/>
      </c>
      <c r="CC148" s="31"/>
      <c r="CD148" s="31"/>
      <c r="CE148" s="85" t="str">
        <f t="shared" si="84"/>
        <v/>
      </c>
      <c r="CH148" s="85" t="str">
        <f t="shared" si="85"/>
        <v/>
      </c>
      <c r="CI148" s="66">
        <v>579749</v>
      </c>
      <c r="CJ148" s="66">
        <v>4941000</v>
      </c>
      <c r="CK148" s="85">
        <f t="shared" si="86"/>
        <v>8.5226537691311233</v>
      </c>
      <c r="CL148" s="33"/>
      <c r="CM148" s="33"/>
      <c r="CN148" s="85" t="str">
        <f t="shared" si="87"/>
        <v/>
      </c>
      <c r="CO148" s="33"/>
      <c r="CP148" s="33"/>
      <c r="CQ148" s="85" t="str">
        <f t="shared" si="88"/>
        <v/>
      </c>
    </row>
    <row r="149" spans="1:95" ht="15" customHeight="1" x14ac:dyDescent="0.3">
      <c r="A149" s="31" t="s">
        <v>243</v>
      </c>
      <c r="C149" s="30" t="s">
        <v>75</v>
      </c>
      <c r="D149" s="31" t="s">
        <v>1</v>
      </c>
      <c r="G149" s="85" t="str">
        <f t="shared" si="89"/>
        <v/>
      </c>
      <c r="H149" s="31"/>
      <c r="I149" s="31"/>
      <c r="J149" s="85" t="str">
        <f t="shared" si="60"/>
        <v/>
      </c>
      <c r="K149" s="31"/>
      <c r="L149" s="31"/>
      <c r="M149" s="85" t="str">
        <f t="shared" si="61"/>
        <v/>
      </c>
      <c r="N149" s="31"/>
      <c r="O149" s="31"/>
      <c r="P149" s="85" t="str">
        <f t="shared" si="62"/>
        <v/>
      </c>
      <c r="Q149" s="31"/>
      <c r="R149" s="31"/>
      <c r="S149" s="85" t="str">
        <f t="shared" si="63"/>
        <v/>
      </c>
      <c r="T149" s="31"/>
      <c r="U149" s="31"/>
      <c r="V149" s="85" t="str">
        <f t="shared" si="64"/>
        <v/>
      </c>
      <c r="W149" s="31"/>
      <c r="X149" s="31"/>
      <c r="Y149" s="85" t="str">
        <f t="shared" si="65"/>
        <v/>
      </c>
      <c r="Z149" s="31"/>
      <c r="AA149" s="31"/>
      <c r="AB149" s="85" t="str">
        <f t="shared" si="66"/>
        <v/>
      </c>
      <c r="AC149" s="31"/>
      <c r="AD149" s="31"/>
      <c r="AE149" s="85" t="str">
        <f t="shared" si="67"/>
        <v/>
      </c>
      <c r="AF149" s="31"/>
      <c r="AG149" s="31"/>
      <c r="AH149" s="85" t="str">
        <f t="shared" si="68"/>
        <v/>
      </c>
      <c r="AI149" s="31"/>
      <c r="AJ149" s="31"/>
      <c r="AK149" s="85" t="str">
        <f t="shared" si="69"/>
        <v/>
      </c>
      <c r="AL149" s="31"/>
      <c r="AM149" s="31"/>
      <c r="AN149" s="85" t="str">
        <f t="shared" si="70"/>
        <v/>
      </c>
      <c r="AO149" s="31"/>
      <c r="AP149" s="31"/>
      <c r="AQ149" s="85" t="str">
        <f t="shared" si="71"/>
        <v/>
      </c>
      <c r="AR149" s="31"/>
      <c r="AS149" s="31"/>
      <c r="AT149" s="85" t="str">
        <f t="shared" si="72"/>
        <v/>
      </c>
      <c r="AU149" s="31"/>
      <c r="AV149" s="31"/>
      <c r="AW149" s="85" t="str">
        <f t="shared" si="73"/>
        <v/>
      </c>
      <c r="AX149" s="33"/>
      <c r="AY149" s="31"/>
      <c r="AZ149" s="85" t="str">
        <f t="shared" si="74"/>
        <v/>
      </c>
      <c r="BA149" s="33"/>
      <c r="BB149" s="31"/>
      <c r="BC149" s="85" t="str">
        <f t="shared" si="75"/>
        <v/>
      </c>
      <c r="BD149" s="33"/>
      <c r="BE149" s="31"/>
      <c r="BF149" s="85" t="str">
        <f t="shared" si="76"/>
        <v/>
      </c>
      <c r="BG149" s="33"/>
      <c r="BH149" s="31"/>
      <c r="BI149" s="85" t="str">
        <f t="shared" si="77"/>
        <v/>
      </c>
      <c r="BJ149" s="33"/>
      <c r="BK149" s="33"/>
      <c r="BL149" s="85" t="str">
        <f t="shared" si="78"/>
        <v/>
      </c>
      <c r="BM149" s="33"/>
      <c r="BN149" s="33"/>
      <c r="BO149" s="85" t="str">
        <f t="shared" si="79"/>
        <v/>
      </c>
      <c r="BP149" s="33"/>
      <c r="BQ149" s="33"/>
      <c r="BR149" s="85" t="str">
        <f t="shared" si="80"/>
        <v/>
      </c>
      <c r="BS149" s="33"/>
      <c r="BT149" s="33"/>
      <c r="BU149" s="85" t="str">
        <f t="shared" si="81"/>
        <v/>
      </c>
      <c r="BV149" s="31" t="s">
        <v>1</v>
      </c>
      <c r="BW149" s="31"/>
      <c r="BX149" s="31"/>
      <c r="BY149" s="85" t="str">
        <f t="shared" si="82"/>
        <v/>
      </c>
      <c r="BZ149" s="31"/>
      <c r="CA149" s="31"/>
      <c r="CB149" s="85" t="str">
        <f t="shared" si="83"/>
        <v/>
      </c>
      <c r="CC149" s="31"/>
      <c r="CD149" s="31"/>
      <c r="CE149" s="85" t="str">
        <f t="shared" si="84"/>
        <v/>
      </c>
      <c r="CH149" s="85" t="str">
        <f t="shared" si="85"/>
        <v/>
      </c>
      <c r="CI149" s="66">
        <v>38420</v>
      </c>
      <c r="CJ149" s="66">
        <v>321000</v>
      </c>
      <c r="CK149" s="85">
        <f t="shared" si="86"/>
        <v>8.3550234252993238</v>
      </c>
      <c r="CL149" s="33"/>
      <c r="CM149" s="33"/>
      <c r="CN149" s="85" t="str">
        <f t="shared" si="87"/>
        <v/>
      </c>
      <c r="CO149" s="33"/>
      <c r="CP149" s="33"/>
      <c r="CQ149" s="85" t="str">
        <f t="shared" si="88"/>
        <v/>
      </c>
    </row>
    <row r="150" spans="1:95" ht="15" customHeight="1" x14ac:dyDescent="0.3">
      <c r="A150" s="31" t="s">
        <v>244</v>
      </c>
      <c r="C150" s="30" t="s">
        <v>75</v>
      </c>
      <c r="D150" s="31" t="s">
        <v>1</v>
      </c>
      <c r="G150" s="85" t="str">
        <f t="shared" si="89"/>
        <v/>
      </c>
      <c r="H150" s="31"/>
      <c r="I150" s="31"/>
      <c r="J150" s="85" t="str">
        <f t="shared" si="60"/>
        <v/>
      </c>
      <c r="K150" s="31"/>
      <c r="L150" s="31"/>
      <c r="M150" s="85" t="str">
        <f t="shared" si="61"/>
        <v/>
      </c>
      <c r="N150" s="31"/>
      <c r="O150" s="31"/>
      <c r="P150" s="85" t="str">
        <f t="shared" si="62"/>
        <v/>
      </c>
      <c r="Q150" s="31"/>
      <c r="R150" s="31"/>
      <c r="S150" s="85" t="str">
        <f t="shared" si="63"/>
        <v/>
      </c>
      <c r="T150" s="31"/>
      <c r="U150" s="31"/>
      <c r="V150" s="85" t="str">
        <f t="shared" si="64"/>
        <v/>
      </c>
      <c r="W150" s="31"/>
      <c r="X150" s="31"/>
      <c r="Y150" s="85" t="str">
        <f t="shared" si="65"/>
        <v/>
      </c>
      <c r="Z150" s="31"/>
      <c r="AA150" s="31"/>
      <c r="AB150" s="85" t="str">
        <f t="shared" si="66"/>
        <v/>
      </c>
      <c r="AC150" s="31"/>
      <c r="AD150" s="31"/>
      <c r="AE150" s="85" t="str">
        <f t="shared" si="67"/>
        <v/>
      </c>
      <c r="AF150" s="31"/>
      <c r="AG150" s="31"/>
      <c r="AH150" s="85" t="str">
        <f t="shared" si="68"/>
        <v/>
      </c>
      <c r="AI150" s="31"/>
      <c r="AJ150" s="31"/>
      <c r="AK150" s="85" t="str">
        <f t="shared" si="69"/>
        <v/>
      </c>
      <c r="AL150" s="31"/>
      <c r="AM150" s="31"/>
      <c r="AN150" s="85" t="str">
        <f t="shared" si="70"/>
        <v/>
      </c>
      <c r="AO150" s="31"/>
      <c r="AP150" s="31"/>
      <c r="AQ150" s="85" t="str">
        <f t="shared" si="71"/>
        <v/>
      </c>
      <c r="AR150" s="31"/>
      <c r="AS150" s="31"/>
      <c r="AT150" s="85" t="str">
        <f t="shared" si="72"/>
        <v/>
      </c>
      <c r="AU150" s="31"/>
      <c r="AV150" s="31"/>
      <c r="AW150" s="85" t="str">
        <f t="shared" si="73"/>
        <v/>
      </c>
      <c r="AX150" s="33"/>
      <c r="AY150" s="31"/>
      <c r="AZ150" s="85" t="str">
        <f t="shared" si="74"/>
        <v/>
      </c>
      <c r="BA150" s="33"/>
      <c r="BB150" s="31"/>
      <c r="BC150" s="85" t="str">
        <f t="shared" si="75"/>
        <v/>
      </c>
      <c r="BD150" s="33"/>
      <c r="BE150" s="31"/>
      <c r="BF150" s="85" t="str">
        <f t="shared" si="76"/>
        <v/>
      </c>
      <c r="BG150" s="33"/>
      <c r="BH150" s="31"/>
      <c r="BI150" s="85" t="str">
        <f t="shared" si="77"/>
        <v/>
      </c>
      <c r="BJ150" s="33"/>
      <c r="BK150" s="33"/>
      <c r="BL150" s="85" t="str">
        <f t="shared" si="78"/>
        <v/>
      </c>
      <c r="BM150" s="33"/>
      <c r="BN150" s="33"/>
      <c r="BO150" s="85" t="str">
        <f t="shared" si="79"/>
        <v/>
      </c>
      <c r="BP150" s="33"/>
      <c r="BQ150" s="33"/>
      <c r="BR150" s="85" t="str">
        <f t="shared" si="80"/>
        <v/>
      </c>
      <c r="BS150" s="33"/>
      <c r="BT150" s="33"/>
      <c r="BU150" s="85" t="str">
        <f t="shared" si="81"/>
        <v/>
      </c>
      <c r="BV150" s="31" t="s">
        <v>1</v>
      </c>
      <c r="BW150" s="31"/>
      <c r="BX150" s="31"/>
      <c r="BY150" s="85" t="str">
        <f t="shared" si="82"/>
        <v/>
      </c>
      <c r="BZ150" s="31"/>
      <c r="CA150" s="31"/>
      <c r="CB150" s="85" t="str">
        <f t="shared" si="83"/>
        <v/>
      </c>
      <c r="CC150" s="31"/>
      <c r="CD150" s="31"/>
      <c r="CE150" s="85" t="str">
        <f t="shared" si="84"/>
        <v/>
      </c>
      <c r="CH150" s="85" t="str">
        <f t="shared" si="85"/>
        <v/>
      </c>
      <c r="CI150" s="66">
        <v>2856</v>
      </c>
      <c r="CJ150" s="66">
        <v>21000</v>
      </c>
      <c r="CK150" s="85">
        <f t="shared" si="86"/>
        <v>7.3529411764705879</v>
      </c>
      <c r="CL150" s="33"/>
      <c r="CM150" s="33"/>
      <c r="CN150" s="85" t="str">
        <f t="shared" si="87"/>
        <v/>
      </c>
      <c r="CO150" s="33"/>
      <c r="CP150" s="33"/>
      <c r="CQ150" s="85" t="str">
        <f t="shared" si="88"/>
        <v/>
      </c>
    </row>
    <row r="151" spans="1:95" ht="15" customHeight="1" x14ac:dyDescent="0.3">
      <c r="A151" s="31" t="s">
        <v>246</v>
      </c>
      <c r="C151" s="30" t="s">
        <v>75</v>
      </c>
      <c r="D151" s="31" t="s">
        <v>1</v>
      </c>
      <c r="G151" s="85" t="str">
        <f t="shared" si="89"/>
        <v/>
      </c>
      <c r="H151" s="31"/>
      <c r="I151" s="31"/>
      <c r="J151" s="85" t="str">
        <f t="shared" si="60"/>
        <v/>
      </c>
      <c r="K151" s="31"/>
      <c r="L151" s="31"/>
      <c r="M151" s="85" t="str">
        <f t="shared" si="61"/>
        <v/>
      </c>
      <c r="N151" s="31"/>
      <c r="O151" s="31"/>
      <c r="P151" s="85" t="str">
        <f t="shared" si="62"/>
        <v/>
      </c>
      <c r="Q151" s="31"/>
      <c r="R151" s="31"/>
      <c r="S151" s="85" t="str">
        <f t="shared" si="63"/>
        <v/>
      </c>
      <c r="T151" s="31"/>
      <c r="U151" s="31"/>
      <c r="V151" s="85" t="str">
        <f t="shared" si="64"/>
        <v/>
      </c>
      <c r="W151" s="31"/>
      <c r="X151" s="31"/>
      <c r="Y151" s="85" t="str">
        <f t="shared" si="65"/>
        <v/>
      </c>
      <c r="Z151" s="31"/>
      <c r="AA151" s="31"/>
      <c r="AB151" s="85" t="str">
        <f t="shared" si="66"/>
        <v/>
      </c>
      <c r="AC151" s="31"/>
      <c r="AD151" s="31"/>
      <c r="AE151" s="85" t="str">
        <f t="shared" si="67"/>
        <v/>
      </c>
      <c r="AF151" s="31"/>
      <c r="AG151" s="31"/>
      <c r="AH151" s="85" t="str">
        <f t="shared" si="68"/>
        <v/>
      </c>
      <c r="AI151" s="31"/>
      <c r="AJ151" s="31"/>
      <c r="AK151" s="85" t="str">
        <f t="shared" si="69"/>
        <v/>
      </c>
      <c r="AL151" s="31"/>
      <c r="AM151" s="31"/>
      <c r="AN151" s="85" t="str">
        <f t="shared" si="70"/>
        <v/>
      </c>
      <c r="AO151" s="31"/>
      <c r="AP151" s="31"/>
      <c r="AQ151" s="85" t="str">
        <f t="shared" si="71"/>
        <v/>
      </c>
      <c r="AR151" s="31"/>
      <c r="AS151" s="31"/>
      <c r="AT151" s="85" t="str">
        <f t="shared" si="72"/>
        <v/>
      </c>
      <c r="AU151" s="31"/>
      <c r="AV151" s="31"/>
      <c r="AW151" s="85" t="str">
        <f t="shared" si="73"/>
        <v/>
      </c>
      <c r="AX151" s="33"/>
      <c r="AY151" s="31"/>
      <c r="AZ151" s="85" t="str">
        <f t="shared" si="74"/>
        <v/>
      </c>
      <c r="BA151" s="33"/>
      <c r="BB151" s="31"/>
      <c r="BC151" s="85" t="str">
        <f t="shared" si="75"/>
        <v/>
      </c>
      <c r="BD151" s="33"/>
      <c r="BE151" s="31"/>
      <c r="BF151" s="85" t="str">
        <f t="shared" si="76"/>
        <v/>
      </c>
      <c r="BG151" s="33"/>
      <c r="BH151" s="31"/>
      <c r="BI151" s="85" t="str">
        <f t="shared" si="77"/>
        <v/>
      </c>
      <c r="BJ151" s="33"/>
      <c r="BK151" s="33"/>
      <c r="BL151" s="85" t="str">
        <f t="shared" si="78"/>
        <v/>
      </c>
      <c r="BM151" s="33"/>
      <c r="BN151" s="33"/>
      <c r="BO151" s="85" t="str">
        <f t="shared" si="79"/>
        <v/>
      </c>
      <c r="BP151" s="33"/>
      <c r="BQ151" s="33"/>
      <c r="BR151" s="85" t="str">
        <f t="shared" si="80"/>
        <v/>
      </c>
      <c r="BS151" s="33"/>
      <c r="BT151" s="33"/>
      <c r="BU151" s="85" t="str">
        <f t="shared" si="81"/>
        <v/>
      </c>
      <c r="BV151" s="31" t="s">
        <v>1</v>
      </c>
      <c r="BW151" s="31"/>
      <c r="BX151" s="31"/>
      <c r="BY151" s="85" t="str">
        <f t="shared" si="82"/>
        <v/>
      </c>
      <c r="BZ151" s="31"/>
      <c r="CA151" s="31"/>
      <c r="CB151" s="85" t="str">
        <f t="shared" si="83"/>
        <v/>
      </c>
      <c r="CC151" s="31"/>
      <c r="CD151" s="31"/>
      <c r="CE151" s="85" t="str">
        <f t="shared" si="84"/>
        <v/>
      </c>
      <c r="CH151" s="85" t="str">
        <f t="shared" si="85"/>
        <v/>
      </c>
      <c r="CI151" s="66">
        <v>22431</v>
      </c>
      <c r="CJ151" s="66">
        <v>1146000</v>
      </c>
      <c r="CK151" s="85">
        <f t="shared" si="86"/>
        <v>51.090009362043602</v>
      </c>
      <c r="CL151" s="33"/>
      <c r="CM151" s="33"/>
      <c r="CN151" s="85" t="str">
        <f t="shared" si="87"/>
        <v/>
      </c>
      <c r="CO151" s="33"/>
      <c r="CP151" s="33"/>
      <c r="CQ151" s="85" t="str">
        <f t="shared" si="88"/>
        <v/>
      </c>
    </row>
    <row r="152" spans="1:95" ht="15" customHeight="1" x14ac:dyDescent="0.3">
      <c r="A152" s="31" t="s">
        <v>247</v>
      </c>
      <c r="C152" s="30" t="s">
        <v>75</v>
      </c>
      <c r="D152" s="31" t="s">
        <v>1</v>
      </c>
      <c r="G152" s="85" t="str">
        <f t="shared" si="89"/>
        <v/>
      </c>
      <c r="H152" s="31"/>
      <c r="I152" s="31"/>
      <c r="J152" s="85" t="str">
        <f t="shared" si="60"/>
        <v/>
      </c>
      <c r="K152" s="31"/>
      <c r="L152" s="31"/>
      <c r="M152" s="85" t="str">
        <f t="shared" si="61"/>
        <v/>
      </c>
      <c r="N152" s="31"/>
      <c r="O152" s="31"/>
      <c r="P152" s="85" t="str">
        <f t="shared" si="62"/>
        <v/>
      </c>
      <c r="Q152" s="31"/>
      <c r="R152" s="31"/>
      <c r="S152" s="85" t="str">
        <f t="shared" si="63"/>
        <v/>
      </c>
      <c r="T152" s="31"/>
      <c r="U152" s="31"/>
      <c r="V152" s="85" t="str">
        <f t="shared" si="64"/>
        <v/>
      </c>
      <c r="W152" s="31"/>
      <c r="X152" s="31"/>
      <c r="Y152" s="85" t="str">
        <f t="shared" si="65"/>
        <v/>
      </c>
      <c r="Z152" s="31"/>
      <c r="AA152" s="31"/>
      <c r="AB152" s="85" t="str">
        <f t="shared" si="66"/>
        <v/>
      </c>
      <c r="AC152" s="31"/>
      <c r="AD152" s="31"/>
      <c r="AE152" s="85" t="str">
        <f t="shared" si="67"/>
        <v/>
      </c>
      <c r="AF152" s="31"/>
      <c r="AG152" s="31"/>
      <c r="AH152" s="85" t="str">
        <f t="shared" si="68"/>
        <v/>
      </c>
      <c r="AI152" s="31"/>
      <c r="AJ152" s="31"/>
      <c r="AK152" s="85" t="str">
        <f t="shared" si="69"/>
        <v/>
      </c>
      <c r="AL152" s="31"/>
      <c r="AM152" s="31"/>
      <c r="AN152" s="85" t="str">
        <f t="shared" si="70"/>
        <v/>
      </c>
      <c r="AO152" s="31"/>
      <c r="AP152" s="31"/>
      <c r="AQ152" s="85" t="str">
        <f t="shared" si="71"/>
        <v/>
      </c>
      <c r="AR152" s="31"/>
      <c r="AS152" s="31"/>
      <c r="AT152" s="85" t="str">
        <f t="shared" si="72"/>
        <v/>
      </c>
      <c r="AU152" s="31"/>
      <c r="AV152" s="31"/>
      <c r="AW152" s="85" t="str">
        <f t="shared" si="73"/>
        <v/>
      </c>
      <c r="AX152" s="33"/>
      <c r="AY152" s="31"/>
      <c r="AZ152" s="85" t="str">
        <f t="shared" si="74"/>
        <v/>
      </c>
      <c r="BA152" s="33"/>
      <c r="BB152" s="31"/>
      <c r="BC152" s="85" t="str">
        <f t="shared" si="75"/>
        <v/>
      </c>
      <c r="BD152" s="33"/>
      <c r="BE152" s="31"/>
      <c r="BF152" s="85" t="str">
        <f t="shared" si="76"/>
        <v/>
      </c>
      <c r="BG152" s="33"/>
      <c r="BH152" s="31"/>
      <c r="BI152" s="85" t="str">
        <f t="shared" si="77"/>
        <v/>
      </c>
      <c r="BJ152" s="33"/>
      <c r="BK152" s="33"/>
      <c r="BL152" s="85" t="str">
        <f t="shared" si="78"/>
        <v/>
      </c>
      <c r="BM152" s="33"/>
      <c r="BN152" s="33"/>
      <c r="BO152" s="85" t="str">
        <f t="shared" si="79"/>
        <v/>
      </c>
      <c r="BP152" s="33"/>
      <c r="BQ152" s="33"/>
      <c r="BR152" s="85" t="str">
        <f t="shared" si="80"/>
        <v/>
      </c>
      <c r="BS152" s="33"/>
      <c r="BT152" s="33"/>
      <c r="BU152" s="85" t="str">
        <f t="shared" si="81"/>
        <v/>
      </c>
      <c r="BV152" s="31" t="s">
        <v>1</v>
      </c>
      <c r="BW152" s="31"/>
      <c r="BX152" s="31"/>
      <c r="BY152" s="85" t="str">
        <f t="shared" si="82"/>
        <v/>
      </c>
      <c r="BZ152" s="31"/>
      <c r="CA152" s="31"/>
      <c r="CB152" s="85" t="str">
        <f t="shared" si="83"/>
        <v/>
      </c>
      <c r="CC152" s="31"/>
      <c r="CD152" s="31"/>
      <c r="CE152" s="85" t="str">
        <f t="shared" si="84"/>
        <v/>
      </c>
      <c r="CH152" s="85" t="str">
        <f t="shared" si="85"/>
        <v/>
      </c>
      <c r="CI152" s="66">
        <v>203751</v>
      </c>
      <c r="CJ152" s="66">
        <v>3317000</v>
      </c>
      <c r="CK152" s="85">
        <f t="shared" si="86"/>
        <v>16.279674700983062</v>
      </c>
      <c r="CL152" s="33"/>
      <c r="CM152" s="33"/>
      <c r="CN152" s="85" t="str">
        <f t="shared" si="87"/>
        <v/>
      </c>
      <c r="CO152" s="33"/>
      <c r="CP152" s="33"/>
      <c r="CQ152" s="85" t="str">
        <f t="shared" si="88"/>
        <v/>
      </c>
    </row>
    <row r="153" spans="1:95" ht="15" customHeight="1" x14ac:dyDescent="0.3">
      <c r="A153" s="31" t="s">
        <v>249</v>
      </c>
      <c r="C153" s="30" t="s">
        <v>75</v>
      </c>
      <c r="D153" s="31" t="s">
        <v>1</v>
      </c>
      <c r="G153" s="85" t="str">
        <f t="shared" si="89"/>
        <v/>
      </c>
      <c r="H153" s="31"/>
      <c r="I153" s="31"/>
      <c r="J153" s="85" t="str">
        <f t="shared" si="60"/>
        <v/>
      </c>
      <c r="K153" s="31"/>
      <c r="L153" s="31"/>
      <c r="M153" s="85" t="str">
        <f t="shared" si="61"/>
        <v/>
      </c>
      <c r="N153" s="31"/>
      <c r="O153" s="31"/>
      <c r="P153" s="85" t="str">
        <f t="shared" si="62"/>
        <v/>
      </c>
      <c r="Q153" s="31"/>
      <c r="R153" s="31"/>
      <c r="S153" s="85" t="str">
        <f t="shared" si="63"/>
        <v/>
      </c>
      <c r="T153" s="31"/>
      <c r="U153" s="31"/>
      <c r="V153" s="85" t="str">
        <f t="shared" si="64"/>
        <v/>
      </c>
      <c r="W153" s="31"/>
      <c r="X153" s="31"/>
      <c r="Y153" s="85" t="str">
        <f t="shared" si="65"/>
        <v/>
      </c>
      <c r="Z153" s="31"/>
      <c r="AA153" s="31"/>
      <c r="AB153" s="85" t="str">
        <f t="shared" si="66"/>
        <v/>
      </c>
      <c r="AC153" s="31"/>
      <c r="AD153" s="31"/>
      <c r="AE153" s="85" t="str">
        <f t="shared" si="67"/>
        <v/>
      </c>
      <c r="AF153" s="31"/>
      <c r="AG153" s="31"/>
      <c r="AH153" s="85" t="str">
        <f t="shared" si="68"/>
        <v/>
      </c>
      <c r="AI153" s="31"/>
      <c r="AJ153" s="31"/>
      <c r="AK153" s="85" t="str">
        <f t="shared" si="69"/>
        <v/>
      </c>
      <c r="AL153" s="31"/>
      <c r="AM153" s="31"/>
      <c r="AN153" s="85" t="str">
        <f t="shared" si="70"/>
        <v/>
      </c>
      <c r="AO153" s="31"/>
      <c r="AP153" s="31"/>
      <c r="AQ153" s="85" t="str">
        <f t="shared" si="71"/>
        <v/>
      </c>
      <c r="AR153" s="31"/>
      <c r="AS153" s="31"/>
      <c r="AT153" s="85" t="str">
        <f t="shared" si="72"/>
        <v/>
      </c>
      <c r="AU153" s="31"/>
      <c r="AV153" s="31"/>
      <c r="AW153" s="85" t="str">
        <f t="shared" si="73"/>
        <v/>
      </c>
      <c r="AX153" s="33"/>
      <c r="AY153" s="31"/>
      <c r="AZ153" s="85" t="str">
        <f t="shared" si="74"/>
        <v/>
      </c>
      <c r="BA153" s="33"/>
      <c r="BB153" s="31"/>
      <c r="BC153" s="85" t="str">
        <f t="shared" si="75"/>
        <v/>
      </c>
      <c r="BD153" s="33"/>
      <c r="BE153" s="31"/>
      <c r="BF153" s="85" t="str">
        <f t="shared" si="76"/>
        <v/>
      </c>
      <c r="BG153" s="33"/>
      <c r="BH153" s="31"/>
      <c r="BI153" s="85" t="str">
        <f t="shared" si="77"/>
        <v/>
      </c>
      <c r="BJ153" s="33"/>
      <c r="BK153" s="33"/>
      <c r="BL153" s="85" t="str">
        <f t="shared" si="78"/>
        <v/>
      </c>
      <c r="BM153" s="33"/>
      <c r="BN153" s="33"/>
      <c r="BO153" s="85" t="str">
        <f t="shared" si="79"/>
        <v/>
      </c>
      <c r="BP153" s="33"/>
      <c r="BQ153" s="33"/>
      <c r="BR153" s="85" t="str">
        <f t="shared" si="80"/>
        <v/>
      </c>
      <c r="BS153" s="33"/>
      <c r="BT153" s="33"/>
      <c r="BU153" s="85" t="str">
        <f t="shared" si="81"/>
        <v/>
      </c>
      <c r="BV153" s="31" t="s">
        <v>1</v>
      </c>
      <c r="BW153" s="31"/>
      <c r="BX153" s="31"/>
      <c r="BY153" s="85" t="str">
        <f t="shared" si="82"/>
        <v/>
      </c>
      <c r="BZ153" s="31"/>
      <c r="CA153" s="31"/>
      <c r="CB153" s="85" t="str">
        <f t="shared" si="83"/>
        <v/>
      </c>
      <c r="CC153" s="31"/>
      <c r="CD153" s="31"/>
      <c r="CE153" s="85" t="str">
        <f t="shared" si="84"/>
        <v/>
      </c>
      <c r="CH153" s="85" t="str">
        <f t="shared" si="85"/>
        <v/>
      </c>
      <c r="CI153" s="66">
        <v>28429</v>
      </c>
      <c r="CJ153" s="66">
        <v>515000</v>
      </c>
      <c r="CK153" s="85">
        <f t="shared" si="86"/>
        <v>18.115304794400085</v>
      </c>
      <c r="CL153" s="33"/>
      <c r="CM153" s="33"/>
      <c r="CN153" s="85" t="str">
        <f t="shared" si="87"/>
        <v/>
      </c>
      <c r="CO153" s="33"/>
      <c r="CP153" s="33"/>
      <c r="CQ153" s="85" t="str">
        <f t="shared" si="88"/>
        <v/>
      </c>
    </row>
    <row r="154" spans="1:95" ht="15" customHeight="1" x14ac:dyDescent="0.3">
      <c r="A154" s="31" t="s">
        <v>248</v>
      </c>
      <c r="C154" s="30" t="s">
        <v>75</v>
      </c>
      <c r="D154" s="31" t="s">
        <v>1</v>
      </c>
      <c r="G154" s="85" t="str">
        <f t="shared" si="89"/>
        <v/>
      </c>
      <c r="H154" s="31"/>
      <c r="I154" s="31"/>
      <c r="J154" s="85" t="str">
        <f t="shared" si="60"/>
        <v/>
      </c>
      <c r="K154" s="31"/>
      <c r="L154" s="31"/>
      <c r="M154" s="85" t="str">
        <f t="shared" si="61"/>
        <v/>
      </c>
      <c r="N154" s="31"/>
      <c r="O154" s="31"/>
      <c r="P154" s="85" t="str">
        <f t="shared" si="62"/>
        <v/>
      </c>
      <c r="Q154" s="31"/>
      <c r="R154" s="31"/>
      <c r="S154" s="85" t="str">
        <f t="shared" si="63"/>
        <v/>
      </c>
      <c r="T154" s="31"/>
      <c r="U154" s="31"/>
      <c r="V154" s="85" t="str">
        <f t="shared" si="64"/>
        <v/>
      </c>
      <c r="W154" s="31"/>
      <c r="X154" s="31"/>
      <c r="Y154" s="85" t="str">
        <f t="shared" si="65"/>
        <v/>
      </c>
      <c r="Z154" s="31"/>
      <c r="AA154" s="31"/>
      <c r="AB154" s="85" t="str">
        <f t="shared" si="66"/>
        <v/>
      </c>
      <c r="AC154" s="31"/>
      <c r="AD154" s="31"/>
      <c r="AE154" s="85" t="str">
        <f t="shared" si="67"/>
        <v/>
      </c>
      <c r="AF154" s="31"/>
      <c r="AG154" s="31"/>
      <c r="AH154" s="85" t="str">
        <f t="shared" si="68"/>
        <v/>
      </c>
      <c r="AI154" s="31"/>
      <c r="AJ154" s="31"/>
      <c r="AK154" s="85" t="str">
        <f t="shared" si="69"/>
        <v/>
      </c>
      <c r="AL154" s="31"/>
      <c r="AM154" s="31"/>
      <c r="AN154" s="85" t="str">
        <f t="shared" si="70"/>
        <v/>
      </c>
      <c r="AO154" s="31"/>
      <c r="AP154" s="31"/>
      <c r="AQ154" s="85" t="str">
        <f t="shared" si="71"/>
        <v/>
      </c>
      <c r="AR154" s="31"/>
      <c r="AS154" s="31"/>
      <c r="AT154" s="85" t="str">
        <f t="shared" si="72"/>
        <v/>
      </c>
      <c r="AU154" s="31"/>
      <c r="AV154" s="31"/>
      <c r="AW154" s="85" t="str">
        <f t="shared" si="73"/>
        <v/>
      </c>
      <c r="AX154" s="33"/>
      <c r="AY154" s="31"/>
      <c r="AZ154" s="85" t="str">
        <f t="shared" si="74"/>
        <v/>
      </c>
      <c r="BA154" s="33"/>
      <c r="BB154" s="31"/>
      <c r="BC154" s="85" t="str">
        <f t="shared" si="75"/>
        <v/>
      </c>
      <c r="BD154" s="33"/>
      <c r="BE154" s="31"/>
      <c r="BF154" s="85" t="str">
        <f t="shared" si="76"/>
        <v/>
      </c>
      <c r="BG154" s="33"/>
      <c r="BH154" s="31"/>
      <c r="BI154" s="85" t="str">
        <f t="shared" si="77"/>
        <v/>
      </c>
      <c r="BJ154" s="33"/>
      <c r="BK154" s="33"/>
      <c r="BL154" s="85" t="str">
        <f t="shared" si="78"/>
        <v/>
      </c>
      <c r="BM154" s="33"/>
      <c r="BN154" s="33"/>
      <c r="BO154" s="85" t="str">
        <f t="shared" si="79"/>
        <v/>
      </c>
      <c r="BP154" s="33"/>
      <c r="BQ154" s="33"/>
      <c r="BR154" s="85" t="str">
        <f t="shared" si="80"/>
        <v/>
      </c>
      <c r="BS154" s="33"/>
      <c r="BT154" s="33"/>
      <c r="BU154" s="85" t="str">
        <f t="shared" si="81"/>
        <v/>
      </c>
      <c r="BV154" s="31" t="s">
        <v>1</v>
      </c>
      <c r="BW154" s="31"/>
      <c r="BX154" s="31"/>
      <c r="BY154" s="85" t="str">
        <f t="shared" si="82"/>
        <v/>
      </c>
      <c r="BZ154" s="31"/>
      <c r="CA154" s="31"/>
      <c r="CB154" s="85" t="str">
        <f t="shared" si="83"/>
        <v/>
      </c>
      <c r="CC154" s="31"/>
      <c r="CD154" s="31"/>
      <c r="CE154" s="85" t="str">
        <f t="shared" si="84"/>
        <v/>
      </c>
      <c r="CH154" s="85" t="str">
        <f t="shared" si="85"/>
        <v/>
      </c>
      <c r="CI154" s="66">
        <v>201770</v>
      </c>
      <c r="CJ154" s="66">
        <v>1657000</v>
      </c>
      <c r="CK154" s="85">
        <f t="shared" si="86"/>
        <v>8.2123209595083519</v>
      </c>
      <c r="CL154" s="33"/>
      <c r="CM154" s="33"/>
      <c r="CN154" s="85" t="str">
        <f t="shared" si="87"/>
        <v/>
      </c>
      <c r="CO154" s="33"/>
      <c r="CP154" s="33"/>
      <c r="CQ154" s="85" t="str">
        <f t="shared" si="88"/>
        <v/>
      </c>
    </row>
    <row r="155" spans="1:95" ht="15" customHeight="1" x14ac:dyDescent="0.3">
      <c r="A155" s="31" t="s">
        <v>250</v>
      </c>
      <c r="C155" s="30" t="s">
        <v>75</v>
      </c>
      <c r="D155" s="31" t="s">
        <v>1</v>
      </c>
      <c r="G155" s="85" t="str">
        <f t="shared" si="89"/>
        <v/>
      </c>
      <c r="H155" s="31"/>
      <c r="I155" s="31"/>
      <c r="J155" s="85" t="str">
        <f t="shared" si="60"/>
        <v/>
      </c>
      <c r="K155" s="31"/>
      <c r="L155" s="31"/>
      <c r="M155" s="85" t="str">
        <f t="shared" si="61"/>
        <v/>
      </c>
      <c r="N155" s="31"/>
      <c r="O155" s="31"/>
      <c r="P155" s="85" t="str">
        <f t="shared" si="62"/>
        <v/>
      </c>
      <c r="Q155" s="31"/>
      <c r="R155" s="31"/>
      <c r="S155" s="85" t="str">
        <f t="shared" si="63"/>
        <v/>
      </c>
      <c r="T155" s="31"/>
      <c r="U155" s="31"/>
      <c r="V155" s="85" t="str">
        <f t="shared" si="64"/>
        <v/>
      </c>
      <c r="W155" s="31"/>
      <c r="X155" s="31"/>
      <c r="Y155" s="85" t="str">
        <f t="shared" si="65"/>
        <v/>
      </c>
      <c r="Z155" s="31"/>
      <c r="AA155" s="31"/>
      <c r="AB155" s="85" t="str">
        <f t="shared" si="66"/>
        <v/>
      </c>
      <c r="AC155" s="31"/>
      <c r="AD155" s="31"/>
      <c r="AE155" s="85" t="str">
        <f t="shared" si="67"/>
        <v/>
      </c>
      <c r="AF155" s="31"/>
      <c r="AG155" s="31"/>
      <c r="AH155" s="85" t="str">
        <f t="shared" si="68"/>
        <v/>
      </c>
      <c r="AI155" s="31"/>
      <c r="AJ155" s="31"/>
      <c r="AK155" s="85" t="str">
        <f t="shared" si="69"/>
        <v/>
      </c>
      <c r="AL155" s="31"/>
      <c r="AM155" s="31"/>
      <c r="AN155" s="85" t="str">
        <f t="shared" si="70"/>
        <v/>
      </c>
      <c r="AO155" s="31"/>
      <c r="AP155" s="31"/>
      <c r="AQ155" s="85" t="str">
        <f t="shared" si="71"/>
        <v/>
      </c>
      <c r="AR155" s="31"/>
      <c r="AS155" s="31"/>
      <c r="AT155" s="85" t="str">
        <f t="shared" si="72"/>
        <v/>
      </c>
      <c r="AU155" s="31"/>
      <c r="AV155" s="31"/>
      <c r="AW155" s="85" t="str">
        <f t="shared" si="73"/>
        <v/>
      </c>
      <c r="AX155" s="33"/>
      <c r="AY155" s="31"/>
      <c r="AZ155" s="85" t="str">
        <f t="shared" si="74"/>
        <v/>
      </c>
      <c r="BA155" s="33"/>
      <c r="BB155" s="31"/>
      <c r="BC155" s="85" t="str">
        <f t="shared" si="75"/>
        <v/>
      </c>
      <c r="BD155" s="33"/>
      <c r="BE155" s="31"/>
      <c r="BF155" s="85" t="str">
        <f t="shared" si="76"/>
        <v/>
      </c>
      <c r="BG155" s="33"/>
      <c r="BH155" s="31"/>
      <c r="BI155" s="85" t="str">
        <f t="shared" si="77"/>
        <v/>
      </c>
      <c r="BJ155" s="33"/>
      <c r="BK155" s="33"/>
      <c r="BL155" s="85" t="str">
        <f t="shared" si="78"/>
        <v/>
      </c>
      <c r="BM155" s="33"/>
      <c r="BN155" s="33"/>
      <c r="BO155" s="85" t="str">
        <f t="shared" si="79"/>
        <v/>
      </c>
      <c r="BP155" s="33"/>
      <c r="BQ155" s="33"/>
      <c r="BR155" s="85" t="str">
        <f t="shared" si="80"/>
        <v/>
      </c>
      <c r="BS155" s="33"/>
      <c r="BT155" s="33"/>
      <c r="BU155" s="85" t="str">
        <f t="shared" si="81"/>
        <v/>
      </c>
      <c r="BV155" s="31" t="s">
        <v>1</v>
      </c>
      <c r="BW155" s="31"/>
      <c r="BX155" s="31"/>
      <c r="BY155" s="85" t="str">
        <f t="shared" si="82"/>
        <v/>
      </c>
      <c r="BZ155" s="31"/>
      <c r="CA155" s="31"/>
      <c r="CB155" s="85" t="str">
        <f t="shared" si="83"/>
        <v/>
      </c>
      <c r="CC155" s="31"/>
      <c r="CD155" s="31"/>
      <c r="CE155" s="85" t="str">
        <f t="shared" si="84"/>
        <v/>
      </c>
      <c r="CH155" s="85" t="str">
        <f t="shared" si="85"/>
        <v/>
      </c>
      <c r="CI155" s="66">
        <v>366129</v>
      </c>
      <c r="CJ155" s="66">
        <v>483000</v>
      </c>
      <c r="CK155" s="85">
        <f t="shared" si="86"/>
        <v>1.3192071646878558</v>
      </c>
      <c r="CL155" s="33"/>
      <c r="CM155" s="33"/>
      <c r="CN155" s="85" t="str">
        <f t="shared" si="87"/>
        <v/>
      </c>
      <c r="CO155" s="33"/>
      <c r="CP155" s="33"/>
      <c r="CQ155" s="85" t="str">
        <f t="shared" si="88"/>
        <v/>
      </c>
    </row>
    <row r="156" spans="1:95" ht="15" customHeight="1" x14ac:dyDescent="0.3">
      <c r="A156" s="31" t="s">
        <v>251</v>
      </c>
      <c r="C156" s="30" t="s">
        <v>75</v>
      </c>
      <c r="D156" s="31" t="s">
        <v>1</v>
      </c>
      <c r="G156" s="85" t="str">
        <f t="shared" si="89"/>
        <v/>
      </c>
      <c r="H156" s="31"/>
      <c r="I156" s="31"/>
      <c r="J156" s="85" t="str">
        <f t="shared" si="60"/>
        <v/>
      </c>
      <c r="K156" s="31"/>
      <c r="L156" s="31"/>
      <c r="M156" s="85" t="str">
        <f t="shared" si="61"/>
        <v/>
      </c>
      <c r="N156" s="31"/>
      <c r="O156" s="31"/>
      <c r="P156" s="85" t="str">
        <f t="shared" si="62"/>
        <v/>
      </c>
      <c r="Q156" s="31"/>
      <c r="R156" s="31"/>
      <c r="S156" s="85" t="str">
        <f t="shared" si="63"/>
        <v/>
      </c>
      <c r="T156" s="31"/>
      <c r="U156" s="31"/>
      <c r="V156" s="85" t="str">
        <f t="shared" si="64"/>
        <v/>
      </c>
      <c r="W156" s="31"/>
      <c r="X156" s="31"/>
      <c r="Y156" s="85" t="str">
        <f t="shared" si="65"/>
        <v/>
      </c>
      <c r="Z156" s="31"/>
      <c r="AA156" s="31"/>
      <c r="AB156" s="85" t="str">
        <f t="shared" si="66"/>
        <v/>
      </c>
      <c r="AC156" s="31"/>
      <c r="AD156" s="31"/>
      <c r="AE156" s="85" t="str">
        <f t="shared" si="67"/>
        <v/>
      </c>
      <c r="AF156" s="31"/>
      <c r="AG156" s="31"/>
      <c r="AH156" s="85" t="str">
        <f t="shared" si="68"/>
        <v/>
      </c>
      <c r="AI156" s="31"/>
      <c r="AJ156" s="31"/>
      <c r="AK156" s="85" t="str">
        <f t="shared" si="69"/>
        <v/>
      </c>
      <c r="AL156" s="31"/>
      <c r="AM156" s="31"/>
      <c r="AN156" s="85" t="str">
        <f t="shared" si="70"/>
        <v/>
      </c>
      <c r="AO156" s="31"/>
      <c r="AP156" s="31"/>
      <c r="AQ156" s="85" t="str">
        <f t="shared" si="71"/>
        <v/>
      </c>
      <c r="AR156" s="31"/>
      <c r="AS156" s="31"/>
      <c r="AT156" s="85" t="str">
        <f t="shared" si="72"/>
        <v/>
      </c>
      <c r="AU156" s="31"/>
      <c r="AV156" s="31"/>
      <c r="AW156" s="85" t="str">
        <f t="shared" si="73"/>
        <v/>
      </c>
      <c r="AX156" s="33"/>
      <c r="AY156" s="31"/>
      <c r="AZ156" s="85" t="str">
        <f t="shared" si="74"/>
        <v/>
      </c>
      <c r="BA156" s="33"/>
      <c r="BB156" s="31"/>
      <c r="BC156" s="85" t="str">
        <f t="shared" si="75"/>
        <v/>
      </c>
      <c r="BD156" s="33"/>
      <c r="BE156" s="31"/>
      <c r="BF156" s="85" t="str">
        <f t="shared" si="76"/>
        <v/>
      </c>
      <c r="BG156" s="33"/>
      <c r="BH156" s="31"/>
      <c r="BI156" s="85" t="str">
        <f t="shared" si="77"/>
        <v/>
      </c>
      <c r="BJ156" s="33"/>
      <c r="BK156" s="33"/>
      <c r="BL156" s="85" t="str">
        <f t="shared" si="78"/>
        <v/>
      </c>
      <c r="BM156" s="33"/>
      <c r="BN156" s="33"/>
      <c r="BO156" s="85" t="str">
        <f t="shared" si="79"/>
        <v/>
      </c>
      <c r="BP156" s="33"/>
      <c r="BQ156" s="33"/>
      <c r="BR156" s="85" t="str">
        <f t="shared" si="80"/>
        <v/>
      </c>
      <c r="BS156" s="33"/>
      <c r="BT156" s="33"/>
      <c r="BU156" s="85" t="str">
        <f t="shared" si="81"/>
        <v/>
      </c>
      <c r="BV156" s="31" t="s">
        <v>1</v>
      </c>
      <c r="BW156" s="31"/>
      <c r="BX156" s="31"/>
      <c r="BY156" s="85" t="str">
        <f t="shared" si="82"/>
        <v/>
      </c>
      <c r="BZ156" s="31"/>
      <c r="CA156" s="31"/>
      <c r="CB156" s="85" t="str">
        <f t="shared" si="83"/>
        <v/>
      </c>
      <c r="CC156" s="31"/>
      <c r="CD156" s="31"/>
      <c r="CE156" s="85" t="str">
        <f t="shared" si="84"/>
        <v/>
      </c>
      <c r="CH156" s="85" t="str">
        <f t="shared" si="85"/>
        <v/>
      </c>
      <c r="CI156" s="66">
        <v>30431</v>
      </c>
      <c r="CJ156" s="66">
        <v>589000</v>
      </c>
      <c r="CK156" s="85">
        <f t="shared" si="86"/>
        <v>19.355262725510169</v>
      </c>
      <c r="CL156" s="33"/>
      <c r="CM156" s="33"/>
      <c r="CN156" s="85" t="str">
        <f t="shared" si="87"/>
        <v/>
      </c>
      <c r="CO156" s="33"/>
      <c r="CP156" s="33"/>
      <c r="CQ156" s="85" t="str">
        <f t="shared" si="88"/>
        <v/>
      </c>
    </row>
    <row r="157" spans="1:95" ht="15" customHeight="1" x14ac:dyDescent="0.3">
      <c r="A157" s="31" t="s">
        <v>252</v>
      </c>
      <c r="C157" s="30" t="s">
        <v>75</v>
      </c>
      <c r="D157" s="31" t="s">
        <v>1</v>
      </c>
      <c r="G157" s="85" t="str">
        <f t="shared" si="89"/>
        <v/>
      </c>
      <c r="H157" s="31"/>
      <c r="I157" s="31"/>
      <c r="J157" s="85" t="str">
        <f t="shared" si="60"/>
        <v/>
      </c>
      <c r="K157" s="31"/>
      <c r="L157" s="31"/>
      <c r="M157" s="85" t="str">
        <f t="shared" si="61"/>
        <v/>
      </c>
      <c r="N157" s="31"/>
      <c r="O157" s="31"/>
      <c r="P157" s="85" t="str">
        <f t="shared" si="62"/>
        <v/>
      </c>
      <c r="Q157" s="31"/>
      <c r="R157" s="31"/>
      <c r="S157" s="85" t="str">
        <f t="shared" si="63"/>
        <v/>
      </c>
      <c r="T157" s="31"/>
      <c r="U157" s="31"/>
      <c r="V157" s="85" t="str">
        <f t="shared" si="64"/>
        <v/>
      </c>
      <c r="W157" s="31"/>
      <c r="X157" s="31"/>
      <c r="Y157" s="85" t="str">
        <f t="shared" si="65"/>
        <v/>
      </c>
      <c r="Z157" s="31"/>
      <c r="AA157" s="31"/>
      <c r="AB157" s="85" t="str">
        <f t="shared" si="66"/>
        <v/>
      </c>
      <c r="AC157" s="31"/>
      <c r="AD157" s="31"/>
      <c r="AE157" s="85" t="str">
        <f t="shared" si="67"/>
        <v/>
      </c>
      <c r="AF157" s="31"/>
      <c r="AG157" s="31"/>
      <c r="AH157" s="85" t="str">
        <f t="shared" si="68"/>
        <v/>
      </c>
      <c r="AI157" s="31"/>
      <c r="AJ157" s="31"/>
      <c r="AK157" s="85" t="str">
        <f t="shared" si="69"/>
        <v/>
      </c>
      <c r="AL157" s="31"/>
      <c r="AM157" s="31"/>
      <c r="AN157" s="85" t="str">
        <f t="shared" si="70"/>
        <v/>
      </c>
      <c r="AO157" s="31"/>
      <c r="AP157" s="31"/>
      <c r="AQ157" s="85" t="str">
        <f t="shared" si="71"/>
        <v/>
      </c>
      <c r="AR157" s="31"/>
      <c r="AS157" s="31"/>
      <c r="AT157" s="85" t="str">
        <f t="shared" si="72"/>
        <v/>
      </c>
      <c r="AU157" s="31"/>
      <c r="AV157" s="31"/>
      <c r="AW157" s="85" t="str">
        <f t="shared" si="73"/>
        <v/>
      </c>
      <c r="AX157" s="33"/>
      <c r="AY157" s="31"/>
      <c r="AZ157" s="85" t="str">
        <f t="shared" si="74"/>
        <v/>
      </c>
      <c r="BA157" s="33"/>
      <c r="BB157" s="31"/>
      <c r="BC157" s="85" t="str">
        <f t="shared" si="75"/>
        <v/>
      </c>
      <c r="BD157" s="33"/>
      <c r="BE157" s="31"/>
      <c r="BF157" s="85" t="str">
        <f t="shared" si="76"/>
        <v/>
      </c>
      <c r="BG157" s="33"/>
      <c r="BH157" s="31"/>
      <c r="BI157" s="85" t="str">
        <f t="shared" si="77"/>
        <v/>
      </c>
      <c r="BJ157" s="33"/>
      <c r="BK157" s="33"/>
      <c r="BL157" s="85" t="str">
        <f t="shared" si="78"/>
        <v/>
      </c>
      <c r="BM157" s="33"/>
      <c r="BN157" s="33"/>
      <c r="BO157" s="85" t="str">
        <f t="shared" si="79"/>
        <v/>
      </c>
      <c r="BP157" s="33"/>
      <c r="BQ157" s="33"/>
      <c r="BR157" s="85" t="str">
        <f t="shared" si="80"/>
        <v/>
      </c>
      <c r="BS157" s="33"/>
      <c r="BT157" s="33"/>
      <c r="BU157" s="85" t="str">
        <f t="shared" si="81"/>
        <v/>
      </c>
      <c r="BV157" s="31" t="s">
        <v>1</v>
      </c>
      <c r="BW157" s="31"/>
      <c r="BX157" s="31"/>
      <c r="BY157" s="85" t="str">
        <f t="shared" si="82"/>
        <v/>
      </c>
      <c r="BZ157" s="31"/>
      <c r="CA157" s="31"/>
      <c r="CB157" s="85" t="str">
        <f t="shared" si="83"/>
        <v/>
      </c>
      <c r="CC157" s="31"/>
      <c r="CD157" s="31"/>
      <c r="CE157" s="85" t="str">
        <f t="shared" si="84"/>
        <v/>
      </c>
      <c r="CH157" s="85" t="str">
        <f t="shared" si="85"/>
        <v/>
      </c>
      <c r="CI157" s="66">
        <v>4320</v>
      </c>
      <c r="CJ157" s="66">
        <v>249000</v>
      </c>
      <c r="CK157" s="85">
        <f t="shared" si="86"/>
        <v>57.638888888888886</v>
      </c>
      <c r="CL157" s="33"/>
      <c r="CM157" s="33"/>
      <c r="CN157" s="85" t="str">
        <f t="shared" si="87"/>
        <v/>
      </c>
      <c r="CO157" s="33"/>
      <c r="CP157" s="33"/>
      <c r="CQ157" s="85" t="str">
        <f t="shared" si="88"/>
        <v/>
      </c>
    </row>
    <row r="158" spans="1:95" ht="15" customHeight="1" x14ac:dyDescent="0.3">
      <c r="A158" s="31" t="s">
        <v>245</v>
      </c>
      <c r="C158" s="30" t="s">
        <v>75</v>
      </c>
      <c r="D158" s="31" t="s">
        <v>1</v>
      </c>
      <c r="G158" s="85" t="str">
        <f t="shared" si="89"/>
        <v/>
      </c>
      <c r="H158" s="31"/>
      <c r="I158" s="31"/>
      <c r="J158" s="85" t="str">
        <f t="shared" si="60"/>
        <v/>
      </c>
      <c r="K158" s="31"/>
      <c r="L158" s="31"/>
      <c r="M158" s="85" t="str">
        <f t="shared" si="61"/>
        <v/>
      </c>
      <c r="N158" s="31"/>
      <c r="O158" s="31"/>
      <c r="P158" s="85" t="str">
        <f t="shared" si="62"/>
        <v/>
      </c>
      <c r="Q158" s="31"/>
      <c r="R158" s="31"/>
      <c r="S158" s="85" t="str">
        <f t="shared" si="63"/>
        <v/>
      </c>
      <c r="T158" s="31"/>
      <c r="U158" s="31"/>
      <c r="V158" s="85" t="str">
        <f t="shared" si="64"/>
        <v/>
      </c>
      <c r="W158" s="31"/>
      <c r="X158" s="31"/>
      <c r="Y158" s="85" t="str">
        <f t="shared" si="65"/>
        <v/>
      </c>
      <c r="Z158" s="31"/>
      <c r="AA158" s="31"/>
      <c r="AB158" s="85" t="str">
        <f t="shared" si="66"/>
        <v/>
      </c>
      <c r="AC158" s="31"/>
      <c r="AD158" s="31"/>
      <c r="AE158" s="85" t="str">
        <f t="shared" si="67"/>
        <v/>
      </c>
      <c r="AF158" s="31"/>
      <c r="AG158" s="31"/>
      <c r="AH158" s="85" t="str">
        <f t="shared" si="68"/>
        <v/>
      </c>
      <c r="AI158" s="31"/>
      <c r="AJ158" s="31"/>
      <c r="AK158" s="85" t="str">
        <f t="shared" si="69"/>
        <v/>
      </c>
      <c r="AL158" s="31"/>
      <c r="AM158" s="31"/>
      <c r="AN158" s="85" t="str">
        <f t="shared" si="70"/>
        <v/>
      </c>
      <c r="AO158" s="31"/>
      <c r="AP158" s="31"/>
      <c r="AQ158" s="85" t="str">
        <f t="shared" si="71"/>
        <v/>
      </c>
      <c r="AR158" s="31"/>
      <c r="AS158" s="31"/>
      <c r="AT158" s="85" t="str">
        <f t="shared" si="72"/>
        <v/>
      </c>
      <c r="AU158" s="31"/>
      <c r="AV158" s="31"/>
      <c r="AW158" s="85" t="str">
        <f t="shared" si="73"/>
        <v/>
      </c>
      <c r="AX158" s="33"/>
      <c r="AY158" s="31"/>
      <c r="AZ158" s="85" t="str">
        <f t="shared" si="74"/>
        <v/>
      </c>
      <c r="BA158" s="33"/>
      <c r="BB158" s="31"/>
      <c r="BC158" s="85" t="str">
        <f t="shared" si="75"/>
        <v/>
      </c>
      <c r="BD158" s="33"/>
      <c r="BE158" s="31"/>
      <c r="BF158" s="85" t="str">
        <f t="shared" si="76"/>
        <v/>
      </c>
      <c r="BG158" s="33"/>
      <c r="BH158" s="31"/>
      <c r="BI158" s="85" t="str">
        <f t="shared" si="77"/>
        <v/>
      </c>
      <c r="BJ158" s="33"/>
      <c r="BK158" s="33"/>
      <c r="BL158" s="85" t="str">
        <f t="shared" si="78"/>
        <v/>
      </c>
      <c r="BM158" s="33"/>
      <c r="BN158" s="33"/>
      <c r="BO158" s="85" t="str">
        <f t="shared" si="79"/>
        <v/>
      </c>
      <c r="BP158" s="33"/>
      <c r="BQ158" s="33"/>
      <c r="BR158" s="85" t="str">
        <f t="shared" si="80"/>
        <v/>
      </c>
      <c r="BS158" s="33"/>
      <c r="BT158" s="33"/>
      <c r="BU158" s="85" t="str">
        <f t="shared" si="81"/>
        <v/>
      </c>
      <c r="BV158" s="31" t="s">
        <v>1</v>
      </c>
      <c r="BW158" s="31"/>
      <c r="BX158" s="31"/>
      <c r="BY158" s="85" t="str">
        <f t="shared" si="82"/>
        <v/>
      </c>
      <c r="BZ158" s="31"/>
      <c r="CA158" s="31"/>
      <c r="CB158" s="85" t="str">
        <f t="shared" si="83"/>
        <v/>
      </c>
      <c r="CC158" s="31"/>
      <c r="CD158" s="31"/>
      <c r="CE158" s="85" t="str">
        <f t="shared" si="84"/>
        <v/>
      </c>
      <c r="CH158" s="85" t="str">
        <f t="shared" si="85"/>
        <v/>
      </c>
      <c r="CI158" s="66">
        <v>3726</v>
      </c>
      <c r="CJ158" s="66">
        <v>81000</v>
      </c>
      <c r="CK158" s="85">
        <f t="shared" si="86"/>
        <v>21.739130434782609</v>
      </c>
      <c r="CL158" s="33"/>
      <c r="CM158" s="33"/>
      <c r="CN158" s="85" t="str">
        <f t="shared" si="87"/>
        <v/>
      </c>
      <c r="CO158" s="33"/>
      <c r="CP158" s="33"/>
      <c r="CQ158" s="85" t="str">
        <f t="shared" si="88"/>
        <v/>
      </c>
    </row>
    <row r="159" spans="1:95" ht="15" customHeight="1" x14ac:dyDescent="0.3">
      <c r="A159" s="31" t="s">
        <v>406</v>
      </c>
      <c r="C159" s="30" t="s">
        <v>75</v>
      </c>
      <c r="D159" s="31" t="s">
        <v>1</v>
      </c>
      <c r="G159" s="85" t="str">
        <f t="shared" si="89"/>
        <v/>
      </c>
      <c r="H159" s="31"/>
      <c r="I159" s="31"/>
      <c r="J159" s="85" t="str">
        <f t="shared" si="60"/>
        <v/>
      </c>
      <c r="K159" s="31"/>
      <c r="L159" s="31"/>
      <c r="M159" s="85" t="str">
        <f t="shared" si="61"/>
        <v/>
      </c>
      <c r="N159" s="31"/>
      <c r="O159" s="31"/>
      <c r="P159" s="85" t="str">
        <f t="shared" si="62"/>
        <v/>
      </c>
      <c r="Q159" s="31"/>
      <c r="R159" s="31"/>
      <c r="S159" s="85" t="str">
        <f t="shared" si="63"/>
        <v/>
      </c>
      <c r="T159" s="31"/>
      <c r="U159" s="31"/>
      <c r="V159" s="85" t="str">
        <f t="shared" si="64"/>
        <v/>
      </c>
      <c r="W159" s="31"/>
      <c r="X159" s="31"/>
      <c r="Y159" s="85" t="str">
        <f t="shared" si="65"/>
        <v/>
      </c>
      <c r="Z159" s="31"/>
      <c r="AA159" s="31"/>
      <c r="AB159" s="85" t="str">
        <f t="shared" si="66"/>
        <v/>
      </c>
      <c r="AC159" s="31"/>
      <c r="AD159" s="31"/>
      <c r="AE159" s="85" t="str">
        <f t="shared" si="67"/>
        <v/>
      </c>
      <c r="AF159" s="31"/>
      <c r="AG159" s="31"/>
      <c r="AH159" s="85" t="str">
        <f t="shared" si="68"/>
        <v/>
      </c>
      <c r="AI159" s="31"/>
      <c r="AJ159" s="31"/>
      <c r="AK159" s="85" t="str">
        <f t="shared" si="69"/>
        <v/>
      </c>
      <c r="AL159" s="31"/>
      <c r="AM159" s="31"/>
      <c r="AN159" s="85" t="str">
        <f t="shared" si="70"/>
        <v/>
      </c>
      <c r="AO159" s="31"/>
      <c r="AP159" s="31"/>
      <c r="AQ159" s="85" t="str">
        <f t="shared" si="71"/>
        <v/>
      </c>
      <c r="AR159" s="31"/>
      <c r="AS159" s="31"/>
      <c r="AT159" s="85" t="str">
        <f t="shared" si="72"/>
        <v/>
      </c>
      <c r="AU159" s="31"/>
      <c r="AV159" s="31"/>
      <c r="AW159" s="85" t="str">
        <f t="shared" si="73"/>
        <v/>
      </c>
      <c r="AX159" s="33"/>
      <c r="AY159" s="31"/>
      <c r="AZ159" s="85" t="str">
        <f t="shared" si="74"/>
        <v/>
      </c>
      <c r="BA159" s="33"/>
      <c r="BB159" s="33"/>
      <c r="BC159" s="85" t="str">
        <f t="shared" si="75"/>
        <v/>
      </c>
      <c r="BD159" s="33"/>
      <c r="BE159" s="31"/>
      <c r="BF159" s="85" t="str">
        <f t="shared" si="76"/>
        <v/>
      </c>
      <c r="BG159" s="33"/>
      <c r="BH159" s="31"/>
      <c r="BI159" s="85" t="str">
        <f t="shared" si="77"/>
        <v/>
      </c>
      <c r="BJ159" s="33"/>
      <c r="BK159" s="33"/>
      <c r="BL159" s="85" t="str">
        <f t="shared" si="78"/>
        <v/>
      </c>
      <c r="BM159" s="33"/>
      <c r="BN159" s="33"/>
      <c r="BO159" s="85" t="str">
        <f t="shared" si="79"/>
        <v/>
      </c>
      <c r="BP159" s="33"/>
      <c r="BQ159" s="33"/>
      <c r="BR159" s="85" t="str">
        <f t="shared" si="80"/>
        <v/>
      </c>
      <c r="BS159" s="33"/>
      <c r="BT159" s="33"/>
      <c r="BU159" s="85" t="str">
        <f t="shared" si="81"/>
        <v/>
      </c>
      <c r="BV159" s="31" t="s">
        <v>1</v>
      </c>
      <c r="BW159" s="31"/>
      <c r="BX159" s="31"/>
      <c r="BY159" s="85" t="str">
        <f t="shared" si="82"/>
        <v/>
      </c>
      <c r="BZ159" s="31"/>
      <c r="CA159" s="31"/>
      <c r="CB159" s="85" t="str">
        <f t="shared" si="83"/>
        <v/>
      </c>
      <c r="CC159" s="31"/>
      <c r="CD159" s="31"/>
      <c r="CE159" s="85" t="str">
        <f t="shared" si="84"/>
        <v/>
      </c>
      <c r="CH159" s="85" t="str">
        <f t="shared" si="85"/>
        <v/>
      </c>
      <c r="CI159" s="66">
        <v>6565</v>
      </c>
      <c r="CJ159" s="66">
        <v>340000</v>
      </c>
      <c r="CK159" s="85">
        <f t="shared" si="86"/>
        <v>51.789794364051787</v>
      </c>
      <c r="CL159" s="33"/>
      <c r="CM159" s="33"/>
      <c r="CN159" s="85" t="str">
        <f t="shared" si="87"/>
        <v/>
      </c>
      <c r="CO159" s="33"/>
      <c r="CP159" s="33"/>
      <c r="CQ159" s="85" t="str">
        <f t="shared" si="88"/>
        <v/>
      </c>
    </row>
    <row r="160" spans="1:95" ht="15" customHeight="1" x14ac:dyDescent="0.3">
      <c r="A160" s="31" t="s">
        <v>253</v>
      </c>
      <c r="C160" s="30" t="s">
        <v>75</v>
      </c>
      <c r="D160" s="31" t="s">
        <v>1</v>
      </c>
      <c r="G160" s="85" t="str">
        <f t="shared" si="89"/>
        <v/>
      </c>
      <c r="H160" s="31"/>
      <c r="I160" s="31"/>
      <c r="J160" s="85" t="str">
        <f t="shared" si="60"/>
        <v/>
      </c>
      <c r="K160" s="31"/>
      <c r="L160" s="31"/>
      <c r="M160" s="85" t="str">
        <f t="shared" si="61"/>
        <v/>
      </c>
      <c r="N160" s="31"/>
      <c r="O160" s="31"/>
      <c r="P160" s="85" t="str">
        <f t="shared" si="62"/>
        <v/>
      </c>
      <c r="Q160" s="31"/>
      <c r="R160" s="31"/>
      <c r="S160" s="85" t="str">
        <f t="shared" si="63"/>
        <v/>
      </c>
      <c r="T160" s="31"/>
      <c r="U160" s="31"/>
      <c r="V160" s="85" t="str">
        <f t="shared" si="64"/>
        <v/>
      </c>
      <c r="W160" s="31"/>
      <c r="X160" s="31"/>
      <c r="Y160" s="85" t="str">
        <f t="shared" si="65"/>
        <v/>
      </c>
      <c r="Z160" s="31"/>
      <c r="AA160" s="31"/>
      <c r="AB160" s="85" t="str">
        <f t="shared" si="66"/>
        <v/>
      </c>
      <c r="AC160" s="31"/>
      <c r="AD160" s="31"/>
      <c r="AE160" s="85" t="str">
        <f t="shared" si="67"/>
        <v/>
      </c>
      <c r="AF160" s="84">
        <v>1022.9</v>
      </c>
      <c r="AG160" s="83">
        <v>37696</v>
      </c>
      <c r="AH160" s="85">
        <f t="shared" si="68"/>
        <v>36.852087203050154</v>
      </c>
      <c r="AI160" s="84">
        <v>1230.9000000000001</v>
      </c>
      <c r="AJ160" s="83">
        <v>37009</v>
      </c>
      <c r="AK160" s="85">
        <f t="shared" si="69"/>
        <v>30.066617921845801</v>
      </c>
      <c r="AL160" s="84">
        <v>1200.9000000000001</v>
      </c>
      <c r="AM160" s="83">
        <v>39902</v>
      </c>
      <c r="AN160" s="85">
        <f t="shared" si="70"/>
        <v>33.226746606711629</v>
      </c>
      <c r="AO160" s="84">
        <v>1114.5</v>
      </c>
      <c r="AP160" s="83">
        <v>45980</v>
      </c>
      <c r="AQ160" s="85">
        <f t="shared" si="71"/>
        <v>41.256168685509195</v>
      </c>
      <c r="AR160" s="31"/>
      <c r="AS160" s="31"/>
      <c r="AT160" s="85" t="str">
        <f t="shared" si="72"/>
        <v/>
      </c>
      <c r="AU160" s="31"/>
      <c r="AV160" s="31"/>
      <c r="AW160" s="85" t="str">
        <f t="shared" si="73"/>
        <v/>
      </c>
      <c r="AX160" s="33"/>
      <c r="AY160" s="31"/>
      <c r="AZ160" s="85" t="str">
        <f t="shared" si="74"/>
        <v/>
      </c>
      <c r="BA160" s="33">
        <v>2431</v>
      </c>
      <c r="BB160" s="33">
        <v>93850</v>
      </c>
      <c r="BC160" s="85">
        <f t="shared" si="75"/>
        <v>38.605512134923899</v>
      </c>
      <c r="BD160" s="33"/>
      <c r="BE160" s="31"/>
      <c r="BF160" s="85" t="str">
        <f t="shared" si="76"/>
        <v/>
      </c>
      <c r="BG160" s="33"/>
      <c r="BH160" s="31"/>
      <c r="BI160" s="85" t="str">
        <f t="shared" si="77"/>
        <v/>
      </c>
      <c r="BJ160" s="33"/>
      <c r="BK160" s="33"/>
      <c r="BL160" s="85" t="str">
        <f t="shared" si="78"/>
        <v/>
      </c>
      <c r="BM160" s="33"/>
      <c r="BN160" s="33"/>
      <c r="BO160" s="85" t="str">
        <f t="shared" si="79"/>
        <v/>
      </c>
      <c r="BP160" s="33"/>
      <c r="BQ160" s="33"/>
      <c r="BR160" s="85" t="str">
        <f t="shared" si="80"/>
        <v/>
      </c>
      <c r="BS160" s="33"/>
      <c r="BT160" s="33"/>
      <c r="BU160" s="85" t="str">
        <f t="shared" si="81"/>
        <v/>
      </c>
      <c r="BV160" s="31" t="s">
        <v>1</v>
      </c>
      <c r="BW160" s="31"/>
      <c r="BX160" s="31"/>
      <c r="BY160" s="85" t="str">
        <f t="shared" si="82"/>
        <v/>
      </c>
      <c r="BZ160" s="31"/>
      <c r="CA160" s="31"/>
      <c r="CB160" s="85" t="str">
        <f t="shared" si="83"/>
        <v/>
      </c>
      <c r="CC160" s="31"/>
      <c r="CD160" s="31"/>
      <c r="CE160" s="85" t="str">
        <f t="shared" si="84"/>
        <v/>
      </c>
      <c r="CH160" s="85" t="str">
        <f t="shared" si="85"/>
        <v/>
      </c>
      <c r="CI160" s="66">
        <v>189404</v>
      </c>
      <c r="CJ160" s="66">
        <v>832000</v>
      </c>
      <c r="CK160" s="85">
        <f t="shared" si="86"/>
        <v>4.3927266583599076</v>
      </c>
      <c r="CL160" s="33"/>
      <c r="CM160" s="33"/>
      <c r="CN160" s="85" t="str">
        <f t="shared" si="87"/>
        <v/>
      </c>
      <c r="CO160" s="33"/>
      <c r="CP160" s="33"/>
      <c r="CQ160" s="85" t="str">
        <f t="shared" si="88"/>
        <v/>
      </c>
    </row>
    <row r="161" spans="1:95" ht="15" customHeight="1" x14ac:dyDescent="0.3">
      <c r="A161" s="31" t="s">
        <v>407</v>
      </c>
      <c r="C161" s="30" t="s">
        <v>75</v>
      </c>
      <c r="D161" s="31" t="s">
        <v>1</v>
      </c>
      <c r="G161" s="85" t="str">
        <f t="shared" si="89"/>
        <v/>
      </c>
      <c r="H161" s="31"/>
      <c r="I161" s="31"/>
      <c r="J161" s="85" t="str">
        <f t="shared" si="60"/>
        <v/>
      </c>
      <c r="K161" s="31"/>
      <c r="L161" s="31"/>
      <c r="M161" s="85" t="str">
        <f t="shared" si="61"/>
        <v/>
      </c>
      <c r="N161" s="31"/>
      <c r="O161" s="31"/>
      <c r="P161" s="85" t="str">
        <f t="shared" si="62"/>
        <v/>
      </c>
      <c r="Q161" s="31"/>
      <c r="R161" s="31"/>
      <c r="S161" s="85" t="str">
        <f t="shared" si="63"/>
        <v/>
      </c>
      <c r="T161" s="31"/>
      <c r="U161" s="31"/>
      <c r="V161" s="85" t="str">
        <f t="shared" si="64"/>
        <v/>
      </c>
      <c r="W161" s="31"/>
      <c r="X161" s="31"/>
      <c r="Y161" s="85" t="str">
        <f t="shared" si="65"/>
        <v/>
      </c>
      <c r="Z161" s="31"/>
      <c r="AA161" s="31"/>
      <c r="AB161" s="85" t="str">
        <f t="shared" si="66"/>
        <v/>
      </c>
      <c r="AC161" s="31"/>
      <c r="AD161" s="31"/>
      <c r="AE161" s="85" t="str">
        <f t="shared" si="67"/>
        <v/>
      </c>
      <c r="AF161" s="31"/>
      <c r="AG161" s="31"/>
      <c r="AH161" s="85" t="str">
        <f t="shared" si="68"/>
        <v/>
      </c>
      <c r="AI161" s="31"/>
      <c r="AJ161" s="31"/>
      <c r="AK161" s="85" t="str">
        <f t="shared" si="69"/>
        <v/>
      </c>
      <c r="AL161" s="31"/>
      <c r="AM161" s="31"/>
      <c r="AN161" s="85" t="str">
        <f t="shared" si="70"/>
        <v/>
      </c>
      <c r="AO161" s="31"/>
      <c r="AP161" s="31"/>
      <c r="AQ161" s="85" t="str">
        <f t="shared" si="71"/>
        <v/>
      </c>
      <c r="AR161" s="31"/>
      <c r="AS161" s="31"/>
      <c r="AT161" s="85" t="str">
        <f t="shared" si="72"/>
        <v/>
      </c>
      <c r="AU161" s="31"/>
      <c r="AV161" s="31"/>
      <c r="AW161" s="85" t="str">
        <f t="shared" si="73"/>
        <v/>
      </c>
      <c r="AX161" s="33"/>
      <c r="AY161" s="31"/>
      <c r="AZ161" s="85" t="str">
        <f t="shared" si="74"/>
        <v/>
      </c>
      <c r="BA161" s="33"/>
      <c r="BB161" s="33"/>
      <c r="BC161" s="85" t="str">
        <f t="shared" si="75"/>
        <v/>
      </c>
      <c r="BD161" s="33"/>
      <c r="BE161" s="31"/>
      <c r="BF161" s="85" t="str">
        <f t="shared" si="76"/>
        <v/>
      </c>
      <c r="BG161" s="33"/>
      <c r="BH161" s="31"/>
      <c r="BI161" s="85" t="str">
        <f t="shared" si="77"/>
        <v/>
      </c>
      <c r="BJ161" s="33"/>
      <c r="BK161" s="33"/>
      <c r="BL161" s="85" t="str">
        <f t="shared" si="78"/>
        <v/>
      </c>
      <c r="BM161" s="33"/>
      <c r="BN161" s="33"/>
      <c r="BO161" s="85" t="str">
        <f t="shared" si="79"/>
        <v/>
      </c>
      <c r="BP161" s="33"/>
      <c r="BQ161" s="33"/>
      <c r="BR161" s="85" t="str">
        <f t="shared" si="80"/>
        <v/>
      </c>
      <c r="BS161" s="33"/>
      <c r="BT161" s="33"/>
      <c r="BU161" s="85" t="str">
        <f t="shared" si="81"/>
        <v/>
      </c>
      <c r="BV161" s="31" t="s">
        <v>1</v>
      </c>
      <c r="BW161" s="31"/>
      <c r="BX161" s="31"/>
      <c r="BY161" s="85" t="str">
        <f t="shared" si="82"/>
        <v/>
      </c>
      <c r="BZ161" s="31"/>
      <c r="CA161" s="31"/>
      <c r="CB161" s="85" t="str">
        <f t="shared" si="83"/>
        <v/>
      </c>
      <c r="CC161" s="31"/>
      <c r="CD161" s="31"/>
      <c r="CE161" s="85" t="str">
        <f t="shared" si="84"/>
        <v/>
      </c>
      <c r="CF161" s="31"/>
      <c r="CG161" s="31"/>
      <c r="CH161" s="85" t="str">
        <f t="shared" si="85"/>
        <v/>
      </c>
      <c r="CI161" s="66">
        <v>194854</v>
      </c>
      <c r="CJ161" s="66">
        <v>2728000</v>
      </c>
      <c r="CK161" s="85">
        <f t="shared" si="86"/>
        <v>14.000225810093712</v>
      </c>
      <c r="CL161" s="33"/>
      <c r="CM161" s="33"/>
      <c r="CN161" s="85" t="str">
        <f t="shared" si="87"/>
        <v/>
      </c>
      <c r="CO161" s="33"/>
      <c r="CP161" s="33"/>
      <c r="CQ161" s="85" t="str">
        <f t="shared" si="88"/>
        <v/>
      </c>
    </row>
    <row r="162" spans="1:95" ht="15" customHeight="1" x14ac:dyDescent="0.3">
      <c r="A162" s="31" t="s">
        <v>408</v>
      </c>
      <c r="C162" s="30" t="s">
        <v>75</v>
      </c>
      <c r="D162" s="31" t="s">
        <v>1</v>
      </c>
      <c r="G162" s="85" t="str">
        <f t="shared" si="89"/>
        <v/>
      </c>
      <c r="H162" s="31"/>
      <c r="I162" s="31"/>
      <c r="J162" s="85" t="str">
        <f t="shared" si="60"/>
        <v/>
      </c>
      <c r="K162" s="31"/>
      <c r="L162" s="31"/>
      <c r="M162" s="85" t="str">
        <f t="shared" si="61"/>
        <v/>
      </c>
      <c r="N162" s="31"/>
      <c r="O162" s="31"/>
      <c r="P162" s="85" t="str">
        <f t="shared" si="62"/>
        <v/>
      </c>
      <c r="Q162" s="31"/>
      <c r="R162" s="31"/>
      <c r="S162" s="85" t="str">
        <f t="shared" si="63"/>
        <v/>
      </c>
      <c r="T162" s="31"/>
      <c r="U162" s="31"/>
      <c r="V162" s="85" t="str">
        <f t="shared" si="64"/>
        <v/>
      </c>
      <c r="W162" s="31"/>
      <c r="X162" s="31"/>
      <c r="Y162" s="85" t="str">
        <f t="shared" si="65"/>
        <v/>
      </c>
      <c r="Z162" s="31"/>
      <c r="AA162" s="31"/>
      <c r="AB162" s="85" t="str">
        <f t="shared" si="66"/>
        <v/>
      </c>
      <c r="AC162" s="31"/>
      <c r="AD162" s="31"/>
      <c r="AE162" s="85" t="str">
        <f t="shared" si="67"/>
        <v/>
      </c>
      <c r="AF162" s="31"/>
      <c r="AG162" s="31"/>
      <c r="AH162" s="85" t="str">
        <f t="shared" si="68"/>
        <v/>
      </c>
      <c r="AI162" s="31"/>
      <c r="AJ162" s="31"/>
      <c r="AK162" s="85" t="str">
        <f t="shared" si="69"/>
        <v/>
      </c>
      <c r="AL162" s="31"/>
      <c r="AM162" s="31"/>
      <c r="AN162" s="85" t="str">
        <f t="shared" si="70"/>
        <v/>
      </c>
      <c r="AO162" s="31"/>
      <c r="AP162" s="31"/>
      <c r="AQ162" s="85" t="str">
        <f t="shared" si="71"/>
        <v/>
      </c>
      <c r="AR162" s="31"/>
      <c r="AS162" s="31"/>
      <c r="AT162" s="85" t="str">
        <f t="shared" si="72"/>
        <v/>
      </c>
      <c r="AU162" s="31"/>
      <c r="AV162" s="31"/>
      <c r="AW162" s="85" t="str">
        <f t="shared" si="73"/>
        <v/>
      </c>
      <c r="AX162" s="33"/>
      <c r="AY162" s="31"/>
      <c r="AZ162" s="85" t="str">
        <f t="shared" si="74"/>
        <v/>
      </c>
      <c r="BA162" s="33">
        <v>1465</v>
      </c>
      <c r="BB162" s="33">
        <v>105000</v>
      </c>
      <c r="BC162" s="85">
        <f t="shared" si="75"/>
        <v>71.672354948805463</v>
      </c>
      <c r="BD162" s="33"/>
      <c r="BE162" s="31"/>
      <c r="BF162" s="85" t="str">
        <f t="shared" si="76"/>
        <v/>
      </c>
      <c r="BG162" s="33"/>
      <c r="BH162" s="31"/>
      <c r="BI162" s="85" t="str">
        <f t="shared" si="77"/>
        <v/>
      </c>
      <c r="BJ162" s="33"/>
      <c r="BK162" s="33"/>
      <c r="BL162" s="85" t="str">
        <f t="shared" si="78"/>
        <v/>
      </c>
      <c r="BM162" s="33"/>
      <c r="BN162" s="33"/>
      <c r="BO162" s="85" t="str">
        <f t="shared" si="79"/>
        <v/>
      </c>
      <c r="BP162" s="33"/>
      <c r="BQ162" s="33"/>
      <c r="BR162" s="85" t="str">
        <f t="shared" si="80"/>
        <v/>
      </c>
      <c r="BS162" s="33"/>
      <c r="BT162" s="33"/>
      <c r="BU162" s="85" t="str">
        <f t="shared" si="81"/>
        <v/>
      </c>
      <c r="BV162" s="31" t="s">
        <v>1</v>
      </c>
      <c r="BW162" s="31"/>
      <c r="BX162" s="31"/>
      <c r="BY162" s="85" t="str">
        <f t="shared" si="82"/>
        <v/>
      </c>
      <c r="BZ162" s="31"/>
      <c r="CA162" s="31"/>
      <c r="CB162" s="85" t="str">
        <f t="shared" si="83"/>
        <v/>
      </c>
      <c r="CC162" s="31"/>
      <c r="CD162" s="31"/>
      <c r="CE162" s="85" t="str">
        <f t="shared" si="84"/>
        <v/>
      </c>
      <c r="CF162" s="31"/>
      <c r="CG162" s="31"/>
      <c r="CH162" s="85" t="str">
        <f t="shared" si="85"/>
        <v/>
      </c>
      <c r="CI162" s="66">
        <v>226065</v>
      </c>
      <c r="CJ162" s="66">
        <v>874000</v>
      </c>
      <c r="CK162" s="85">
        <f t="shared" si="86"/>
        <v>3.8661446928980605</v>
      </c>
      <c r="CL162" s="33"/>
      <c r="CM162" s="33"/>
      <c r="CN162" s="85" t="str">
        <f t="shared" si="87"/>
        <v/>
      </c>
      <c r="CO162" s="33"/>
      <c r="CP162" s="33"/>
      <c r="CQ162" s="85" t="str">
        <f t="shared" si="88"/>
        <v/>
      </c>
    </row>
    <row r="163" spans="1:95" ht="15" customHeight="1" x14ac:dyDescent="0.3">
      <c r="A163" s="31" t="s">
        <v>358</v>
      </c>
      <c r="B163" s="31" t="s">
        <v>346</v>
      </c>
      <c r="C163" s="30" t="s">
        <v>75</v>
      </c>
      <c r="D163" s="31" t="s">
        <v>1</v>
      </c>
      <c r="G163" s="85" t="str">
        <f t="shared" si="89"/>
        <v/>
      </c>
      <c r="H163" s="31"/>
      <c r="I163" s="31"/>
      <c r="J163" s="85" t="str">
        <f t="shared" si="60"/>
        <v/>
      </c>
      <c r="K163" s="31"/>
      <c r="L163" s="31"/>
      <c r="M163" s="85" t="str">
        <f t="shared" si="61"/>
        <v/>
      </c>
      <c r="N163" s="31"/>
      <c r="O163" s="31"/>
      <c r="P163" s="85" t="str">
        <f t="shared" si="62"/>
        <v/>
      </c>
      <c r="Q163" s="31"/>
      <c r="R163" s="31"/>
      <c r="S163" s="85" t="str">
        <f t="shared" si="63"/>
        <v/>
      </c>
      <c r="T163" s="31"/>
      <c r="U163" s="31"/>
      <c r="V163" s="85" t="str">
        <f t="shared" si="64"/>
        <v/>
      </c>
      <c r="W163" s="31"/>
      <c r="X163" s="31"/>
      <c r="Y163" s="85" t="str">
        <f t="shared" si="65"/>
        <v/>
      </c>
      <c r="Z163" s="31"/>
      <c r="AA163" s="31"/>
      <c r="AB163" s="85" t="str">
        <f t="shared" si="66"/>
        <v/>
      </c>
      <c r="AC163" s="31"/>
      <c r="AD163" s="31"/>
      <c r="AE163" s="85" t="str">
        <f t="shared" si="67"/>
        <v/>
      </c>
      <c r="AF163" s="31"/>
      <c r="AG163" s="31"/>
      <c r="AH163" s="85" t="str">
        <f t="shared" si="68"/>
        <v/>
      </c>
      <c r="AI163" s="31"/>
      <c r="AJ163" s="31"/>
      <c r="AK163" s="85" t="str">
        <f t="shared" si="69"/>
        <v/>
      </c>
      <c r="AL163" s="31"/>
      <c r="AM163" s="31"/>
      <c r="AN163" s="85" t="str">
        <f t="shared" si="70"/>
        <v/>
      </c>
      <c r="AO163" s="31"/>
      <c r="AP163" s="31"/>
      <c r="AQ163" s="85" t="str">
        <f t="shared" si="71"/>
        <v/>
      </c>
      <c r="AR163" s="31"/>
      <c r="AS163" s="31"/>
      <c r="AT163" s="85" t="str">
        <f t="shared" si="72"/>
        <v/>
      </c>
      <c r="AU163" s="31"/>
      <c r="AV163" s="31"/>
      <c r="AW163" s="85" t="str">
        <f t="shared" si="73"/>
        <v/>
      </c>
      <c r="AX163" s="33"/>
      <c r="AY163" s="31"/>
      <c r="AZ163" s="85" t="str">
        <f t="shared" si="74"/>
        <v/>
      </c>
      <c r="BA163" s="33"/>
      <c r="BB163" s="33"/>
      <c r="BC163" s="85" t="str">
        <f t="shared" si="75"/>
        <v/>
      </c>
      <c r="BD163" s="33"/>
      <c r="BE163" s="31"/>
      <c r="BF163" s="85" t="str">
        <f t="shared" si="76"/>
        <v/>
      </c>
      <c r="BG163" s="33"/>
      <c r="BH163" s="31"/>
      <c r="BI163" s="85" t="str">
        <f t="shared" si="77"/>
        <v/>
      </c>
      <c r="BJ163" s="33"/>
      <c r="BK163" s="33"/>
      <c r="BL163" s="85" t="str">
        <f t="shared" si="78"/>
        <v/>
      </c>
      <c r="BM163" s="33">
        <v>3216</v>
      </c>
      <c r="BN163" s="33">
        <v>140000</v>
      </c>
      <c r="BO163" s="85">
        <f t="shared" si="79"/>
        <v>43.53233830845771</v>
      </c>
      <c r="BP163" s="33">
        <v>2324</v>
      </c>
      <c r="BQ163" s="33">
        <v>115000</v>
      </c>
      <c r="BR163" s="85">
        <f t="shared" si="80"/>
        <v>49.48364888123924</v>
      </c>
      <c r="BS163" s="33"/>
      <c r="BT163" s="33"/>
      <c r="BU163" s="85" t="str">
        <f t="shared" si="81"/>
        <v/>
      </c>
      <c r="BV163" s="31"/>
      <c r="BW163" s="31"/>
      <c r="BX163" s="31"/>
      <c r="BY163" s="85" t="str">
        <f t="shared" si="82"/>
        <v/>
      </c>
      <c r="BZ163" s="31"/>
      <c r="CA163" s="31"/>
      <c r="CB163" s="85" t="str">
        <f t="shared" si="83"/>
        <v/>
      </c>
      <c r="CC163" s="31"/>
      <c r="CD163" s="31"/>
      <c r="CE163" s="85" t="str">
        <f t="shared" si="84"/>
        <v/>
      </c>
      <c r="CF163" s="31"/>
      <c r="CG163" s="31"/>
      <c r="CH163" s="85" t="str">
        <f t="shared" si="85"/>
        <v/>
      </c>
      <c r="CI163" s="66"/>
      <c r="CJ163" s="66"/>
      <c r="CK163" s="85" t="str">
        <f t="shared" si="86"/>
        <v/>
      </c>
      <c r="CL163" s="33"/>
      <c r="CM163" s="33"/>
      <c r="CN163" s="85" t="str">
        <f t="shared" si="87"/>
        <v/>
      </c>
      <c r="CO163" s="33"/>
      <c r="CP163" s="33"/>
      <c r="CQ163" s="85" t="str">
        <f t="shared" si="88"/>
        <v/>
      </c>
    </row>
    <row r="164" spans="1:95" ht="15" customHeight="1" x14ac:dyDescent="0.3">
      <c r="A164" s="31" t="s">
        <v>254</v>
      </c>
      <c r="C164" s="30" t="s">
        <v>75</v>
      </c>
      <c r="D164" s="31" t="s">
        <v>1</v>
      </c>
      <c r="G164" s="85" t="str">
        <f t="shared" si="89"/>
        <v/>
      </c>
      <c r="H164" s="31"/>
      <c r="I164" s="31"/>
      <c r="J164" s="85" t="str">
        <f t="shared" si="60"/>
        <v/>
      </c>
      <c r="K164" s="31"/>
      <c r="L164" s="31"/>
      <c r="M164" s="85" t="str">
        <f t="shared" si="61"/>
        <v/>
      </c>
      <c r="N164" s="31"/>
      <c r="O164" s="31"/>
      <c r="P164" s="85" t="str">
        <f t="shared" si="62"/>
        <v/>
      </c>
      <c r="Q164" s="31"/>
      <c r="R164" s="31"/>
      <c r="S164" s="85" t="str">
        <f t="shared" si="63"/>
        <v/>
      </c>
      <c r="T164" s="31"/>
      <c r="U164" s="31"/>
      <c r="V164" s="85" t="str">
        <f t="shared" si="64"/>
        <v/>
      </c>
      <c r="W164" s="31"/>
      <c r="X164" s="31"/>
      <c r="Y164" s="85" t="str">
        <f t="shared" si="65"/>
        <v/>
      </c>
      <c r="Z164" s="31"/>
      <c r="AA164" s="31"/>
      <c r="AB164" s="85" t="str">
        <f t="shared" si="66"/>
        <v/>
      </c>
      <c r="AC164" s="31"/>
      <c r="AD164" s="31"/>
      <c r="AE164" s="85" t="str">
        <f t="shared" si="67"/>
        <v/>
      </c>
      <c r="AF164" s="84">
        <v>799</v>
      </c>
      <c r="AG164" s="83">
        <v>33774</v>
      </c>
      <c r="AH164" s="85">
        <f t="shared" si="68"/>
        <v>42.270337922403002</v>
      </c>
      <c r="AI164" s="84">
        <v>789.2</v>
      </c>
      <c r="AJ164" s="83">
        <v>26421</v>
      </c>
      <c r="AK164" s="85">
        <f t="shared" si="69"/>
        <v>33.478205778003037</v>
      </c>
      <c r="AL164" s="84">
        <v>792.2</v>
      </c>
      <c r="AM164" s="83">
        <v>33088</v>
      </c>
      <c r="AN164" s="85">
        <f t="shared" si="70"/>
        <v>41.767230497349153</v>
      </c>
      <c r="AO164" s="84">
        <v>833</v>
      </c>
      <c r="AP164" s="83">
        <v>38039</v>
      </c>
      <c r="AQ164" s="85">
        <f t="shared" si="71"/>
        <v>45.665066026410564</v>
      </c>
      <c r="AR164" s="31"/>
      <c r="AS164" s="31"/>
      <c r="AT164" s="85" t="str">
        <f t="shared" si="72"/>
        <v/>
      </c>
      <c r="AU164" s="31"/>
      <c r="AV164" s="31"/>
      <c r="AW164" s="85" t="str">
        <f t="shared" si="73"/>
        <v/>
      </c>
      <c r="AX164" s="33"/>
      <c r="AY164" s="31"/>
      <c r="AZ164" s="85" t="str">
        <f t="shared" si="74"/>
        <v/>
      </c>
      <c r="BA164" s="33">
        <v>10946</v>
      </c>
      <c r="BB164" s="33">
        <v>193410</v>
      </c>
      <c r="BC164" s="85">
        <f t="shared" si="75"/>
        <v>17.669468298921981</v>
      </c>
      <c r="BD164" s="33"/>
      <c r="BE164" s="31"/>
      <c r="BF164" s="85" t="str">
        <f t="shared" si="76"/>
        <v/>
      </c>
      <c r="BG164" s="33">
        <v>11084</v>
      </c>
      <c r="BH164" s="31">
        <v>176000</v>
      </c>
      <c r="BI164" s="85">
        <f t="shared" si="77"/>
        <v>15.878744135691086</v>
      </c>
      <c r="BJ164" s="33"/>
      <c r="BK164" s="33"/>
      <c r="BL164" s="85" t="str">
        <f t="shared" si="78"/>
        <v/>
      </c>
      <c r="BM164" s="33">
        <v>11143</v>
      </c>
      <c r="BN164" s="33">
        <v>170000</v>
      </c>
      <c r="BO164" s="85">
        <f t="shared" si="79"/>
        <v>15.256214663914566</v>
      </c>
      <c r="BP164" s="33">
        <v>12336</v>
      </c>
      <c r="BQ164" s="33">
        <v>203000</v>
      </c>
      <c r="BR164" s="85">
        <f t="shared" si="80"/>
        <v>16.455901426718547</v>
      </c>
      <c r="BS164" s="33"/>
      <c r="BT164" s="33"/>
      <c r="BU164" s="85" t="str">
        <f t="shared" si="81"/>
        <v/>
      </c>
      <c r="BV164" s="31" t="s">
        <v>1</v>
      </c>
      <c r="BW164" s="31"/>
      <c r="BX164" s="31"/>
      <c r="BY164" s="85" t="str">
        <f t="shared" si="82"/>
        <v/>
      </c>
      <c r="BZ164" s="31"/>
      <c r="CA164" s="31"/>
      <c r="CB164" s="85" t="str">
        <f t="shared" si="83"/>
        <v/>
      </c>
      <c r="CC164" s="31"/>
      <c r="CD164" s="31"/>
      <c r="CE164" s="85" t="str">
        <f t="shared" si="84"/>
        <v/>
      </c>
      <c r="CF164" s="31"/>
      <c r="CG164" s="31"/>
      <c r="CH164" s="85" t="str">
        <f t="shared" si="85"/>
        <v/>
      </c>
      <c r="CI164" s="66">
        <v>32052</v>
      </c>
      <c r="CJ164" s="66">
        <v>641000</v>
      </c>
      <c r="CK164" s="85">
        <f t="shared" si="86"/>
        <v>19.998752027954573</v>
      </c>
      <c r="CL164" s="33"/>
      <c r="CM164" s="33"/>
      <c r="CN164" s="85" t="str">
        <f t="shared" si="87"/>
        <v/>
      </c>
      <c r="CO164" s="33"/>
      <c r="CP164" s="33"/>
      <c r="CQ164" s="85" t="str">
        <f t="shared" si="88"/>
        <v/>
      </c>
    </row>
    <row r="165" spans="1:95" ht="15" customHeight="1" x14ac:dyDescent="0.3">
      <c r="A165" s="31" t="s">
        <v>256</v>
      </c>
      <c r="C165" s="30" t="s">
        <v>75</v>
      </c>
      <c r="D165" s="31" t="s">
        <v>1</v>
      </c>
      <c r="G165" s="85" t="str">
        <f t="shared" si="89"/>
        <v/>
      </c>
      <c r="H165" s="31"/>
      <c r="I165" s="31"/>
      <c r="J165" s="85" t="str">
        <f t="shared" si="60"/>
        <v/>
      </c>
      <c r="K165" s="31"/>
      <c r="L165" s="31"/>
      <c r="M165" s="85" t="str">
        <f t="shared" si="61"/>
        <v/>
      </c>
      <c r="N165" s="31"/>
      <c r="O165" s="31"/>
      <c r="P165" s="85" t="str">
        <f t="shared" si="62"/>
        <v/>
      </c>
      <c r="Q165" s="31"/>
      <c r="R165" s="31"/>
      <c r="S165" s="85" t="str">
        <f t="shared" si="63"/>
        <v/>
      </c>
      <c r="T165" s="31"/>
      <c r="U165" s="31"/>
      <c r="V165" s="85" t="str">
        <f t="shared" si="64"/>
        <v/>
      </c>
      <c r="W165" s="31"/>
      <c r="X165" s="31"/>
      <c r="Y165" s="85" t="str">
        <f t="shared" si="65"/>
        <v/>
      </c>
      <c r="Z165" s="31"/>
      <c r="AA165" s="31"/>
      <c r="AB165" s="85" t="str">
        <f t="shared" si="66"/>
        <v/>
      </c>
      <c r="AC165" s="31"/>
      <c r="AD165" s="31"/>
      <c r="AE165" s="85" t="str">
        <f t="shared" si="67"/>
        <v/>
      </c>
      <c r="AF165" s="31"/>
      <c r="AG165" s="31"/>
      <c r="AH165" s="85" t="str">
        <f t="shared" si="68"/>
        <v/>
      </c>
      <c r="AI165" s="31"/>
      <c r="AJ165" s="31"/>
      <c r="AK165" s="85" t="str">
        <f t="shared" si="69"/>
        <v/>
      </c>
      <c r="AL165" s="31"/>
      <c r="AM165" s="31"/>
      <c r="AN165" s="85" t="str">
        <f t="shared" si="70"/>
        <v/>
      </c>
      <c r="AO165" s="31"/>
      <c r="AP165" s="31"/>
      <c r="AQ165" s="85" t="str">
        <f t="shared" si="71"/>
        <v/>
      </c>
      <c r="AR165" s="31"/>
      <c r="AS165" s="31"/>
      <c r="AT165" s="85" t="str">
        <f t="shared" si="72"/>
        <v/>
      </c>
      <c r="AU165" s="31"/>
      <c r="AV165" s="31"/>
      <c r="AW165" s="85" t="str">
        <f t="shared" si="73"/>
        <v/>
      </c>
      <c r="AX165" s="33"/>
      <c r="AY165" s="31"/>
      <c r="AZ165" s="85" t="str">
        <f t="shared" si="74"/>
        <v/>
      </c>
      <c r="BA165" s="33"/>
      <c r="BB165" s="31"/>
      <c r="BC165" s="85" t="str">
        <f t="shared" si="75"/>
        <v/>
      </c>
      <c r="BD165" s="33"/>
      <c r="BE165" s="31"/>
      <c r="BF165" s="85" t="str">
        <f t="shared" si="76"/>
        <v/>
      </c>
      <c r="BG165" s="33"/>
      <c r="BH165" s="31"/>
      <c r="BI165" s="85" t="str">
        <f t="shared" si="77"/>
        <v/>
      </c>
      <c r="BJ165" s="33"/>
      <c r="BK165" s="33"/>
      <c r="BL165" s="85" t="str">
        <f t="shared" si="78"/>
        <v/>
      </c>
      <c r="BM165" s="33"/>
      <c r="BN165" s="33"/>
      <c r="BO165" s="85" t="str">
        <f t="shared" si="79"/>
        <v/>
      </c>
      <c r="BP165" s="33"/>
      <c r="BQ165" s="33"/>
      <c r="BR165" s="85" t="str">
        <f t="shared" si="80"/>
        <v/>
      </c>
      <c r="BS165" s="33"/>
      <c r="BT165" s="33"/>
      <c r="BU165" s="85" t="str">
        <f t="shared" si="81"/>
        <v/>
      </c>
      <c r="BV165" s="31" t="s">
        <v>1</v>
      </c>
      <c r="BW165" s="31"/>
      <c r="BX165" s="31"/>
      <c r="BY165" s="85" t="str">
        <f t="shared" si="82"/>
        <v/>
      </c>
      <c r="BZ165" s="31"/>
      <c r="CA165" s="31"/>
      <c r="CB165" s="85" t="str">
        <f t="shared" si="83"/>
        <v/>
      </c>
      <c r="CC165" s="31"/>
      <c r="CD165" s="31"/>
      <c r="CE165" s="85" t="str">
        <f t="shared" si="84"/>
        <v/>
      </c>
      <c r="CF165" s="31"/>
      <c r="CG165" s="31"/>
      <c r="CH165" s="85" t="str">
        <f t="shared" si="85"/>
        <v/>
      </c>
      <c r="CI165" s="66">
        <v>14629</v>
      </c>
      <c r="CJ165" s="66">
        <v>1443000</v>
      </c>
      <c r="CK165" s="85">
        <f t="shared" si="86"/>
        <v>98.639688290382111</v>
      </c>
      <c r="CL165" s="33"/>
      <c r="CM165" s="33"/>
      <c r="CN165" s="85" t="str">
        <f t="shared" si="87"/>
        <v/>
      </c>
      <c r="CO165" s="33"/>
      <c r="CP165" s="33"/>
      <c r="CQ165" s="85" t="str">
        <f t="shared" si="88"/>
        <v/>
      </c>
    </row>
    <row r="166" spans="1:95" ht="15" customHeight="1" x14ac:dyDescent="0.3">
      <c r="A166" s="31" t="s">
        <v>257</v>
      </c>
      <c r="C166" s="30" t="s">
        <v>75</v>
      </c>
      <c r="D166" s="31" t="s">
        <v>1</v>
      </c>
      <c r="G166" s="85" t="str">
        <f t="shared" si="89"/>
        <v/>
      </c>
      <c r="H166" s="31"/>
      <c r="I166" s="31"/>
      <c r="J166" s="85" t="str">
        <f t="shared" si="60"/>
        <v/>
      </c>
      <c r="K166" s="31"/>
      <c r="L166" s="31"/>
      <c r="M166" s="85" t="str">
        <f t="shared" si="61"/>
        <v/>
      </c>
      <c r="N166" s="31"/>
      <c r="O166" s="31"/>
      <c r="P166" s="85" t="str">
        <f t="shared" si="62"/>
        <v/>
      </c>
      <c r="Q166" s="31"/>
      <c r="R166" s="31"/>
      <c r="S166" s="85" t="str">
        <f t="shared" si="63"/>
        <v/>
      </c>
      <c r="T166" s="31"/>
      <c r="U166" s="31"/>
      <c r="V166" s="85" t="str">
        <f t="shared" si="64"/>
        <v/>
      </c>
      <c r="W166" s="31"/>
      <c r="X166" s="31"/>
      <c r="Y166" s="85" t="str">
        <f t="shared" si="65"/>
        <v/>
      </c>
      <c r="Z166" s="31"/>
      <c r="AA166" s="31"/>
      <c r="AB166" s="85" t="str">
        <f t="shared" si="66"/>
        <v/>
      </c>
      <c r="AC166" s="31"/>
      <c r="AD166" s="31"/>
      <c r="AE166" s="85" t="str">
        <f t="shared" si="67"/>
        <v/>
      </c>
      <c r="AF166" s="31"/>
      <c r="AG166" s="31"/>
      <c r="AH166" s="85" t="str">
        <f t="shared" si="68"/>
        <v/>
      </c>
      <c r="AI166" s="31"/>
      <c r="AJ166" s="31"/>
      <c r="AK166" s="85" t="str">
        <f t="shared" si="69"/>
        <v/>
      </c>
      <c r="AL166" s="31"/>
      <c r="AM166" s="31"/>
      <c r="AN166" s="85" t="str">
        <f t="shared" si="70"/>
        <v/>
      </c>
      <c r="AO166" s="31"/>
      <c r="AP166" s="31"/>
      <c r="AQ166" s="85" t="str">
        <f t="shared" si="71"/>
        <v/>
      </c>
      <c r="AR166" s="31"/>
      <c r="AS166" s="31"/>
      <c r="AT166" s="85" t="str">
        <f t="shared" si="72"/>
        <v/>
      </c>
      <c r="AU166" s="31"/>
      <c r="AV166" s="31"/>
      <c r="AW166" s="85" t="str">
        <f t="shared" si="73"/>
        <v/>
      </c>
      <c r="AX166" s="33"/>
      <c r="AY166" s="31"/>
      <c r="AZ166" s="85" t="str">
        <f t="shared" si="74"/>
        <v/>
      </c>
      <c r="BA166" s="33"/>
      <c r="BB166" s="31"/>
      <c r="BC166" s="85" t="str">
        <f t="shared" si="75"/>
        <v/>
      </c>
      <c r="BD166" s="33"/>
      <c r="BE166" s="31"/>
      <c r="BF166" s="85" t="str">
        <f t="shared" si="76"/>
        <v/>
      </c>
      <c r="BG166" s="33"/>
      <c r="BH166" s="31"/>
      <c r="BI166" s="85" t="str">
        <f t="shared" si="77"/>
        <v/>
      </c>
      <c r="BJ166" s="33"/>
      <c r="BK166" s="33"/>
      <c r="BL166" s="85" t="str">
        <f t="shared" si="78"/>
        <v/>
      </c>
      <c r="BM166" s="33"/>
      <c r="BN166" s="33"/>
      <c r="BO166" s="85" t="str">
        <f t="shared" si="79"/>
        <v/>
      </c>
      <c r="BP166" s="33"/>
      <c r="BQ166" s="33"/>
      <c r="BR166" s="85" t="str">
        <f t="shared" si="80"/>
        <v/>
      </c>
      <c r="BS166" s="33"/>
      <c r="BT166" s="33"/>
      <c r="BU166" s="85" t="str">
        <f t="shared" si="81"/>
        <v/>
      </c>
      <c r="BV166" s="31" t="s">
        <v>1</v>
      </c>
      <c r="BW166" s="31"/>
      <c r="BX166" s="31"/>
      <c r="BY166" s="85" t="str">
        <f t="shared" si="82"/>
        <v/>
      </c>
      <c r="BZ166" s="31"/>
      <c r="CA166" s="31"/>
      <c r="CB166" s="85" t="str">
        <f t="shared" si="83"/>
        <v/>
      </c>
      <c r="CC166" s="31"/>
      <c r="CD166" s="31"/>
      <c r="CE166" s="85" t="str">
        <f t="shared" si="84"/>
        <v/>
      </c>
      <c r="CF166" s="31"/>
      <c r="CG166" s="31"/>
      <c r="CH166" s="85" t="str">
        <f t="shared" si="85"/>
        <v/>
      </c>
      <c r="CI166" s="66">
        <v>110920</v>
      </c>
      <c r="CJ166" s="66">
        <v>14242000</v>
      </c>
      <c r="CK166" s="85">
        <f t="shared" si="86"/>
        <v>128.39884601514606</v>
      </c>
      <c r="CL166" s="33"/>
      <c r="CM166" s="33"/>
      <c r="CN166" s="85" t="str">
        <f t="shared" si="87"/>
        <v/>
      </c>
      <c r="CO166" s="33"/>
      <c r="CP166" s="33"/>
      <c r="CQ166" s="85" t="str">
        <f t="shared" si="88"/>
        <v/>
      </c>
    </row>
    <row r="167" spans="1:95" ht="15" customHeight="1" x14ac:dyDescent="0.3">
      <c r="A167" s="31" t="s">
        <v>409</v>
      </c>
      <c r="C167" s="30" t="s">
        <v>75</v>
      </c>
      <c r="D167" s="31" t="s">
        <v>1</v>
      </c>
      <c r="G167" s="85" t="str">
        <f t="shared" si="89"/>
        <v/>
      </c>
      <c r="H167" s="31"/>
      <c r="I167" s="31"/>
      <c r="J167" s="85" t="str">
        <f t="shared" si="60"/>
        <v/>
      </c>
      <c r="K167" s="31"/>
      <c r="L167" s="31"/>
      <c r="M167" s="85" t="str">
        <f t="shared" si="61"/>
        <v/>
      </c>
      <c r="N167" s="31"/>
      <c r="O167" s="31"/>
      <c r="P167" s="85" t="str">
        <f t="shared" si="62"/>
        <v/>
      </c>
      <c r="Q167" s="31"/>
      <c r="R167" s="31"/>
      <c r="S167" s="85" t="str">
        <f t="shared" si="63"/>
        <v/>
      </c>
      <c r="T167" s="31"/>
      <c r="U167" s="31"/>
      <c r="V167" s="85" t="str">
        <f t="shared" si="64"/>
        <v/>
      </c>
      <c r="W167" s="31"/>
      <c r="X167" s="31"/>
      <c r="Y167" s="85" t="str">
        <f t="shared" si="65"/>
        <v/>
      </c>
      <c r="Z167" s="31"/>
      <c r="AA167" s="31"/>
      <c r="AB167" s="85" t="str">
        <f t="shared" si="66"/>
        <v/>
      </c>
      <c r="AC167" s="31"/>
      <c r="AD167" s="31"/>
      <c r="AE167" s="85" t="str">
        <f t="shared" si="67"/>
        <v/>
      </c>
      <c r="AF167" s="31"/>
      <c r="AG167" s="31"/>
      <c r="AH167" s="85" t="str">
        <f t="shared" si="68"/>
        <v/>
      </c>
      <c r="AI167" s="31"/>
      <c r="AJ167" s="31"/>
      <c r="AK167" s="85" t="str">
        <f t="shared" si="69"/>
        <v/>
      </c>
      <c r="AL167" s="31"/>
      <c r="AM167" s="31"/>
      <c r="AN167" s="85" t="str">
        <f t="shared" si="70"/>
        <v/>
      </c>
      <c r="AO167" s="31"/>
      <c r="AP167" s="31"/>
      <c r="AQ167" s="85" t="str">
        <f t="shared" si="71"/>
        <v/>
      </c>
      <c r="AR167" s="31"/>
      <c r="AS167" s="31"/>
      <c r="AT167" s="85" t="str">
        <f t="shared" si="72"/>
        <v/>
      </c>
      <c r="AU167" s="31"/>
      <c r="AV167" s="31"/>
      <c r="AW167" s="85" t="str">
        <f t="shared" si="73"/>
        <v/>
      </c>
      <c r="AX167" s="33"/>
      <c r="AY167" s="31"/>
      <c r="AZ167" s="85" t="str">
        <f t="shared" si="74"/>
        <v/>
      </c>
      <c r="BA167" s="33"/>
      <c r="BB167" s="31"/>
      <c r="BC167" s="85" t="str">
        <f t="shared" si="75"/>
        <v/>
      </c>
      <c r="BD167" s="33"/>
      <c r="BE167" s="31"/>
      <c r="BF167" s="85" t="str">
        <f t="shared" si="76"/>
        <v/>
      </c>
      <c r="BG167" s="33"/>
      <c r="BH167" s="31"/>
      <c r="BI167" s="85" t="str">
        <f t="shared" si="77"/>
        <v/>
      </c>
      <c r="BJ167" s="33"/>
      <c r="BK167" s="33"/>
      <c r="BL167" s="85" t="str">
        <f t="shared" si="78"/>
        <v/>
      </c>
      <c r="BM167" s="33"/>
      <c r="BN167" s="33"/>
      <c r="BO167" s="85" t="str">
        <f t="shared" si="79"/>
        <v/>
      </c>
      <c r="BP167" s="33"/>
      <c r="BQ167" s="33"/>
      <c r="BR167" s="85" t="str">
        <f t="shared" si="80"/>
        <v/>
      </c>
      <c r="BS167" s="33"/>
      <c r="BT167" s="33"/>
      <c r="BU167" s="85" t="str">
        <f t="shared" si="81"/>
        <v/>
      </c>
      <c r="BV167" s="31" t="s">
        <v>1</v>
      </c>
      <c r="BW167" s="31"/>
      <c r="BX167" s="31"/>
      <c r="BY167" s="85" t="str">
        <f t="shared" si="82"/>
        <v/>
      </c>
      <c r="BZ167" s="31"/>
      <c r="CA167" s="31"/>
      <c r="CB167" s="85" t="str">
        <f t="shared" si="83"/>
        <v/>
      </c>
      <c r="CC167" s="31"/>
      <c r="CD167" s="31"/>
      <c r="CE167" s="85" t="str">
        <f t="shared" si="84"/>
        <v/>
      </c>
      <c r="CF167" s="31"/>
      <c r="CG167" s="31"/>
      <c r="CH167" s="85" t="str">
        <f t="shared" si="85"/>
        <v/>
      </c>
      <c r="CI167" s="66">
        <v>3272</v>
      </c>
      <c r="CJ167" s="66">
        <v>339000</v>
      </c>
      <c r="CK167" s="85">
        <f t="shared" si="86"/>
        <v>103.60635696821515</v>
      </c>
      <c r="CL167" s="33"/>
      <c r="CM167" s="33"/>
      <c r="CN167" s="85" t="str">
        <f t="shared" si="87"/>
        <v/>
      </c>
      <c r="CO167" s="33"/>
      <c r="CP167" s="33"/>
      <c r="CQ167" s="85" t="str">
        <f t="shared" si="88"/>
        <v/>
      </c>
    </row>
    <row r="168" spans="1:95" ht="15" customHeight="1" x14ac:dyDescent="0.3">
      <c r="A168" s="31" t="s">
        <v>262</v>
      </c>
      <c r="C168" s="30" t="s">
        <v>75</v>
      </c>
      <c r="D168" s="31" t="s">
        <v>1</v>
      </c>
      <c r="G168" s="85" t="str">
        <f t="shared" si="89"/>
        <v/>
      </c>
      <c r="H168" s="31"/>
      <c r="I168" s="31"/>
      <c r="J168" s="85" t="str">
        <f t="shared" si="60"/>
        <v/>
      </c>
      <c r="K168" s="31"/>
      <c r="L168" s="31"/>
      <c r="M168" s="85" t="str">
        <f t="shared" si="61"/>
        <v/>
      </c>
      <c r="N168" s="31"/>
      <c r="O168" s="31"/>
      <c r="P168" s="85" t="str">
        <f t="shared" si="62"/>
        <v/>
      </c>
      <c r="Q168" s="31"/>
      <c r="R168" s="31"/>
      <c r="S168" s="85" t="str">
        <f t="shared" si="63"/>
        <v/>
      </c>
      <c r="T168" s="31"/>
      <c r="U168" s="31"/>
      <c r="V168" s="85" t="str">
        <f t="shared" si="64"/>
        <v/>
      </c>
      <c r="W168" s="31"/>
      <c r="X168" s="31"/>
      <c r="Y168" s="85" t="str">
        <f t="shared" si="65"/>
        <v/>
      </c>
      <c r="Z168" s="31"/>
      <c r="AA168" s="31"/>
      <c r="AB168" s="85" t="str">
        <f t="shared" si="66"/>
        <v/>
      </c>
      <c r="AC168" s="31"/>
      <c r="AD168" s="31"/>
      <c r="AE168" s="85" t="str">
        <f t="shared" si="67"/>
        <v/>
      </c>
      <c r="AF168" s="31"/>
      <c r="AG168" s="31"/>
      <c r="AH168" s="85" t="str">
        <f t="shared" si="68"/>
        <v/>
      </c>
      <c r="AI168" s="31"/>
      <c r="AJ168" s="31"/>
      <c r="AK168" s="85" t="str">
        <f t="shared" si="69"/>
        <v/>
      </c>
      <c r="AL168" s="31"/>
      <c r="AM168" s="31"/>
      <c r="AN168" s="85" t="str">
        <f t="shared" si="70"/>
        <v/>
      </c>
      <c r="AO168" s="31"/>
      <c r="AP168" s="31"/>
      <c r="AQ168" s="85" t="str">
        <f t="shared" si="71"/>
        <v/>
      </c>
      <c r="AR168" s="31"/>
      <c r="AS168" s="31"/>
      <c r="AT168" s="85" t="str">
        <f t="shared" si="72"/>
        <v/>
      </c>
      <c r="AU168" s="31"/>
      <c r="AV168" s="31"/>
      <c r="AW168" s="85" t="str">
        <f t="shared" si="73"/>
        <v/>
      </c>
      <c r="AX168" s="33"/>
      <c r="AY168" s="31"/>
      <c r="AZ168" s="85" t="str">
        <f t="shared" si="74"/>
        <v/>
      </c>
      <c r="BA168" s="33"/>
      <c r="BB168" s="31"/>
      <c r="BC168" s="85" t="str">
        <f t="shared" si="75"/>
        <v/>
      </c>
      <c r="BD168" s="33"/>
      <c r="BE168" s="31"/>
      <c r="BF168" s="85" t="str">
        <f t="shared" si="76"/>
        <v/>
      </c>
      <c r="BG168" s="33"/>
      <c r="BH168" s="31"/>
      <c r="BI168" s="85" t="str">
        <f t="shared" si="77"/>
        <v/>
      </c>
      <c r="BJ168" s="33"/>
      <c r="BK168" s="33"/>
      <c r="BL168" s="85" t="str">
        <f t="shared" si="78"/>
        <v/>
      </c>
      <c r="BM168" s="33">
        <f>3548</f>
        <v>3548</v>
      </c>
      <c r="BN168" s="33">
        <v>430916</v>
      </c>
      <c r="BO168" s="85">
        <f t="shared" si="79"/>
        <v>121.45321307779031</v>
      </c>
      <c r="BP168" s="33">
        <f>743</f>
        <v>743</v>
      </c>
      <c r="BQ168" s="33">
        <v>32815</v>
      </c>
      <c r="BR168" s="85">
        <f t="shared" si="80"/>
        <v>44.165545087483174</v>
      </c>
      <c r="BS168" s="33">
        <f>175+2</f>
        <v>177</v>
      </c>
      <c r="BT168" s="33">
        <f>10210+70</f>
        <v>10280</v>
      </c>
      <c r="BU168" s="85">
        <f t="shared" si="81"/>
        <v>58.079096045197737</v>
      </c>
      <c r="BV168" s="31" t="s">
        <v>1</v>
      </c>
      <c r="BW168" s="31"/>
      <c r="BX168" s="31"/>
      <c r="BY168" s="85" t="str">
        <f t="shared" si="82"/>
        <v/>
      </c>
      <c r="BZ168" s="31"/>
      <c r="CA168" s="31"/>
      <c r="CB168" s="85" t="str">
        <f t="shared" si="83"/>
        <v/>
      </c>
      <c r="CC168" s="31"/>
      <c r="CD168" s="31"/>
      <c r="CE168" s="85" t="str">
        <f t="shared" si="84"/>
        <v/>
      </c>
      <c r="CF168" s="31"/>
      <c r="CG168" s="31"/>
      <c r="CH168" s="85" t="str">
        <f t="shared" si="85"/>
        <v/>
      </c>
      <c r="CI168" s="66">
        <v>22138</v>
      </c>
      <c r="CJ168" s="66">
        <v>909000</v>
      </c>
      <c r="CK168" s="85">
        <f t="shared" si="86"/>
        <v>41.060619748848133</v>
      </c>
      <c r="CL168" s="33"/>
      <c r="CM168" s="33"/>
      <c r="CN168" s="85" t="str">
        <f t="shared" si="87"/>
        <v/>
      </c>
      <c r="CO168" s="33"/>
      <c r="CP168" s="33"/>
      <c r="CQ168" s="85" t="str">
        <f t="shared" si="88"/>
        <v/>
      </c>
    </row>
    <row r="169" spans="1:95" ht="15" customHeight="1" x14ac:dyDescent="0.3">
      <c r="A169" s="31" t="s">
        <v>255</v>
      </c>
      <c r="C169" s="30" t="s">
        <v>75</v>
      </c>
      <c r="D169" s="31" t="s">
        <v>1</v>
      </c>
      <c r="G169" s="85" t="str">
        <f t="shared" si="89"/>
        <v/>
      </c>
      <c r="H169" s="31"/>
      <c r="I169" s="31"/>
      <c r="J169" s="85" t="str">
        <f t="shared" si="60"/>
        <v/>
      </c>
      <c r="K169" s="31"/>
      <c r="L169" s="31"/>
      <c r="M169" s="85" t="str">
        <f t="shared" si="61"/>
        <v/>
      </c>
      <c r="N169" s="31"/>
      <c r="O169" s="31"/>
      <c r="P169" s="85" t="str">
        <f t="shared" si="62"/>
        <v/>
      </c>
      <c r="Q169" s="31"/>
      <c r="R169" s="31"/>
      <c r="S169" s="85" t="str">
        <f t="shared" si="63"/>
        <v/>
      </c>
      <c r="T169" s="31"/>
      <c r="U169" s="31"/>
      <c r="V169" s="85" t="str">
        <f t="shared" si="64"/>
        <v/>
      </c>
      <c r="W169" s="31"/>
      <c r="X169" s="31"/>
      <c r="Y169" s="85" t="str">
        <f t="shared" si="65"/>
        <v/>
      </c>
      <c r="Z169" s="31"/>
      <c r="AA169" s="31"/>
      <c r="AB169" s="85" t="str">
        <f t="shared" si="66"/>
        <v/>
      </c>
      <c r="AC169" s="31"/>
      <c r="AD169" s="31"/>
      <c r="AE169" s="85" t="str">
        <f t="shared" si="67"/>
        <v/>
      </c>
      <c r="AF169" s="31"/>
      <c r="AG169" s="31"/>
      <c r="AH169" s="85" t="str">
        <f t="shared" si="68"/>
        <v/>
      </c>
      <c r="AI169" s="31"/>
      <c r="AJ169" s="31"/>
      <c r="AK169" s="85" t="str">
        <f t="shared" si="69"/>
        <v/>
      </c>
      <c r="AL169" s="31"/>
      <c r="AM169" s="31"/>
      <c r="AN169" s="85" t="str">
        <f t="shared" si="70"/>
        <v/>
      </c>
      <c r="AO169" s="31"/>
      <c r="AP169" s="31"/>
      <c r="AQ169" s="85" t="str">
        <f t="shared" si="71"/>
        <v/>
      </c>
      <c r="AR169" s="31"/>
      <c r="AS169" s="31"/>
      <c r="AT169" s="85" t="str">
        <f t="shared" si="72"/>
        <v/>
      </c>
      <c r="AU169" s="31"/>
      <c r="AV169" s="31"/>
      <c r="AW169" s="85" t="str">
        <f t="shared" si="73"/>
        <v/>
      </c>
      <c r="AX169" s="33"/>
      <c r="AY169" s="31"/>
      <c r="AZ169" s="85" t="str">
        <f t="shared" si="74"/>
        <v/>
      </c>
      <c r="BA169" s="33"/>
      <c r="BB169" s="31"/>
      <c r="BC169" s="85" t="str">
        <f t="shared" si="75"/>
        <v/>
      </c>
      <c r="BD169" s="33"/>
      <c r="BE169" s="31"/>
      <c r="BF169" s="85" t="str">
        <f t="shared" si="76"/>
        <v/>
      </c>
      <c r="BG169" s="33"/>
      <c r="BH169" s="31"/>
      <c r="BI169" s="85" t="str">
        <f t="shared" si="77"/>
        <v/>
      </c>
      <c r="BJ169" s="33"/>
      <c r="BK169" s="33"/>
      <c r="BL169" s="85" t="str">
        <f t="shared" si="78"/>
        <v/>
      </c>
      <c r="BM169" s="33"/>
      <c r="BN169" s="33"/>
      <c r="BO169" s="85" t="str">
        <f t="shared" si="79"/>
        <v/>
      </c>
      <c r="BP169" s="33"/>
      <c r="BQ169" s="33"/>
      <c r="BR169" s="85" t="str">
        <f t="shared" si="80"/>
        <v/>
      </c>
      <c r="BS169" s="33"/>
      <c r="BT169" s="33"/>
      <c r="BU169" s="85" t="str">
        <f t="shared" si="81"/>
        <v/>
      </c>
      <c r="BV169" s="31" t="s">
        <v>1</v>
      </c>
      <c r="BW169" s="31"/>
      <c r="BX169" s="31"/>
      <c r="BY169" s="85" t="str">
        <f t="shared" si="82"/>
        <v/>
      </c>
      <c r="BZ169" s="31"/>
      <c r="CA169" s="31"/>
      <c r="CB169" s="85" t="str">
        <f t="shared" si="83"/>
        <v/>
      </c>
      <c r="CC169" s="31"/>
      <c r="CD169" s="31"/>
      <c r="CE169" s="85" t="str">
        <f t="shared" si="84"/>
        <v/>
      </c>
      <c r="CF169" s="31"/>
      <c r="CG169" s="31"/>
      <c r="CH169" s="85" t="str">
        <f t="shared" si="85"/>
        <v/>
      </c>
      <c r="CI169" s="66">
        <v>627</v>
      </c>
      <c r="CJ169" s="66">
        <v>187000</v>
      </c>
      <c r="CK169" s="85">
        <f t="shared" si="86"/>
        <v>298.24561403508773</v>
      </c>
      <c r="CL169" s="33"/>
      <c r="CM169" s="33"/>
      <c r="CN169" s="85" t="str">
        <f t="shared" si="87"/>
        <v/>
      </c>
      <c r="CO169" s="33"/>
      <c r="CP169" s="33"/>
      <c r="CQ169" s="85" t="str">
        <f t="shared" si="88"/>
        <v/>
      </c>
    </row>
    <row r="170" spans="1:95" ht="15" customHeight="1" x14ac:dyDescent="0.3">
      <c r="A170" s="31" t="s">
        <v>258</v>
      </c>
      <c r="C170" s="30" t="s">
        <v>75</v>
      </c>
      <c r="D170" s="31" t="s">
        <v>1</v>
      </c>
      <c r="G170" s="85" t="str">
        <f t="shared" si="89"/>
        <v/>
      </c>
      <c r="H170" s="31"/>
      <c r="I170" s="31"/>
      <c r="J170" s="85" t="str">
        <f t="shared" si="60"/>
        <v/>
      </c>
      <c r="K170" s="31"/>
      <c r="L170" s="31"/>
      <c r="M170" s="85" t="str">
        <f t="shared" si="61"/>
        <v/>
      </c>
      <c r="N170" s="31"/>
      <c r="O170" s="31"/>
      <c r="P170" s="85" t="str">
        <f t="shared" si="62"/>
        <v/>
      </c>
      <c r="Q170" s="31"/>
      <c r="R170" s="31"/>
      <c r="S170" s="85" t="str">
        <f t="shared" si="63"/>
        <v/>
      </c>
      <c r="T170" s="31"/>
      <c r="U170" s="31"/>
      <c r="V170" s="85" t="str">
        <f t="shared" si="64"/>
        <v/>
      </c>
      <c r="W170" s="31"/>
      <c r="X170" s="31"/>
      <c r="Y170" s="85" t="str">
        <f t="shared" si="65"/>
        <v/>
      </c>
      <c r="Z170" s="31"/>
      <c r="AA170" s="31"/>
      <c r="AB170" s="85" t="str">
        <f t="shared" si="66"/>
        <v/>
      </c>
      <c r="AC170" s="31"/>
      <c r="AD170" s="31"/>
      <c r="AE170" s="85" t="str">
        <f t="shared" si="67"/>
        <v/>
      </c>
      <c r="AF170" s="31"/>
      <c r="AG170" s="31"/>
      <c r="AH170" s="85" t="str">
        <f t="shared" si="68"/>
        <v/>
      </c>
      <c r="AI170" s="31"/>
      <c r="AJ170" s="31"/>
      <c r="AK170" s="85" t="str">
        <f t="shared" si="69"/>
        <v/>
      </c>
      <c r="AL170" s="31"/>
      <c r="AM170" s="31"/>
      <c r="AN170" s="85" t="str">
        <f t="shared" si="70"/>
        <v/>
      </c>
      <c r="AO170" s="31"/>
      <c r="AP170" s="31"/>
      <c r="AQ170" s="85" t="str">
        <f t="shared" si="71"/>
        <v/>
      </c>
      <c r="AR170" s="31"/>
      <c r="AS170" s="31"/>
      <c r="AT170" s="85" t="str">
        <f t="shared" si="72"/>
        <v/>
      </c>
      <c r="AU170" s="31"/>
      <c r="AV170" s="31"/>
      <c r="AW170" s="85" t="str">
        <f t="shared" si="73"/>
        <v/>
      </c>
      <c r="AX170" s="33"/>
      <c r="AY170" s="31"/>
      <c r="AZ170" s="85" t="str">
        <f t="shared" si="74"/>
        <v/>
      </c>
      <c r="BA170" s="33"/>
      <c r="BB170" s="31"/>
      <c r="BC170" s="85" t="str">
        <f t="shared" si="75"/>
        <v/>
      </c>
      <c r="BD170" s="33">
        <v>535</v>
      </c>
      <c r="BE170" s="31">
        <v>171300</v>
      </c>
      <c r="BF170" s="85">
        <f t="shared" si="76"/>
        <v>320.18691588785049</v>
      </c>
      <c r="BG170" s="33">
        <v>525</v>
      </c>
      <c r="BH170" s="31">
        <v>175000</v>
      </c>
      <c r="BI170" s="85">
        <f t="shared" si="77"/>
        <v>333.33333333333331</v>
      </c>
      <c r="BJ170" s="33"/>
      <c r="BK170" s="33"/>
      <c r="BL170" s="85" t="str">
        <f t="shared" si="78"/>
        <v/>
      </c>
      <c r="BM170" s="33"/>
      <c r="BN170" s="33"/>
      <c r="BO170" s="85" t="str">
        <f t="shared" si="79"/>
        <v/>
      </c>
      <c r="BP170" s="33"/>
      <c r="BQ170" s="33"/>
      <c r="BR170" s="85" t="str">
        <f t="shared" si="80"/>
        <v/>
      </c>
      <c r="BS170" s="33"/>
      <c r="BT170" s="33"/>
      <c r="BU170" s="85" t="str">
        <f t="shared" si="81"/>
        <v/>
      </c>
      <c r="BV170" s="31" t="s">
        <v>1</v>
      </c>
      <c r="BW170" s="31"/>
      <c r="BX170" s="31"/>
      <c r="BY170" s="85" t="str">
        <f t="shared" si="82"/>
        <v/>
      </c>
      <c r="BZ170" s="31"/>
      <c r="CA170" s="31"/>
      <c r="CB170" s="85" t="str">
        <f t="shared" si="83"/>
        <v/>
      </c>
      <c r="CC170" s="31"/>
      <c r="CD170" s="31"/>
      <c r="CE170" s="85" t="str">
        <f t="shared" si="84"/>
        <v/>
      </c>
      <c r="CF170" s="31"/>
      <c r="CG170" s="31"/>
      <c r="CH170" s="85" t="str">
        <f t="shared" si="85"/>
        <v/>
      </c>
      <c r="CI170" s="66">
        <v>764</v>
      </c>
      <c r="CJ170" s="66">
        <v>270000</v>
      </c>
      <c r="CK170" s="85">
        <f t="shared" si="86"/>
        <v>353.40314136125653</v>
      </c>
      <c r="CL170" s="33"/>
      <c r="CM170" s="33"/>
      <c r="CN170" s="85" t="str">
        <f t="shared" si="87"/>
        <v/>
      </c>
      <c r="CO170" s="33"/>
      <c r="CP170" s="33"/>
      <c r="CQ170" s="85" t="str">
        <f t="shared" si="88"/>
        <v/>
      </c>
    </row>
    <row r="171" spans="1:95" ht="15" customHeight="1" x14ac:dyDescent="0.3">
      <c r="A171" s="31" t="s">
        <v>259</v>
      </c>
      <c r="C171" s="30" t="s">
        <v>75</v>
      </c>
      <c r="D171" s="31" t="s">
        <v>1</v>
      </c>
      <c r="G171" s="85" t="str">
        <f t="shared" si="89"/>
        <v/>
      </c>
      <c r="H171" s="31"/>
      <c r="I171" s="31"/>
      <c r="J171" s="85" t="str">
        <f t="shared" si="60"/>
        <v/>
      </c>
      <c r="K171" s="31"/>
      <c r="L171" s="31"/>
      <c r="M171" s="85" t="str">
        <f t="shared" si="61"/>
        <v/>
      </c>
      <c r="N171" s="31"/>
      <c r="O171" s="31"/>
      <c r="P171" s="85" t="str">
        <f t="shared" si="62"/>
        <v/>
      </c>
      <c r="Q171" s="31"/>
      <c r="R171" s="31"/>
      <c r="S171" s="85" t="str">
        <f t="shared" si="63"/>
        <v/>
      </c>
      <c r="T171" s="31"/>
      <c r="U171" s="31"/>
      <c r="V171" s="85" t="str">
        <f t="shared" si="64"/>
        <v/>
      </c>
      <c r="W171" s="31"/>
      <c r="X171" s="31"/>
      <c r="Y171" s="85" t="str">
        <f t="shared" si="65"/>
        <v/>
      </c>
      <c r="Z171" s="31"/>
      <c r="AA171" s="31"/>
      <c r="AB171" s="85" t="str">
        <f t="shared" si="66"/>
        <v/>
      </c>
      <c r="AC171" s="31"/>
      <c r="AD171" s="31"/>
      <c r="AE171" s="85" t="str">
        <f t="shared" si="67"/>
        <v/>
      </c>
      <c r="AF171" s="84">
        <v>1737.4</v>
      </c>
      <c r="AG171" s="83">
        <v>69019</v>
      </c>
      <c r="AH171" s="85">
        <f t="shared" si="68"/>
        <v>39.72545182456544</v>
      </c>
      <c r="AI171" s="84">
        <v>1646.2</v>
      </c>
      <c r="AJ171" s="83">
        <v>50392</v>
      </c>
      <c r="AK171" s="85">
        <f t="shared" si="69"/>
        <v>30.611104361559956</v>
      </c>
      <c r="AL171" s="84">
        <v>2148</v>
      </c>
      <c r="AM171" s="83">
        <v>93970</v>
      </c>
      <c r="AN171" s="85">
        <f t="shared" si="70"/>
        <v>43.747672253258848</v>
      </c>
      <c r="AO171" s="84">
        <v>1676.7</v>
      </c>
      <c r="AP171" s="83">
        <v>62402</v>
      </c>
      <c r="AQ171" s="85">
        <f t="shared" si="71"/>
        <v>37.217152740502179</v>
      </c>
      <c r="AR171" s="31"/>
      <c r="AS171" s="31"/>
      <c r="AT171" s="85" t="str">
        <f t="shared" si="72"/>
        <v/>
      </c>
      <c r="AU171" s="31"/>
      <c r="AV171" s="31"/>
      <c r="AW171" s="85" t="str">
        <f t="shared" si="73"/>
        <v/>
      </c>
      <c r="AX171" s="33"/>
      <c r="AY171" s="31"/>
      <c r="AZ171" s="85" t="str">
        <f t="shared" si="74"/>
        <v/>
      </c>
      <c r="BA171" s="33"/>
      <c r="BB171" s="31"/>
      <c r="BC171" s="85" t="str">
        <f t="shared" si="75"/>
        <v/>
      </c>
      <c r="BD171" s="33"/>
      <c r="BE171" s="31"/>
      <c r="BF171" s="85" t="str">
        <f t="shared" si="76"/>
        <v/>
      </c>
      <c r="BG171" s="33"/>
      <c r="BH171" s="31"/>
      <c r="BI171" s="85" t="str">
        <f t="shared" si="77"/>
        <v/>
      </c>
      <c r="BJ171" s="33"/>
      <c r="BK171" s="33"/>
      <c r="BL171" s="85" t="str">
        <f t="shared" si="78"/>
        <v/>
      </c>
      <c r="BM171" s="33"/>
      <c r="BN171" s="33"/>
      <c r="BO171" s="85" t="str">
        <f t="shared" si="79"/>
        <v/>
      </c>
      <c r="BP171" s="33"/>
      <c r="BQ171" s="33"/>
      <c r="BR171" s="85" t="str">
        <f t="shared" si="80"/>
        <v/>
      </c>
      <c r="BS171" s="33"/>
      <c r="BT171" s="33"/>
      <c r="BU171" s="85" t="str">
        <f t="shared" si="81"/>
        <v/>
      </c>
      <c r="BV171" s="31" t="s">
        <v>1</v>
      </c>
      <c r="BW171" s="31"/>
      <c r="BX171" s="31"/>
      <c r="BY171" s="85" t="str">
        <f t="shared" si="82"/>
        <v/>
      </c>
      <c r="BZ171" s="31"/>
      <c r="CA171" s="31"/>
      <c r="CB171" s="85" t="str">
        <f t="shared" si="83"/>
        <v/>
      </c>
      <c r="CC171" s="31"/>
      <c r="CD171" s="31"/>
      <c r="CE171" s="85" t="str">
        <f t="shared" si="84"/>
        <v/>
      </c>
      <c r="CF171" s="31"/>
      <c r="CG171" s="31"/>
      <c r="CH171" s="85" t="str">
        <f t="shared" si="85"/>
        <v/>
      </c>
      <c r="CI171" s="66">
        <v>2126</v>
      </c>
      <c r="CJ171" s="66">
        <v>221000</v>
      </c>
      <c r="CK171" s="85">
        <f t="shared" si="86"/>
        <v>103.9510818438382</v>
      </c>
      <c r="CL171" s="33"/>
      <c r="CM171" s="33"/>
      <c r="CN171" s="85" t="str">
        <f t="shared" si="87"/>
        <v/>
      </c>
      <c r="CO171" s="33"/>
      <c r="CP171" s="33"/>
      <c r="CQ171" s="85" t="str">
        <f t="shared" si="88"/>
        <v/>
      </c>
    </row>
    <row r="172" spans="1:95" ht="15" customHeight="1" x14ac:dyDescent="0.3">
      <c r="A172" s="31" t="s">
        <v>260</v>
      </c>
      <c r="C172" s="30" t="s">
        <v>75</v>
      </c>
      <c r="D172" s="31" t="s">
        <v>1</v>
      </c>
      <c r="G172" s="85" t="str">
        <f t="shared" si="89"/>
        <v/>
      </c>
      <c r="H172" s="31"/>
      <c r="I172" s="31"/>
      <c r="J172" s="85" t="str">
        <f t="shared" si="60"/>
        <v/>
      </c>
      <c r="K172" s="31"/>
      <c r="L172" s="31"/>
      <c r="M172" s="85" t="str">
        <f t="shared" si="61"/>
        <v/>
      </c>
      <c r="N172" s="31"/>
      <c r="O172" s="31"/>
      <c r="P172" s="85" t="str">
        <f t="shared" si="62"/>
        <v/>
      </c>
      <c r="Q172" s="31"/>
      <c r="R172" s="31"/>
      <c r="S172" s="85" t="str">
        <f t="shared" si="63"/>
        <v/>
      </c>
      <c r="T172" s="31"/>
      <c r="U172" s="31"/>
      <c r="V172" s="85" t="str">
        <f t="shared" si="64"/>
        <v/>
      </c>
      <c r="W172" s="31"/>
      <c r="X172" s="31"/>
      <c r="Y172" s="85" t="str">
        <f t="shared" si="65"/>
        <v/>
      </c>
      <c r="Z172" s="31"/>
      <c r="AA172" s="31"/>
      <c r="AB172" s="85" t="str">
        <f t="shared" si="66"/>
        <v/>
      </c>
      <c r="AC172" s="31"/>
      <c r="AD172" s="31"/>
      <c r="AE172" s="85" t="str">
        <f t="shared" si="67"/>
        <v/>
      </c>
      <c r="AF172" s="31"/>
      <c r="AG172" s="31"/>
      <c r="AH172" s="85" t="str">
        <f t="shared" si="68"/>
        <v/>
      </c>
      <c r="AI172" s="31"/>
      <c r="AJ172" s="31"/>
      <c r="AK172" s="85" t="str">
        <f t="shared" si="69"/>
        <v/>
      </c>
      <c r="AL172" s="31"/>
      <c r="AM172" s="31"/>
      <c r="AN172" s="85" t="str">
        <f t="shared" si="70"/>
        <v/>
      </c>
      <c r="AO172" s="31"/>
      <c r="AP172" s="31"/>
      <c r="AQ172" s="85" t="str">
        <f t="shared" si="71"/>
        <v/>
      </c>
      <c r="AR172" s="31"/>
      <c r="AS172" s="31"/>
      <c r="AT172" s="85" t="str">
        <f t="shared" si="72"/>
        <v/>
      </c>
      <c r="AU172" s="31"/>
      <c r="AV172" s="31"/>
      <c r="AW172" s="85" t="str">
        <f t="shared" si="73"/>
        <v/>
      </c>
      <c r="AX172" s="33"/>
      <c r="AY172" s="31"/>
      <c r="AZ172" s="85" t="str">
        <f t="shared" si="74"/>
        <v/>
      </c>
      <c r="BA172" s="33"/>
      <c r="BB172" s="31"/>
      <c r="BC172" s="85" t="str">
        <f t="shared" si="75"/>
        <v/>
      </c>
      <c r="BD172" s="33"/>
      <c r="BE172" s="31"/>
      <c r="BF172" s="85" t="str">
        <f t="shared" si="76"/>
        <v/>
      </c>
      <c r="BG172" s="33"/>
      <c r="BH172" s="31"/>
      <c r="BI172" s="85" t="str">
        <f t="shared" si="77"/>
        <v/>
      </c>
      <c r="BJ172" s="33"/>
      <c r="BK172" s="33"/>
      <c r="BL172" s="85" t="str">
        <f t="shared" si="78"/>
        <v/>
      </c>
      <c r="BM172" s="33"/>
      <c r="BN172" s="33"/>
      <c r="BO172" s="85" t="str">
        <f t="shared" si="79"/>
        <v/>
      </c>
      <c r="BP172" s="33"/>
      <c r="BQ172" s="33"/>
      <c r="BR172" s="85" t="str">
        <f t="shared" si="80"/>
        <v/>
      </c>
      <c r="BS172" s="33"/>
      <c r="BT172" s="33"/>
      <c r="BU172" s="85" t="str">
        <f t="shared" si="81"/>
        <v/>
      </c>
      <c r="BV172" s="31" t="s">
        <v>1</v>
      </c>
      <c r="BW172" s="31"/>
      <c r="BX172" s="31"/>
      <c r="BY172" s="85" t="str">
        <f t="shared" si="82"/>
        <v/>
      </c>
      <c r="BZ172" s="31"/>
      <c r="CA172" s="31"/>
      <c r="CB172" s="85" t="str">
        <f t="shared" si="83"/>
        <v/>
      </c>
      <c r="CC172" s="31"/>
      <c r="CD172" s="31"/>
      <c r="CE172" s="85" t="str">
        <f t="shared" si="84"/>
        <v/>
      </c>
      <c r="CF172" s="31"/>
      <c r="CG172" s="31"/>
      <c r="CH172" s="85" t="str">
        <f t="shared" si="85"/>
        <v/>
      </c>
      <c r="CI172" s="66">
        <v>2313</v>
      </c>
      <c r="CJ172" s="66">
        <v>590000</v>
      </c>
      <c r="CK172" s="85">
        <f t="shared" si="86"/>
        <v>255.07998270644185</v>
      </c>
      <c r="CL172" s="33"/>
      <c r="CM172" s="33"/>
      <c r="CN172" s="85" t="str">
        <f t="shared" si="87"/>
        <v/>
      </c>
      <c r="CO172" s="33"/>
      <c r="CP172" s="33"/>
      <c r="CQ172" s="85" t="str">
        <f t="shared" si="88"/>
        <v/>
      </c>
    </row>
    <row r="173" spans="1:95" ht="15" customHeight="1" x14ac:dyDescent="0.3">
      <c r="A173" s="31" t="s">
        <v>294</v>
      </c>
      <c r="C173" s="30" t="s">
        <v>75</v>
      </c>
      <c r="D173" s="31" t="s">
        <v>1</v>
      </c>
      <c r="G173" s="85" t="str">
        <f t="shared" si="89"/>
        <v/>
      </c>
      <c r="H173" s="31"/>
      <c r="I173" s="31"/>
      <c r="J173" s="85" t="str">
        <f t="shared" si="60"/>
        <v/>
      </c>
      <c r="K173" s="31"/>
      <c r="L173" s="31"/>
      <c r="M173" s="85" t="str">
        <f t="shared" si="61"/>
        <v/>
      </c>
      <c r="N173" s="31"/>
      <c r="O173" s="31"/>
      <c r="P173" s="85" t="str">
        <f t="shared" si="62"/>
        <v/>
      </c>
      <c r="Q173" s="31"/>
      <c r="R173" s="31"/>
      <c r="S173" s="85" t="str">
        <f t="shared" si="63"/>
        <v/>
      </c>
      <c r="T173" s="31"/>
      <c r="U173" s="31"/>
      <c r="V173" s="85" t="str">
        <f t="shared" si="64"/>
        <v/>
      </c>
      <c r="W173" s="31"/>
      <c r="X173" s="31"/>
      <c r="Y173" s="85" t="str">
        <f t="shared" si="65"/>
        <v/>
      </c>
      <c r="Z173" s="31"/>
      <c r="AA173" s="31"/>
      <c r="AB173" s="85" t="str">
        <f t="shared" si="66"/>
        <v/>
      </c>
      <c r="AC173" s="31"/>
      <c r="AD173" s="31"/>
      <c r="AE173" s="85" t="str">
        <f t="shared" si="67"/>
        <v/>
      </c>
      <c r="AF173" s="31"/>
      <c r="AG173" s="31"/>
      <c r="AH173" s="85" t="str">
        <f t="shared" si="68"/>
        <v/>
      </c>
      <c r="AI173" s="31"/>
      <c r="AJ173" s="31"/>
      <c r="AK173" s="85" t="str">
        <f t="shared" si="69"/>
        <v/>
      </c>
      <c r="AL173" s="31"/>
      <c r="AM173" s="31"/>
      <c r="AN173" s="85" t="str">
        <f t="shared" si="70"/>
        <v/>
      </c>
      <c r="AO173" s="31"/>
      <c r="AP173" s="31"/>
      <c r="AQ173" s="85" t="str">
        <f t="shared" si="71"/>
        <v/>
      </c>
      <c r="AR173" s="31"/>
      <c r="AS173" s="31"/>
      <c r="AT173" s="85" t="str">
        <f t="shared" si="72"/>
        <v/>
      </c>
      <c r="AU173" s="31"/>
      <c r="AV173" s="31"/>
      <c r="AW173" s="85" t="str">
        <f t="shared" si="73"/>
        <v/>
      </c>
      <c r="AX173" s="33"/>
      <c r="AY173" s="31"/>
      <c r="AZ173" s="85" t="str">
        <f t="shared" si="74"/>
        <v/>
      </c>
      <c r="BA173" s="33"/>
      <c r="BB173" s="31"/>
      <c r="BC173" s="85" t="str">
        <f t="shared" si="75"/>
        <v/>
      </c>
      <c r="BD173" s="33"/>
      <c r="BE173" s="31"/>
      <c r="BF173" s="85" t="str">
        <f t="shared" si="76"/>
        <v/>
      </c>
      <c r="BG173" s="33"/>
      <c r="BH173" s="31"/>
      <c r="BI173" s="85" t="str">
        <f t="shared" si="77"/>
        <v/>
      </c>
      <c r="BJ173" s="33"/>
      <c r="BK173" s="33"/>
      <c r="BL173" s="85" t="str">
        <f t="shared" si="78"/>
        <v/>
      </c>
      <c r="BM173" s="33"/>
      <c r="BN173" s="33"/>
      <c r="BO173" s="85" t="str">
        <f t="shared" si="79"/>
        <v/>
      </c>
      <c r="BP173" s="33">
        <v>2768</v>
      </c>
      <c r="BQ173" s="31">
        <v>122000</v>
      </c>
      <c r="BR173" s="85">
        <f t="shared" si="80"/>
        <v>44.075144508670519</v>
      </c>
      <c r="BS173" s="31"/>
      <c r="BT173" s="31"/>
      <c r="BU173" s="85" t="str">
        <f t="shared" si="81"/>
        <v/>
      </c>
      <c r="BV173" s="31"/>
      <c r="BW173" s="31"/>
      <c r="BX173" s="31"/>
      <c r="BY173" s="85" t="str">
        <f t="shared" si="82"/>
        <v/>
      </c>
      <c r="BZ173" s="31"/>
      <c r="CA173" s="31"/>
      <c r="CB173" s="85" t="str">
        <f t="shared" si="83"/>
        <v/>
      </c>
      <c r="CC173" s="33"/>
      <c r="CD173" s="33"/>
      <c r="CE173" s="85" t="str">
        <f t="shared" si="84"/>
        <v/>
      </c>
      <c r="CF173" s="33"/>
      <c r="CG173" s="33"/>
      <c r="CH173" s="85" t="str">
        <f t="shared" si="85"/>
        <v/>
      </c>
      <c r="CI173" s="33"/>
      <c r="CJ173" s="33"/>
      <c r="CK173" s="85" t="str">
        <f t="shared" si="86"/>
        <v/>
      </c>
      <c r="CN173" s="85" t="str">
        <f t="shared" si="87"/>
        <v/>
      </c>
      <c r="CQ173" s="85" t="str">
        <f t="shared" si="88"/>
        <v/>
      </c>
    </row>
    <row r="174" spans="1:95" ht="15" customHeight="1" x14ac:dyDescent="0.3">
      <c r="G174" s="31"/>
      <c r="H174" s="31"/>
      <c r="I174" s="31"/>
      <c r="K174" s="31"/>
      <c r="L174" s="31"/>
      <c r="M174" s="31"/>
      <c r="N174" s="31"/>
      <c r="O174" s="31"/>
      <c r="P174" s="31"/>
      <c r="Q174" s="31"/>
      <c r="R174" s="31"/>
      <c r="S174" s="31"/>
      <c r="T174" s="31"/>
      <c r="U174" s="31"/>
      <c r="V174" s="31"/>
      <c r="W174" s="31"/>
      <c r="X174" s="31"/>
      <c r="Y174" s="31"/>
      <c r="Z174" s="31"/>
      <c r="AA174" s="31"/>
      <c r="AB174" s="31"/>
      <c r="AC174" s="31"/>
      <c r="AD174" s="31"/>
      <c r="AE174" s="31"/>
      <c r="AF174" s="31"/>
      <c r="AG174" s="31"/>
      <c r="AH174" s="31"/>
      <c r="AI174" s="31"/>
      <c r="AJ174" s="31"/>
      <c r="AK174" s="31"/>
      <c r="AL174" s="31"/>
      <c r="AM174" s="31"/>
      <c r="AN174" s="31"/>
      <c r="AO174" s="31"/>
      <c r="AP174" s="31"/>
      <c r="AQ174" s="31"/>
      <c r="AR174" s="31"/>
      <c r="AS174" s="31"/>
      <c r="AT174" s="31"/>
      <c r="AU174" s="31"/>
      <c r="AV174" s="31"/>
      <c r="AW174" s="31"/>
      <c r="AX174" s="31"/>
      <c r="AY174" s="31"/>
      <c r="AZ174" s="31"/>
      <c r="BA174" s="31"/>
      <c r="BB174" s="31"/>
      <c r="BC174" s="31"/>
      <c r="BD174" s="31"/>
      <c r="BE174" s="31"/>
      <c r="BF174" s="31"/>
      <c r="BG174" s="31"/>
      <c r="BH174" s="31"/>
      <c r="BI174" s="31"/>
      <c r="BJ174" s="31"/>
      <c r="BK174" s="31"/>
      <c r="BL174" s="31"/>
      <c r="BM174" s="31"/>
      <c r="BN174" s="31"/>
      <c r="BO174" s="31"/>
      <c r="BP174" s="31"/>
      <c r="BQ174" s="31"/>
      <c r="BR174" s="31"/>
      <c r="BS174" s="31"/>
      <c r="BT174" s="31"/>
      <c r="BU174" s="31"/>
      <c r="BV174" s="31"/>
      <c r="BW174" s="31"/>
      <c r="BX174" s="31"/>
      <c r="BY174" s="31"/>
      <c r="BZ174" s="31"/>
      <c r="CA174" s="31"/>
      <c r="CB174" s="33"/>
      <c r="CC174" s="33"/>
      <c r="CD174" s="33"/>
      <c r="CE174" s="33"/>
      <c r="CF174" s="33"/>
      <c r="CG174" s="33"/>
      <c r="CH174" s="33"/>
      <c r="CI174" s="33"/>
      <c r="CJ174" s="33"/>
    </row>
    <row r="175" spans="1:95" x14ac:dyDescent="0.3">
      <c r="G175" s="31"/>
      <c r="H175" s="31"/>
      <c r="I175" s="31"/>
      <c r="K175" s="31"/>
      <c r="L175" s="31"/>
      <c r="M175" s="31"/>
      <c r="N175" s="31"/>
      <c r="O175" s="31"/>
      <c r="P175" s="31"/>
      <c r="Q175" s="31"/>
      <c r="R175" s="31"/>
      <c r="S175" s="31"/>
      <c r="T175" s="31"/>
      <c r="U175" s="31"/>
      <c r="V175" s="31"/>
      <c r="W175" s="31"/>
      <c r="X175" s="31"/>
      <c r="Y175" s="31"/>
      <c r="Z175" s="31"/>
      <c r="AA175" s="31"/>
      <c r="AB175" s="31"/>
      <c r="AC175" s="31"/>
      <c r="AD175" s="31"/>
      <c r="AE175" s="31"/>
      <c r="AF175" s="31"/>
      <c r="AG175" s="31"/>
      <c r="AH175" s="31"/>
      <c r="AI175" s="31"/>
      <c r="AJ175" s="31"/>
      <c r="AK175" s="31"/>
      <c r="AL175" s="31"/>
      <c r="AM175" s="31"/>
      <c r="AN175" s="31"/>
      <c r="AO175" s="31"/>
      <c r="AP175" s="31"/>
      <c r="AQ175" s="31"/>
      <c r="AR175" s="31"/>
      <c r="AS175" s="31"/>
      <c r="AT175" s="31"/>
      <c r="AU175" s="31"/>
      <c r="AV175" s="31"/>
      <c r="AW175" s="31"/>
      <c r="AX175" s="31"/>
      <c r="AY175" s="31"/>
      <c r="AZ175" s="31"/>
      <c r="BA175" s="31"/>
      <c r="BB175" s="31"/>
      <c r="BC175" s="31"/>
      <c r="BD175" s="31"/>
      <c r="BE175" s="31"/>
      <c r="BF175" s="31"/>
      <c r="BG175" s="31"/>
      <c r="BH175" s="31"/>
      <c r="BI175" s="31"/>
      <c r="BJ175" s="31"/>
      <c r="BK175" s="31"/>
      <c r="BL175" s="31"/>
      <c r="BM175" s="31"/>
      <c r="BN175" s="31"/>
      <c r="BO175" s="31"/>
      <c r="BP175" s="31"/>
      <c r="BQ175" s="31"/>
      <c r="BR175" s="31"/>
      <c r="BS175" s="31"/>
      <c r="BT175" s="31"/>
      <c r="BU175" s="31"/>
      <c r="BV175" s="31"/>
      <c r="BW175" s="31"/>
      <c r="BX175" s="31"/>
      <c r="BY175" s="31"/>
      <c r="BZ175" s="31"/>
      <c r="CA175" s="31"/>
      <c r="CB175" s="31"/>
      <c r="CC175" s="31"/>
      <c r="CD175" s="31"/>
      <c r="CE175" s="66"/>
      <c r="CF175" s="66"/>
      <c r="CG175" s="66"/>
    </row>
    <row r="176" spans="1:95" x14ac:dyDescent="0.3">
      <c r="A176" s="68" t="s">
        <v>286</v>
      </c>
      <c r="E176" s="33">
        <f>(740.318019+269.818308+250.283168+141.796399+50.706455+10.614395+4.404091)*1000000/$D$180</f>
        <v>13211465.932529273</v>
      </c>
      <c r="F176" s="33"/>
      <c r="G176" s="31"/>
      <c r="H176" s="33">
        <f>(911.195866+290.504229+319.184664+116.345091+58.2990581592247+2.875104)*1000000/$D$179</f>
        <v>15285636.10943302</v>
      </c>
      <c r="I176" s="33"/>
      <c r="K176" s="33">
        <f>(8304.602+53.403+3800.962+543.192+254.34+1204.261+2255.953)*1000</f>
        <v>16416713</v>
      </c>
      <c r="L176" s="33"/>
      <c r="M176" s="31"/>
      <c r="N176" s="33">
        <f>(7755.249+23.83+3468.855+536.468+261.565+1558.193+2255.953)*1000</f>
        <v>15860113</v>
      </c>
      <c r="O176" s="33"/>
      <c r="P176" s="31"/>
      <c r="Q176" s="33">
        <f>(7605.462+33.945+3435.452+437.22+2019.244+2165.028+439.399)*1000</f>
        <v>16135750</v>
      </c>
      <c r="R176" s="33"/>
      <c r="S176" s="31"/>
      <c r="T176" s="33">
        <f>(8813.763+24.081+3719.494+383.8+377.949+1575.652+2312.442)*1000</f>
        <v>17207181</v>
      </c>
      <c r="U176" s="33"/>
      <c r="V176" s="31"/>
      <c r="W176" s="33">
        <f>(9020.709+57.505+4187.905+454.346+1548.217+2576.003+455.52)*1000</f>
        <v>18300204.999999996</v>
      </c>
      <c r="X176" s="33"/>
      <c r="Y176" s="31"/>
      <c r="Z176" s="33">
        <f>(9273.754+4179.256+1699.681+2746.708+524.534+167.581)*1000</f>
        <v>18591514</v>
      </c>
      <c r="AA176" s="33"/>
      <c r="AB176" s="33"/>
      <c r="AC176" s="33">
        <f>(8892.28+254.847+4635.633+527.318+607.184+1172.134+2693.551)*1000</f>
        <v>18782947</v>
      </c>
      <c r="AD176" s="33"/>
      <c r="AE176" s="33"/>
      <c r="AF176" s="33">
        <f>(8231.8+256.693+4694.123+567.71+605.267+1367.663+2491.868)*1000</f>
        <v>18215123.999999996</v>
      </c>
      <c r="AG176" s="33"/>
      <c r="AH176" s="33"/>
      <c r="AI176" s="33">
        <f>(8468.386+279.204+4420.879+596.265+603.772+1501.217+2492.918)*1000</f>
        <v>18362641.000000004</v>
      </c>
      <c r="AJ176" s="33"/>
      <c r="AK176" s="31"/>
      <c r="AL176" s="31"/>
      <c r="AM176" s="31"/>
      <c r="AN176" s="31"/>
      <c r="AO176" s="31"/>
      <c r="AP176" s="31"/>
      <c r="AQ176" s="31"/>
      <c r="AR176" s="31"/>
      <c r="AS176" s="31"/>
      <c r="AT176" s="31"/>
      <c r="AU176" s="31"/>
      <c r="AV176" s="31"/>
      <c r="AW176" s="31"/>
      <c r="AX176" s="31"/>
      <c r="AY176" s="31"/>
      <c r="AZ176" s="31"/>
      <c r="BA176" s="33">
        <f>(5146+2672+1990+1718+1486+1942)*1000</f>
        <v>14954000</v>
      </c>
      <c r="BB176" s="33"/>
      <c r="BC176" s="31"/>
      <c r="BD176" s="33">
        <f>(6961+2855+1873+2061+709)*1000</f>
        <v>14459000</v>
      </c>
      <c r="BE176" s="33"/>
      <c r="BF176" s="31"/>
      <c r="BG176" s="33">
        <f>(6199+3069+2164+2020+1860+695)*1000</f>
        <v>16007000</v>
      </c>
      <c r="BH176" s="33"/>
      <c r="BI176" s="31"/>
      <c r="BJ176" s="33">
        <f>(5701+3256+2511+2268+1832+681)*1000</f>
        <v>16249000</v>
      </c>
      <c r="BK176" s="33"/>
      <c r="BL176" s="31"/>
      <c r="BM176" s="33">
        <f>(7593+3880+3763+2664+2044+809)*1000</f>
        <v>20753000</v>
      </c>
      <c r="BN176" s="33"/>
      <c r="BO176" s="31"/>
      <c r="BP176" s="33">
        <f>(6965+3833+3552+2860+2121+1540+1030)*1000</f>
        <v>21901000</v>
      </c>
      <c r="BQ176" s="33"/>
      <c r="BR176" s="31"/>
      <c r="BS176" s="33">
        <f>(8352+4631+3555+3545+2365+1538+1326)*1000</f>
        <v>25312000</v>
      </c>
      <c r="BT176" s="33"/>
      <c r="BU176" s="31"/>
      <c r="BV176" s="31"/>
      <c r="BW176" s="33">
        <f>(7869+4496+4087+3152+2319+2115+1257)*1000</f>
        <v>25295000</v>
      </c>
      <c r="BX176" s="33"/>
      <c r="BY176" s="31"/>
      <c r="BZ176" s="33">
        <f>(7263+3462+3203+2935+2580+2266+932)*1000</f>
        <v>22641000</v>
      </c>
      <c r="CA176" s="33"/>
      <c r="CB176" s="31"/>
      <c r="CC176" s="33">
        <f>(7814+3852+3945+3087+2730+2760+1146)*1000</f>
        <v>25334000</v>
      </c>
      <c r="CD176" s="33"/>
      <c r="CE176" s="66"/>
      <c r="CF176" s="33">
        <f>(8860+5365+5245+4700+2920+1430)*1000</f>
        <v>28520000</v>
      </c>
      <c r="CG176" s="33"/>
    </row>
    <row r="177" spans="1:127" x14ac:dyDescent="0.3">
      <c r="E177" s="33"/>
      <c r="F177" s="33"/>
      <c r="G177" s="66"/>
      <c r="H177" s="66"/>
      <c r="I177" s="66"/>
      <c r="P177" s="33"/>
      <c r="Q177" s="33"/>
      <c r="R177" s="33"/>
      <c r="S177" s="33"/>
    </row>
    <row r="178" spans="1:127" x14ac:dyDescent="0.3">
      <c r="A178" s="80" t="s">
        <v>316</v>
      </c>
      <c r="F178" s="1"/>
      <c r="J178" s="1"/>
    </row>
    <row r="179" spans="1:127" x14ac:dyDescent="0.3">
      <c r="A179" s="82" t="s">
        <v>342</v>
      </c>
      <c r="B179" s="47">
        <v>1</v>
      </c>
      <c r="C179" s="38" t="s">
        <v>318</v>
      </c>
      <c r="D179" s="50">
        <f>1129531000/10165779</f>
        <v>111.11111111111111</v>
      </c>
      <c r="E179" s="38" t="s">
        <v>319</v>
      </c>
      <c r="F179" s="1"/>
      <c r="J179" s="1"/>
    </row>
    <row r="180" spans="1:127" x14ac:dyDescent="0.3">
      <c r="A180" s="82" t="s">
        <v>341</v>
      </c>
      <c r="B180" s="47">
        <v>1</v>
      </c>
      <c r="C180" s="38" t="s">
        <v>318</v>
      </c>
      <c r="D180" s="50">
        <f>849705324/7647347</f>
        <v>111.11112442001128</v>
      </c>
      <c r="E180" s="38" t="s">
        <v>319</v>
      </c>
      <c r="F180" s="1"/>
      <c r="J180" s="1"/>
    </row>
    <row r="181" spans="1:127" x14ac:dyDescent="0.3">
      <c r="E181" s="33"/>
      <c r="F181" s="1"/>
      <c r="J181" s="1"/>
    </row>
    <row r="182" spans="1:127" s="48" customFormat="1" x14ac:dyDescent="0.3">
      <c r="A182" s="37" t="s">
        <v>95</v>
      </c>
      <c r="B182" s="47"/>
      <c r="F182" s="38"/>
      <c r="G182" s="47"/>
      <c r="L182" s="38"/>
      <c r="P182" s="47"/>
      <c r="Q182" s="47"/>
      <c r="R182" s="47"/>
      <c r="U182" s="38"/>
      <c r="AD182" s="38"/>
      <c r="AM182" s="38"/>
      <c r="AS182" s="38"/>
      <c r="AV182" s="47"/>
      <c r="AZ182" s="38"/>
      <c r="BA182" s="38"/>
      <c r="BH182" s="38"/>
      <c r="BN182" s="38"/>
      <c r="BV182" s="38"/>
      <c r="BW182" s="38"/>
      <c r="BY182" s="38"/>
      <c r="BZ182" s="38"/>
      <c r="CD182" s="47"/>
      <c r="CH182" s="38"/>
      <c r="CM182" s="38"/>
      <c r="CS182" s="38"/>
      <c r="CW182" s="38"/>
      <c r="DC182" s="38"/>
      <c r="DF182" s="38"/>
      <c r="DJ182" s="38"/>
      <c r="DM182" s="38"/>
      <c r="DP182" s="38"/>
      <c r="DT182" s="38"/>
      <c r="DW182" s="38"/>
    </row>
    <row r="183" spans="1:127" s="47" customFormat="1" x14ac:dyDescent="0.3">
      <c r="A183" s="47" t="s">
        <v>49</v>
      </c>
      <c r="B183" s="47">
        <v>1</v>
      </c>
      <c r="C183" s="38" t="s">
        <v>23</v>
      </c>
      <c r="D183" s="49">
        <v>108</v>
      </c>
      <c r="E183" s="38" t="s">
        <v>96</v>
      </c>
      <c r="F183" s="50">
        <f>D183/F193</f>
        <v>4.8214285714285716E-2</v>
      </c>
      <c r="G183" s="41" t="s">
        <v>28</v>
      </c>
      <c r="H183" s="49"/>
      <c r="I183" s="38"/>
      <c r="J183" s="38"/>
      <c r="K183" s="38"/>
      <c r="M183" s="39"/>
      <c r="N183" s="39"/>
      <c r="P183" s="38"/>
      <c r="Q183" s="38"/>
      <c r="R183" s="38"/>
      <c r="S183" s="38"/>
      <c r="T183" s="38"/>
      <c r="V183" s="49"/>
      <c r="W183" s="49"/>
      <c r="X183" s="40"/>
      <c r="Y183" s="38"/>
      <c r="Z183" s="38"/>
      <c r="AA183" s="38"/>
      <c r="AB183" s="38"/>
      <c r="AC183" s="38"/>
      <c r="AD183" s="51"/>
      <c r="AG183" s="49"/>
      <c r="AH183" s="49"/>
      <c r="AI183" s="49"/>
      <c r="AJ183" s="38"/>
      <c r="AK183" s="38"/>
      <c r="AL183" s="38"/>
      <c r="AP183" s="38"/>
      <c r="AQ183" s="38"/>
      <c r="AR183" s="38"/>
      <c r="AT183" s="38"/>
      <c r="AU183" s="38"/>
      <c r="AV183" s="49"/>
      <c r="AW183" s="38"/>
      <c r="AX183" s="38"/>
      <c r="AY183" s="38"/>
      <c r="BE183" s="38"/>
      <c r="BF183" s="38"/>
      <c r="BG183" s="38"/>
      <c r="BI183" s="38"/>
      <c r="BJ183" s="38"/>
      <c r="BK183" s="49"/>
      <c r="BL183" s="38"/>
      <c r="BM183" s="38"/>
      <c r="BO183" s="38"/>
      <c r="BR183" s="49"/>
      <c r="BS183" s="38"/>
      <c r="BT183" s="38"/>
      <c r="BU183" s="38"/>
      <c r="CA183" s="38"/>
      <c r="CD183" s="49"/>
      <c r="CE183" s="38"/>
      <c r="CF183" s="38"/>
      <c r="CG183" s="38"/>
      <c r="CJ183" s="38"/>
      <c r="CK183" s="49"/>
      <c r="CL183" s="38"/>
      <c r="CN183" s="38"/>
      <c r="CP183" s="49"/>
      <c r="CQ183" s="38"/>
      <c r="CR183" s="38"/>
      <c r="CU183" s="38"/>
      <c r="CV183" s="38"/>
      <c r="CX183" s="38"/>
      <c r="CY183" s="49"/>
      <c r="DA183" s="38"/>
      <c r="DB183" s="38"/>
      <c r="DD183" s="49"/>
      <c r="DE183" s="38"/>
      <c r="DI183" s="38"/>
      <c r="DL183" s="38"/>
      <c r="DO183" s="38"/>
      <c r="DS183" s="38"/>
      <c r="DV183" s="38"/>
    </row>
    <row r="184" spans="1:127" s="47" customFormat="1" x14ac:dyDescent="0.3">
      <c r="A184" s="47" t="s">
        <v>49</v>
      </c>
      <c r="B184" s="47">
        <v>1</v>
      </c>
      <c r="C184" s="38" t="s">
        <v>97</v>
      </c>
      <c r="D184" s="49">
        <v>32.5</v>
      </c>
      <c r="E184" s="38" t="s">
        <v>96</v>
      </c>
      <c r="H184" s="49"/>
      <c r="I184" s="38"/>
      <c r="J184" s="38"/>
      <c r="K184" s="38"/>
      <c r="P184" s="38"/>
      <c r="Q184" s="38"/>
      <c r="R184" s="38"/>
      <c r="S184" s="38"/>
      <c r="T184" s="38"/>
      <c r="U184" s="48"/>
      <c r="V184" s="49"/>
      <c r="W184" s="49"/>
      <c r="Y184" s="38"/>
      <c r="Z184" s="38"/>
      <c r="AA184" s="38"/>
      <c r="AB184" s="38"/>
      <c r="AC184" s="38"/>
      <c r="AD184" s="51"/>
      <c r="AG184" s="49"/>
      <c r="AH184" s="49"/>
      <c r="AI184" s="49"/>
      <c r="AJ184" s="38"/>
      <c r="AK184" s="38"/>
      <c r="AL184" s="38"/>
      <c r="AP184" s="38"/>
      <c r="AQ184" s="38"/>
      <c r="AR184" s="38"/>
      <c r="AT184" s="38"/>
      <c r="AU184" s="38"/>
      <c r="AV184" s="49"/>
      <c r="AW184" s="38"/>
      <c r="AX184" s="38"/>
      <c r="AY184" s="38"/>
      <c r="BE184" s="38"/>
      <c r="BF184" s="38"/>
      <c r="BG184" s="38"/>
      <c r="BI184" s="38"/>
      <c r="BJ184" s="38"/>
      <c r="BK184" s="49"/>
      <c r="BL184" s="38"/>
      <c r="BM184" s="38"/>
      <c r="BO184" s="38"/>
      <c r="BR184" s="49"/>
      <c r="BS184" s="38"/>
      <c r="BT184" s="38"/>
      <c r="BU184" s="38"/>
      <c r="CA184" s="38"/>
      <c r="CD184" s="49"/>
      <c r="CE184" s="38"/>
      <c r="CF184" s="38"/>
      <c r="CG184" s="38"/>
      <c r="CJ184" s="38"/>
      <c r="CK184" s="49"/>
      <c r="CL184" s="38"/>
      <c r="CN184" s="38"/>
      <c r="CP184" s="49"/>
      <c r="CQ184" s="38"/>
      <c r="CR184" s="38"/>
      <c r="CU184" s="38"/>
      <c r="CV184" s="38"/>
      <c r="CX184" s="38"/>
      <c r="CY184" s="49"/>
      <c r="DA184" s="38"/>
      <c r="DB184" s="38"/>
      <c r="DD184" s="49"/>
      <c r="DE184" s="38"/>
      <c r="DI184" s="38"/>
      <c r="DL184" s="38"/>
      <c r="DO184" s="38"/>
      <c r="DS184" s="38"/>
      <c r="DV184" s="38"/>
    </row>
    <row r="185" spans="1:127" s="48" customFormat="1" x14ac:dyDescent="0.3">
      <c r="A185" s="47"/>
      <c r="B185" s="47">
        <v>1</v>
      </c>
      <c r="C185" s="38" t="s">
        <v>98</v>
      </c>
      <c r="D185" s="49">
        <v>6.5</v>
      </c>
      <c r="E185" s="41" t="s">
        <v>96</v>
      </c>
      <c r="F185" s="47"/>
      <c r="G185" s="38"/>
      <c r="H185" s="49"/>
      <c r="I185" s="38"/>
      <c r="J185" s="38"/>
      <c r="K185" s="41"/>
      <c r="L185" s="38"/>
      <c r="M185" s="49"/>
      <c r="N185" s="49"/>
      <c r="O185" s="38"/>
      <c r="P185" s="38"/>
      <c r="Q185" s="38"/>
      <c r="R185" s="38"/>
      <c r="S185" s="41"/>
      <c r="T185" s="41"/>
      <c r="V185" s="49"/>
      <c r="W185" s="49"/>
      <c r="Y185" s="38"/>
      <c r="Z185" s="38"/>
      <c r="AA185" s="38"/>
      <c r="AB185" s="41"/>
      <c r="AC185" s="41"/>
      <c r="AG185" s="49"/>
      <c r="AH185" s="49"/>
      <c r="AI185" s="49"/>
      <c r="AJ185" s="41"/>
      <c r="AK185" s="38"/>
      <c r="AL185" s="38"/>
      <c r="AN185" s="51"/>
      <c r="AO185" s="51"/>
      <c r="AP185" s="41"/>
      <c r="AQ185" s="38"/>
      <c r="AR185" s="38"/>
      <c r="AT185" s="41"/>
      <c r="AU185" s="41"/>
      <c r="AV185" s="49"/>
      <c r="AW185" s="38"/>
      <c r="AX185" s="38"/>
      <c r="AY185" s="41"/>
      <c r="BE185" s="41"/>
      <c r="BF185" s="38"/>
      <c r="BG185" s="38"/>
      <c r="BI185" s="41"/>
      <c r="BJ185" s="41"/>
      <c r="BK185" s="49"/>
      <c r="BL185" s="38"/>
      <c r="BM185" s="38"/>
      <c r="BO185" s="41"/>
      <c r="BR185" s="49"/>
      <c r="BS185" s="38"/>
      <c r="BT185" s="38"/>
      <c r="BU185" s="41"/>
      <c r="CA185" s="41"/>
      <c r="CD185" s="49"/>
      <c r="CE185" s="38"/>
      <c r="CF185" s="38"/>
      <c r="CG185" s="41"/>
      <c r="CJ185" s="41"/>
      <c r="CK185" s="49"/>
      <c r="CL185" s="38"/>
      <c r="CN185" s="41"/>
      <c r="CP185" s="49"/>
      <c r="CQ185" s="41"/>
      <c r="CR185" s="38"/>
      <c r="CU185" s="41"/>
      <c r="CV185" s="38"/>
      <c r="CX185" s="41"/>
      <c r="CY185" s="49"/>
      <c r="DA185" s="41"/>
      <c r="DB185" s="38"/>
      <c r="DD185" s="49"/>
      <c r="DE185" s="38"/>
      <c r="DI185" s="38"/>
      <c r="DL185" s="38"/>
      <c r="DO185" s="38"/>
      <c r="DS185" s="38"/>
      <c r="DV185" s="38"/>
    </row>
    <row r="186" spans="1:127" s="48" customFormat="1" x14ac:dyDescent="0.3">
      <c r="A186" s="47"/>
      <c r="B186" s="47">
        <v>1</v>
      </c>
      <c r="C186" s="38" t="s">
        <v>14</v>
      </c>
      <c r="D186" s="49">
        <v>112</v>
      </c>
      <c r="E186" s="38" t="s">
        <v>50</v>
      </c>
      <c r="F186" s="47"/>
      <c r="G186" s="38"/>
      <c r="H186" s="49"/>
      <c r="I186" s="38"/>
      <c r="J186" s="38"/>
      <c r="K186" s="38"/>
      <c r="L186" s="38"/>
      <c r="M186" s="49"/>
      <c r="N186" s="49"/>
      <c r="O186" s="38"/>
      <c r="P186" s="38"/>
      <c r="Q186" s="38"/>
      <c r="R186" s="38"/>
      <c r="S186" s="38"/>
      <c r="T186" s="38"/>
      <c r="V186" s="49"/>
      <c r="W186" s="49"/>
      <c r="Y186" s="38"/>
      <c r="Z186" s="38"/>
      <c r="AA186" s="38"/>
      <c r="AB186" s="38"/>
      <c r="AC186" s="38"/>
      <c r="AG186" s="49"/>
      <c r="AH186" s="49"/>
      <c r="AI186" s="49"/>
      <c r="AJ186" s="38"/>
      <c r="AK186" s="38"/>
      <c r="AL186" s="38"/>
      <c r="AN186" s="51"/>
      <c r="AO186" s="51"/>
      <c r="AP186" s="38"/>
      <c r="AQ186" s="38"/>
      <c r="AR186" s="38"/>
      <c r="AT186" s="38"/>
      <c r="AU186" s="38"/>
      <c r="AV186" s="49"/>
      <c r="AW186" s="38"/>
      <c r="AX186" s="38"/>
      <c r="AY186" s="38"/>
      <c r="BE186" s="38"/>
      <c r="BF186" s="38"/>
      <c r="BG186" s="38"/>
      <c r="BI186" s="38"/>
      <c r="BJ186" s="38"/>
      <c r="BK186" s="49"/>
      <c r="BL186" s="38"/>
      <c r="BM186" s="38"/>
      <c r="BO186" s="38"/>
      <c r="BR186" s="49"/>
      <c r="BS186" s="38"/>
      <c r="BT186" s="38"/>
      <c r="BU186" s="38"/>
      <c r="CA186" s="38"/>
      <c r="CD186" s="49"/>
      <c r="CE186" s="38"/>
      <c r="CF186" s="38"/>
      <c r="CG186" s="38"/>
      <c r="CJ186" s="38"/>
      <c r="CK186" s="49"/>
      <c r="CL186" s="38"/>
      <c r="CN186" s="38"/>
      <c r="CP186" s="49"/>
      <c r="CQ186" s="38"/>
      <c r="CR186" s="38"/>
      <c r="CU186" s="38"/>
      <c r="CV186" s="38"/>
      <c r="CX186" s="38"/>
      <c r="CY186" s="49"/>
      <c r="DA186" s="38"/>
      <c r="DB186" s="38"/>
      <c r="DD186" s="49"/>
      <c r="DE186" s="38"/>
      <c r="DI186" s="38"/>
      <c r="DL186" s="38"/>
      <c r="DO186" s="38"/>
      <c r="DS186" s="38"/>
      <c r="DV186" s="38"/>
    </row>
    <row r="187" spans="1:127" s="48" customFormat="1" x14ac:dyDescent="0.3">
      <c r="A187" s="47"/>
      <c r="B187" s="47">
        <v>1</v>
      </c>
      <c r="C187" s="38" t="s">
        <v>14</v>
      </c>
      <c r="D187" s="49">
        <f>D186/D185</f>
        <v>17.23076923076923</v>
      </c>
      <c r="E187" s="38" t="s">
        <v>98</v>
      </c>
      <c r="F187" s="47"/>
      <c r="G187" s="49"/>
      <c r="H187" s="49"/>
      <c r="I187" s="38"/>
      <c r="J187" s="38"/>
      <c r="K187" s="38"/>
      <c r="L187" s="49"/>
      <c r="O187" s="49"/>
      <c r="P187" s="38"/>
      <c r="Q187" s="38"/>
      <c r="R187" s="38"/>
      <c r="S187" s="38"/>
      <c r="T187" s="38"/>
      <c r="V187" s="49"/>
      <c r="W187" s="49"/>
      <c r="X187" s="49"/>
      <c r="Y187" s="38"/>
      <c r="Z187" s="38"/>
      <c r="AA187" s="38"/>
      <c r="AB187" s="38"/>
      <c r="AC187" s="38"/>
      <c r="AG187" s="49"/>
      <c r="AH187" s="49"/>
      <c r="AI187" s="49"/>
      <c r="AJ187" s="38"/>
      <c r="AK187" s="38"/>
      <c r="AL187" s="38"/>
      <c r="AM187" s="51"/>
      <c r="AN187" s="47"/>
      <c r="AO187" s="47"/>
      <c r="AP187" s="38"/>
      <c r="AQ187" s="38"/>
      <c r="AR187" s="38"/>
      <c r="AT187" s="38"/>
      <c r="AU187" s="38"/>
      <c r="AV187" s="49"/>
      <c r="AW187" s="38"/>
      <c r="AX187" s="38"/>
      <c r="AY187" s="38"/>
      <c r="BE187" s="38"/>
      <c r="BF187" s="38"/>
      <c r="BG187" s="38"/>
      <c r="BI187" s="38"/>
      <c r="BJ187" s="38"/>
      <c r="BK187" s="49"/>
      <c r="BL187" s="38"/>
      <c r="BM187" s="38"/>
      <c r="BO187" s="38"/>
      <c r="BR187" s="49"/>
      <c r="BS187" s="38"/>
      <c r="BT187" s="38"/>
      <c r="BU187" s="38"/>
      <c r="BX187" s="51"/>
      <c r="CA187" s="38"/>
      <c r="CD187" s="49"/>
      <c r="CE187" s="38"/>
      <c r="CF187" s="38"/>
      <c r="CG187" s="38"/>
      <c r="CJ187" s="38"/>
      <c r="CK187" s="49"/>
      <c r="CL187" s="38"/>
      <c r="CN187" s="38"/>
      <c r="CP187" s="49"/>
      <c r="CQ187" s="38"/>
      <c r="CR187" s="38"/>
      <c r="CU187" s="38"/>
      <c r="CV187" s="38"/>
      <c r="CX187" s="38"/>
      <c r="CY187" s="49"/>
      <c r="DA187" s="38"/>
      <c r="DB187" s="38"/>
      <c r="DD187" s="49"/>
      <c r="DE187" s="38"/>
      <c r="DI187" s="38"/>
      <c r="DL187" s="38"/>
      <c r="DO187" s="38"/>
      <c r="DS187" s="38"/>
      <c r="DV187" s="38"/>
    </row>
    <row r="188" spans="1:127" s="47" customFormat="1" ht="15" customHeight="1" x14ac:dyDescent="0.3">
      <c r="B188" s="152">
        <v>1</v>
      </c>
      <c r="C188" s="149" t="s">
        <v>99</v>
      </c>
      <c r="D188" s="150">
        <v>130</v>
      </c>
      <c r="E188" s="151" t="s">
        <v>96</v>
      </c>
      <c r="F188" s="42"/>
      <c r="G188" s="48"/>
      <c r="H188" s="52"/>
      <c r="I188" s="38"/>
      <c r="J188" s="38"/>
      <c r="K188" s="46"/>
      <c r="L188" s="48"/>
      <c r="M188" s="48"/>
      <c r="N188" s="48"/>
      <c r="O188" s="48"/>
      <c r="P188" s="38"/>
      <c r="Q188" s="38"/>
      <c r="R188" s="38"/>
      <c r="S188" s="46"/>
      <c r="T188" s="77"/>
      <c r="U188" s="48"/>
      <c r="V188" s="52"/>
      <c r="W188" s="76"/>
      <c r="X188" s="48"/>
      <c r="Y188" s="38"/>
      <c r="Z188" s="38"/>
      <c r="AA188" s="38"/>
      <c r="AB188" s="46"/>
      <c r="AC188" s="77"/>
      <c r="AD188" s="48"/>
      <c r="AE188" s="48"/>
      <c r="AF188" s="48"/>
      <c r="AG188" s="52"/>
      <c r="AH188" s="52"/>
      <c r="AI188" s="76"/>
      <c r="AJ188" s="46"/>
      <c r="AK188" s="38"/>
      <c r="AL188" s="38"/>
      <c r="AM188" s="48"/>
      <c r="AP188" s="46"/>
      <c r="AQ188" s="38"/>
      <c r="AR188" s="38"/>
      <c r="AT188" s="46"/>
      <c r="AU188" s="77"/>
      <c r="AV188" s="52"/>
      <c r="AW188" s="38"/>
      <c r="AX188" s="38"/>
      <c r="AY188" s="46"/>
      <c r="BE188" s="46"/>
      <c r="BF188" s="38"/>
      <c r="BG188" s="38"/>
      <c r="BI188" s="46"/>
      <c r="BJ188" s="77"/>
      <c r="BK188" s="52"/>
      <c r="BL188" s="38"/>
      <c r="BM188" s="38"/>
      <c r="BO188" s="46"/>
      <c r="BR188" s="52"/>
      <c r="BS188" s="38"/>
      <c r="BT188" s="38"/>
      <c r="BU188" s="46"/>
      <c r="CA188" s="46"/>
      <c r="CD188" s="52"/>
      <c r="CE188" s="38"/>
      <c r="CF188" s="38"/>
      <c r="CG188" s="46"/>
      <c r="CJ188" s="46"/>
      <c r="CK188" s="52"/>
      <c r="CL188" s="38"/>
      <c r="CN188" s="46"/>
      <c r="CP188" s="52"/>
      <c r="CQ188" s="46"/>
      <c r="CR188" s="38"/>
      <c r="CU188" s="46"/>
      <c r="CV188" s="38"/>
      <c r="CX188" s="46"/>
      <c r="CY188" s="52"/>
      <c r="DA188" s="46"/>
      <c r="DB188" s="38"/>
      <c r="DD188" s="52"/>
      <c r="DE188" s="38"/>
      <c r="DI188" s="38"/>
      <c r="DL188" s="38"/>
      <c r="DO188" s="38"/>
      <c r="DS188" s="38"/>
      <c r="DV188" s="38"/>
    </row>
    <row r="189" spans="1:127" s="47" customFormat="1" ht="28.8" customHeight="1" x14ac:dyDescent="0.3">
      <c r="B189" s="152"/>
      <c r="C189" s="149"/>
      <c r="D189" s="150"/>
      <c r="E189" s="151"/>
      <c r="H189" s="52"/>
      <c r="I189" s="48"/>
      <c r="J189" s="48"/>
      <c r="K189" s="46"/>
      <c r="P189" s="48"/>
      <c r="Q189" s="48"/>
      <c r="R189" s="48"/>
      <c r="S189" s="46"/>
      <c r="T189" s="77"/>
      <c r="V189" s="52"/>
      <c r="W189" s="76"/>
      <c r="Y189" s="48"/>
      <c r="Z189" s="48"/>
      <c r="AA189" s="48"/>
      <c r="AB189" s="46"/>
      <c r="AC189" s="77"/>
      <c r="AG189" s="52"/>
      <c r="AH189" s="52"/>
      <c r="AI189" s="76"/>
      <c r="AJ189" s="46"/>
      <c r="AK189" s="48"/>
      <c r="AL189" s="48"/>
      <c r="AP189" s="46"/>
      <c r="AQ189" s="48"/>
      <c r="AR189" s="48"/>
      <c r="AT189" s="46"/>
      <c r="AU189" s="77"/>
      <c r="AV189" s="52"/>
      <c r="AW189" s="48"/>
      <c r="AX189" s="48"/>
      <c r="AY189" s="46"/>
      <c r="BE189" s="46"/>
      <c r="BF189" s="48"/>
      <c r="BG189" s="48"/>
      <c r="BI189" s="46"/>
      <c r="BJ189" s="77"/>
      <c r="BK189" s="52"/>
      <c r="BL189" s="48"/>
      <c r="BM189" s="48"/>
      <c r="BO189" s="46"/>
      <c r="BR189" s="52"/>
      <c r="BS189" s="48"/>
      <c r="BT189" s="48"/>
      <c r="BU189" s="46"/>
      <c r="CA189" s="46"/>
      <c r="CD189" s="52"/>
      <c r="CE189" s="48"/>
      <c r="CF189" s="48"/>
      <c r="CG189" s="46"/>
      <c r="CJ189" s="46"/>
      <c r="CK189" s="52"/>
      <c r="CL189" s="48"/>
      <c r="CN189" s="46"/>
      <c r="CP189" s="52"/>
      <c r="CQ189" s="46"/>
      <c r="CR189" s="48"/>
      <c r="CU189" s="46"/>
      <c r="CV189" s="48"/>
      <c r="CX189" s="46"/>
      <c r="CY189" s="52"/>
      <c r="DA189" s="46"/>
      <c r="DB189" s="48"/>
      <c r="DD189" s="52"/>
      <c r="DE189" s="48"/>
      <c r="DI189" s="48"/>
      <c r="DL189" s="48"/>
      <c r="DO189" s="48"/>
      <c r="DS189" s="48"/>
      <c r="DV189" s="48"/>
    </row>
    <row r="190" spans="1:127" s="47" customFormat="1" x14ac:dyDescent="0.3">
      <c r="B190" s="53">
        <v>1</v>
      </c>
      <c r="C190" s="38" t="s">
        <v>100</v>
      </c>
      <c r="D190" s="49">
        <v>260</v>
      </c>
      <c r="E190" s="38" t="s">
        <v>96</v>
      </c>
      <c r="H190" s="49"/>
      <c r="I190" s="38"/>
      <c r="J190" s="38"/>
      <c r="K190" s="38"/>
      <c r="P190" s="38"/>
      <c r="Q190" s="38"/>
      <c r="R190" s="38"/>
      <c r="S190" s="38"/>
      <c r="T190" s="38"/>
      <c r="V190" s="49"/>
      <c r="W190" s="49"/>
      <c r="Y190" s="38"/>
      <c r="Z190" s="38"/>
      <c r="AA190" s="38"/>
      <c r="AB190" s="38"/>
      <c r="AC190" s="38"/>
      <c r="AG190" s="49"/>
      <c r="AH190" s="49"/>
      <c r="AI190" s="49"/>
      <c r="AJ190" s="38"/>
      <c r="AK190" s="38"/>
      <c r="AL190" s="38"/>
      <c r="AP190" s="38"/>
      <c r="AQ190" s="38"/>
      <c r="AR190" s="38"/>
      <c r="AT190" s="38"/>
      <c r="AU190" s="38"/>
      <c r="AV190" s="49"/>
      <c r="AW190" s="38"/>
      <c r="AX190" s="38"/>
      <c r="AY190" s="38"/>
      <c r="BE190" s="38"/>
      <c r="BF190" s="38"/>
      <c r="BG190" s="38"/>
      <c r="BI190" s="38"/>
      <c r="BJ190" s="38"/>
      <c r="BK190" s="49"/>
      <c r="BL190" s="38"/>
      <c r="BM190" s="38"/>
      <c r="BO190" s="38"/>
      <c r="BR190" s="49"/>
      <c r="BS190" s="38"/>
      <c r="BT190" s="38"/>
      <c r="BU190" s="38"/>
      <c r="CA190" s="38"/>
      <c r="CD190" s="49"/>
      <c r="CE190" s="38"/>
      <c r="CF190" s="38"/>
      <c r="CG190" s="38"/>
      <c r="CJ190" s="38"/>
      <c r="CK190" s="49"/>
      <c r="CL190" s="38"/>
      <c r="CN190" s="38"/>
      <c r="CP190" s="49"/>
      <c r="CQ190" s="38"/>
      <c r="CR190" s="38"/>
      <c r="CU190" s="38"/>
      <c r="CV190" s="38"/>
      <c r="CX190" s="38"/>
      <c r="CY190" s="49"/>
      <c r="DA190" s="38"/>
      <c r="DB190" s="38"/>
      <c r="DD190" s="49"/>
      <c r="DE190" s="38"/>
      <c r="DI190" s="38"/>
      <c r="DL190" s="38"/>
      <c r="DO190" s="38"/>
      <c r="DS190" s="38"/>
      <c r="DV190" s="38"/>
    </row>
    <row r="191" spans="1:127" s="47" customFormat="1" x14ac:dyDescent="0.3">
      <c r="B191" s="53">
        <v>1</v>
      </c>
      <c r="C191" s="38" t="s">
        <v>412</v>
      </c>
      <c r="D191" s="49">
        <f>D188/D186</f>
        <v>1.1607142857142858</v>
      </c>
      <c r="E191" s="38" t="s">
        <v>101</v>
      </c>
      <c r="H191" s="49"/>
      <c r="I191" s="38"/>
      <c r="J191" s="38"/>
      <c r="K191" s="38"/>
      <c r="P191" s="38"/>
      <c r="Q191" s="38"/>
      <c r="R191" s="38"/>
      <c r="S191" s="38"/>
      <c r="T191" s="38"/>
      <c r="V191" s="49"/>
      <c r="W191" s="49"/>
      <c r="Y191" s="38"/>
      <c r="Z191" s="38"/>
      <c r="AA191" s="38"/>
      <c r="AB191" s="38"/>
      <c r="AC191" s="38"/>
      <c r="AG191" s="49"/>
      <c r="AH191" s="49"/>
      <c r="AI191" s="49"/>
      <c r="AJ191" s="38"/>
      <c r="AK191" s="38"/>
      <c r="AL191" s="38"/>
      <c r="AP191" s="38"/>
      <c r="AQ191" s="38"/>
      <c r="AR191" s="38"/>
      <c r="AT191" s="38"/>
      <c r="AU191" s="38"/>
      <c r="AV191" s="49"/>
      <c r="AW191" s="38"/>
      <c r="AX191" s="38"/>
      <c r="AY191" s="38"/>
      <c r="BE191" s="38"/>
      <c r="BF191" s="38"/>
      <c r="BG191" s="38"/>
      <c r="BI191" s="38"/>
      <c r="BJ191" s="38"/>
      <c r="BK191" s="49"/>
      <c r="BL191" s="38"/>
      <c r="BM191" s="38"/>
      <c r="BO191" s="38"/>
      <c r="BR191" s="49"/>
      <c r="BS191" s="38"/>
      <c r="BT191" s="38"/>
      <c r="BU191" s="38"/>
      <c r="CA191" s="38"/>
      <c r="CD191" s="49"/>
      <c r="CE191" s="38"/>
      <c r="CF191" s="38"/>
      <c r="CG191" s="38"/>
      <c r="CJ191" s="38"/>
      <c r="CK191" s="49"/>
      <c r="CL191" s="38"/>
      <c r="CN191" s="38"/>
      <c r="CP191" s="49"/>
      <c r="CQ191" s="38"/>
      <c r="CR191" s="38"/>
      <c r="CU191" s="38"/>
      <c r="CV191" s="38"/>
      <c r="CX191" s="38"/>
      <c r="CY191" s="49"/>
      <c r="DA191" s="38"/>
      <c r="DB191" s="38"/>
      <c r="DD191" s="49"/>
      <c r="DE191" s="38"/>
      <c r="DI191" s="38"/>
      <c r="DL191" s="38"/>
      <c r="DO191" s="38"/>
      <c r="DS191" s="38"/>
      <c r="DV191" s="38"/>
    </row>
    <row r="192" spans="1:127" s="47" customFormat="1" x14ac:dyDescent="0.3">
      <c r="B192" s="53">
        <v>1</v>
      </c>
      <c r="C192" s="38" t="s">
        <v>100</v>
      </c>
      <c r="D192" s="49">
        <f>D190/D186</f>
        <v>2.3214285714285716</v>
      </c>
      <c r="E192" s="38" t="s">
        <v>101</v>
      </c>
      <c r="H192" s="49"/>
      <c r="I192" s="38"/>
      <c r="J192" s="38"/>
      <c r="K192" s="38"/>
      <c r="P192" s="38"/>
      <c r="Q192" s="38"/>
      <c r="R192" s="38"/>
      <c r="S192" s="38"/>
      <c r="T192" s="38"/>
      <c r="V192" s="49"/>
      <c r="W192" s="49"/>
      <c r="Y192" s="38"/>
      <c r="Z192" s="38"/>
      <c r="AA192" s="38"/>
      <c r="AB192" s="38"/>
      <c r="AC192" s="38"/>
      <c r="AG192" s="49"/>
      <c r="AH192" s="49"/>
      <c r="AI192" s="49"/>
      <c r="AJ192" s="38"/>
      <c r="AK192" s="38"/>
      <c r="AL192" s="38"/>
      <c r="AP192" s="38"/>
      <c r="AQ192" s="38"/>
      <c r="AR192" s="38"/>
      <c r="AT192" s="38"/>
      <c r="AU192" s="38"/>
      <c r="AV192" s="49"/>
      <c r="AW192" s="38"/>
      <c r="AX192" s="38"/>
      <c r="AY192" s="38"/>
      <c r="BE192" s="38"/>
      <c r="BF192" s="38"/>
      <c r="BG192" s="38"/>
      <c r="BI192" s="38"/>
      <c r="BJ192" s="38"/>
      <c r="BK192" s="49"/>
      <c r="BL192" s="38"/>
      <c r="BM192" s="38"/>
      <c r="BO192" s="38"/>
      <c r="BR192" s="49"/>
      <c r="BS192" s="38"/>
      <c r="BT192" s="38"/>
      <c r="BU192" s="38"/>
      <c r="CA192" s="38"/>
      <c r="CD192" s="49"/>
      <c r="CE192" s="38"/>
      <c r="CF192" s="38"/>
      <c r="CG192" s="38"/>
      <c r="CJ192" s="38"/>
      <c r="CK192" s="49"/>
      <c r="CL192" s="38"/>
      <c r="CN192" s="38"/>
      <c r="CP192" s="49"/>
      <c r="CQ192" s="38"/>
      <c r="CR192" s="38"/>
      <c r="CU192" s="38"/>
      <c r="CV192" s="38"/>
      <c r="CX192" s="38"/>
      <c r="CY192" s="49"/>
      <c r="DA192" s="38"/>
      <c r="DB192" s="38"/>
      <c r="DD192" s="49"/>
      <c r="DE192" s="38"/>
      <c r="DI192" s="38"/>
      <c r="DL192" s="38"/>
      <c r="DO192" s="38"/>
      <c r="DS192" s="38"/>
      <c r="DV192" s="38"/>
    </row>
    <row r="193" spans="1:126" s="48" customFormat="1" x14ac:dyDescent="0.3">
      <c r="A193" s="47"/>
      <c r="B193" s="53">
        <v>1</v>
      </c>
      <c r="C193" s="38" t="s">
        <v>102</v>
      </c>
      <c r="D193" s="49">
        <v>20</v>
      </c>
      <c r="E193" s="38" t="s">
        <v>101</v>
      </c>
      <c r="F193" s="50">
        <f>D193*D186</f>
        <v>2240</v>
      </c>
      <c r="G193" s="38" t="s">
        <v>96</v>
      </c>
      <c r="H193" s="50">
        <f>F193/D195</f>
        <v>420</v>
      </c>
      <c r="I193" s="43" t="s">
        <v>103</v>
      </c>
      <c r="J193" s="50">
        <f>F193/D194</f>
        <v>1016.048117135833</v>
      </c>
      <c r="K193" s="38" t="s">
        <v>415</v>
      </c>
      <c r="L193" s="38"/>
      <c r="M193" s="46"/>
      <c r="Q193" s="38"/>
      <c r="R193" s="38"/>
      <c r="V193" s="46"/>
      <c r="Z193" s="38"/>
      <c r="AA193" s="38"/>
      <c r="AE193" s="46"/>
      <c r="AF193" s="46"/>
      <c r="AG193" s="77"/>
      <c r="AH193" s="38"/>
      <c r="AK193" s="47"/>
      <c r="AL193" s="46"/>
      <c r="AM193" s="77"/>
      <c r="AN193" s="38"/>
      <c r="AR193" s="38"/>
      <c r="AS193" s="38"/>
      <c r="AT193" s="46"/>
      <c r="AU193" s="51"/>
      <c r="AV193" s="51"/>
      <c r="AW193" s="38"/>
      <c r="AX193" s="51"/>
      <c r="AY193" s="51"/>
      <c r="BA193" s="46"/>
      <c r="BB193" s="77"/>
      <c r="BC193" s="38"/>
      <c r="BG193" s="38"/>
      <c r="BH193" s="38"/>
      <c r="BI193" s="46"/>
      <c r="BM193" s="38"/>
      <c r="BP193" s="46"/>
      <c r="BS193" s="38"/>
      <c r="BY193" s="38"/>
      <c r="CB193" s="46"/>
      <c r="CC193" s="51"/>
      <c r="CD193" s="51"/>
      <c r="CE193" s="38"/>
      <c r="CH193" s="38"/>
      <c r="CI193" s="46"/>
      <c r="CL193" s="38"/>
      <c r="CN193" s="46"/>
      <c r="CO193" s="38"/>
      <c r="CR193" s="46"/>
      <c r="CS193" s="38"/>
      <c r="CV193" s="38"/>
      <c r="CX193" s="46"/>
      <c r="CY193" s="38"/>
      <c r="DB193" s="46"/>
      <c r="DF193" s="46"/>
      <c r="DI193" s="46"/>
      <c r="DL193" s="46"/>
      <c r="DP193" s="46"/>
      <c r="DS193" s="46"/>
    </row>
    <row r="194" spans="1:126" s="48" customFormat="1" x14ac:dyDescent="0.3">
      <c r="A194" s="47"/>
      <c r="B194" s="53">
        <v>1</v>
      </c>
      <c r="C194" s="38" t="s">
        <v>415</v>
      </c>
      <c r="D194" s="49">
        <v>2.2046199999999998</v>
      </c>
      <c r="E194" s="38" t="s">
        <v>96</v>
      </c>
      <c r="F194" s="50">
        <f>D194/D186</f>
        <v>1.9684107142857142E-2</v>
      </c>
      <c r="G194" s="43" t="s">
        <v>101</v>
      </c>
      <c r="I194" s="51"/>
      <c r="J194" s="38"/>
      <c r="K194" s="51"/>
      <c r="N194" s="46"/>
      <c r="R194" s="38"/>
      <c r="S194" s="38"/>
      <c r="W194" s="46"/>
      <c r="AA194" s="38"/>
      <c r="AB194" s="38"/>
      <c r="AF194" s="46"/>
      <c r="AG194" s="46"/>
      <c r="AH194" s="77"/>
      <c r="AI194" s="38"/>
      <c r="AL194" s="47"/>
      <c r="AM194" s="46"/>
      <c r="AN194" s="77"/>
      <c r="AO194" s="38"/>
      <c r="AS194" s="38"/>
      <c r="AT194" s="38"/>
      <c r="AU194" s="46"/>
      <c r="AV194" s="51"/>
      <c r="AW194" s="51"/>
      <c r="AX194" s="38"/>
      <c r="AY194" s="51"/>
      <c r="AZ194" s="51"/>
      <c r="BB194" s="46"/>
      <c r="BC194" s="77"/>
      <c r="BD194" s="38"/>
      <c r="BH194" s="38"/>
      <c r="BI194" s="38"/>
      <c r="BJ194" s="46"/>
      <c r="BN194" s="38"/>
      <c r="BQ194" s="46"/>
      <c r="BT194" s="38"/>
      <c r="BZ194" s="38"/>
      <c r="CC194" s="46"/>
      <c r="CD194" s="51"/>
      <c r="CE194" s="51"/>
      <c r="CF194" s="38"/>
      <c r="CI194" s="38"/>
      <c r="CJ194" s="46"/>
      <c r="CM194" s="38"/>
      <c r="CO194" s="46"/>
      <c r="CP194" s="38"/>
      <c r="CS194" s="46"/>
      <c r="CT194" s="38"/>
      <c r="CW194" s="38"/>
      <c r="CY194" s="46"/>
      <c r="CZ194" s="38"/>
      <c r="DC194" s="46"/>
      <c r="DG194" s="46"/>
      <c r="DJ194" s="46"/>
      <c r="DM194" s="46"/>
      <c r="DQ194" s="46"/>
      <c r="DT194" s="46"/>
    </row>
    <row r="195" spans="1:126" s="48" customFormat="1" x14ac:dyDescent="0.3">
      <c r="A195" s="47"/>
      <c r="B195" s="53">
        <v>1</v>
      </c>
      <c r="C195" s="38" t="s">
        <v>105</v>
      </c>
      <c r="D195" s="49">
        <f>16/3</f>
        <v>5.333333333333333</v>
      </c>
      <c r="E195" s="38" t="s">
        <v>96</v>
      </c>
      <c r="F195" s="50">
        <f>D195/D186</f>
        <v>4.7619047619047616E-2</v>
      </c>
      <c r="G195" s="43" t="s">
        <v>101</v>
      </c>
      <c r="I195" s="51"/>
      <c r="J195" s="38"/>
      <c r="K195" s="51"/>
      <c r="N195" s="38"/>
      <c r="R195" s="38"/>
      <c r="S195" s="38"/>
      <c r="W195" s="38"/>
      <c r="AA195" s="38"/>
      <c r="AB195" s="38"/>
      <c r="AF195" s="38"/>
      <c r="AG195" s="38"/>
      <c r="AH195" s="38"/>
      <c r="AI195" s="38"/>
      <c r="AL195" s="47"/>
      <c r="AM195" s="38"/>
      <c r="AN195" s="38"/>
      <c r="AO195" s="38"/>
      <c r="AS195" s="38"/>
      <c r="AT195" s="38"/>
      <c r="AU195" s="38"/>
      <c r="AV195" s="51"/>
      <c r="AW195" s="51"/>
      <c r="AX195" s="38"/>
      <c r="AY195" s="51"/>
      <c r="AZ195" s="51"/>
      <c r="BB195" s="38"/>
      <c r="BC195" s="38"/>
      <c r="BD195" s="38"/>
      <c r="BH195" s="38"/>
      <c r="BI195" s="38"/>
      <c r="BJ195" s="38"/>
      <c r="BN195" s="38"/>
      <c r="BQ195" s="38"/>
      <c r="BT195" s="38"/>
      <c r="BZ195" s="38"/>
      <c r="CC195" s="38"/>
      <c r="CD195" s="51"/>
      <c r="CE195" s="51"/>
      <c r="CF195" s="38"/>
      <c r="CI195" s="38"/>
      <c r="CJ195" s="38"/>
      <c r="CM195" s="38"/>
      <c r="CO195" s="38"/>
      <c r="CP195" s="38"/>
      <c r="CS195" s="38"/>
      <c r="CT195" s="38"/>
      <c r="CW195" s="38"/>
      <c r="CY195" s="38"/>
      <c r="CZ195" s="38"/>
      <c r="DC195" s="38"/>
      <c r="DG195" s="38"/>
      <c r="DJ195" s="38"/>
      <c r="DM195" s="38"/>
      <c r="DQ195" s="38"/>
      <c r="DT195" s="38"/>
    </row>
    <row r="196" spans="1:126" s="48" customFormat="1" x14ac:dyDescent="0.3">
      <c r="A196" s="47"/>
      <c r="B196" s="53">
        <v>1</v>
      </c>
      <c r="C196" s="38" t="s">
        <v>19</v>
      </c>
      <c r="D196" s="49">
        <v>100</v>
      </c>
      <c r="E196" s="38" t="s">
        <v>105</v>
      </c>
      <c r="F196" s="50">
        <f>D196*F195</f>
        <v>4.7619047619047619</v>
      </c>
      <c r="G196" s="43" t="s">
        <v>101</v>
      </c>
      <c r="H196" s="49">
        <f>F196/D193</f>
        <v>0.23809523809523808</v>
      </c>
      <c r="I196" s="43" t="s">
        <v>28</v>
      </c>
      <c r="J196" s="38"/>
      <c r="K196" s="51"/>
      <c r="N196" s="38"/>
      <c r="R196" s="38"/>
      <c r="S196" s="38"/>
      <c r="W196" s="38"/>
      <c r="AA196" s="38"/>
      <c r="AB196" s="38"/>
      <c r="AF196" s="38"/>
      <c r="AG196" s="38"/>
      <c r="AH196" s="38"/>
      <c r="AI196" s="38"/>
      <c r="AL196" s="47"/>
      <c r="AM196" s="38"/>
      <c r="AN196" s="38"/>
      <c r="AO196" s="38"/>
      <c r="AS196" s="38"/>
      <c r="AT196" s="38"/>
      <c r="AU196" s="38"/>
      <c r="AV196" s="51"/>
      <c r="AW196" s="51"/>
      <c r="AX196" s="38"/>
      <c r="AY196" s="51"/>
      <c r="AZ196" s="51"/>
      <c r="BB196" s="38"/>
      <c r="BC196" s="38"/>
      <c r="BD196" s="38"/>
      <c r="BH196" s="38"/>
      <c r="BI196" s="38"/>
      <c r="BJ196" s="38"/>
      <c r="BN196" s="38"/>
      <c r="BQ196" s="38"/>
      <c r="BT196" s="38"/>
      <c r="BZ196" s="38"/>
      <c r="CC196" s="38"/>
      <c r="CD196" s="51"/>
      <c r="CE196" s="51"/>
      <c r="CF196" s="38"/>
      <c r="CI196" s="38"/>
      <c r="CJ196" s="38"/>
      <c r="CM196" s="38"/>
      <c r="CO196" s="38"/>
      <c r="CP196" s="38"/>
      <c r="CS196" s="38"/>
      <c r="CT196" s="38"/>
      <c r="CW196" s="38"/>
      <c r="CY196" s="38"/>
      <c r="CZ196" s="38"/>
      <c r="DC196" s="38"/>
      <c r="DG196" s="38"/>
      <c r="DJ196" s="38"/>
      <c r="DM196" s="38"/>
      <c r="DQ196" s="38"/>
      <c r="DT196" s="38"/>
    </row>
    <row r="197" spans="1:126" s="48" customFormat="1" x14ac:dyDescent="0.3">
      <c r="A197" s="47"/>
      <c r="B197" s="53">
        <v>1</v>
      </c>
      <c r="C197" s="38" t="s">
        <v>13</v>
      </c>
      <c r="D197" s="49">
        <f>D186/D195</f>
        <v>21</v>
      </c>
      <c r="E197" s="38" t="s">
        <v>105</v>
      </c>
      <c r="F197" s="50"/>
      <c r="G197" s="43"/>
      <c r="I197" s="38"/>
      <c r="J197" s="51"/>
      <c r="K197" s="38"/>
      <c r="L197" s="51"/>
      <c r="O197" s="38"/>
      <c r="S197" s="38"/>
      <c r="T197" s="38"/>
      <c r="X197" s="38"/>
      <c r="AB197" s="38"/>
      <c r="AC197" s="38"/>
      <c r="AG197" s="38"/>
      <c r="AH197" s="38"/>
      <c r="AI197" s="38"/>
      <c r="AJ197" s="38"/>
      <c r="AM197" s="47"/>
      <c r="AN197" s="38"/>
      <c r="AO197" s="38"/>
      <c r="AP197" s="38"/>
      <c r="AT197" s="38"/>
      <c r="AU197" s="38"/>
      <c r="AV197" s="38"/>
      <c r="AW197" s="51"/>
      <c r="AX197" s="51"/>
      <c r="AY197" s="38"/>
      <c r="AZ197" s="51"/>
      <c r="BA197" s="51"/>
      <c r="BC197" s="38"/>
      <c r="BD197" s="38"/>
      <c r="BE197" s="38"/>
      <c r="BI197" s="38"/>
      <c r="BJ197" s="38"/>
      <c r="BK197" s="38"/>
      <c r="BO197" s="38"/>
      <c r="BR197" s="38"/>
      <c r="BU197" s="38"/>
      <c r="CA197" s="38"/>
      <c r="CD197" s="38"/>
      <c r="CE197" s="51"/>
      <c r="CF197" s="51"/>
      <c r="CG197" s="38"/>
      <c r="CJ197" s="38"/>
      <c r="CK197" s="38"/>
      <c r="CN197" s="38"/>
      <c r="CP197" s="38"/>
      <c r="CQ197" s="38"/>
      <c r="CT197" s="38"/>
      <c r="CU197" s="38"/>
      <c r="CX197" s="38"/>
      <c r="CZ197" s="38"/>
      <c r="DA197" s="38"/>
      <c r="DD197" s="38"/>
      <c r="DH197" s="38"/>
      <c r="DK197" s="38"/>
      <c r="DN197" s="38"/>
      <c r="DR197" s="38"/>
      <c r="DU197" s="38"/>
    </row>
    <row r="198" spans="1:126" s="48" customFormat="1" x14ac:dyDescent="0.3">
      <c r="A198" s="47"/>
      <c r="B198" s="51"/>
      <c r="F198" s="51"/>
      <c r="G198" s="51"/>
      <c r="H198" s="51"/>
      <c r="I198" s="47"/>
      <c r="J198" s="47"/>
      <c r="M198" s="51"/>
      <c r="N198" s="51"/>
      <c r="O198" s="51"/>
      <c r="P198" s="47"/>
      <c r="Q198" s="47"/>
      <c r="R198" s="47"/>
      <c r="Y198" s="47"/>
      <c r="Z198" s="47"/>
      <c r="AA198" s="47"/>
      <c r="AK198" s="47"/>
      <c r="AL198" s="47"/>
      <c r="AQ198" s="47"/>
      <c r="AR198" s="47"/>
      <c r="AS198" s="47"/>
      <c r="AW198" s="47"/>
      <c r="AX198" s="47"/>
      <c r="BB198" s="51"/>
      <c r="BC198" s="51"/>
      <c r="BD198" s="51"/>
      <c r="BF198" s="47"/>
      <c r="BG198" s="47"/>
      <c r="BL198" s="47"/>
      <c r="BM198" s="47"/>
      <c r="BS198" s="47"/>
      <c r="BT198" s="47"/>
      <c r="CE198" s="47"/>
      <c r="CF198" s="47"/>
      <c r="CI198" s="51"/>
      <c r="CL198" s="47"/>
      <c r="CR198" s="47"/>
      <c r="CV198" s="47"/>
      <c r="DB198" s="47"/>
      <c r="DE198" s="47"/>
      <c r="DI198" s="47"/>
      <c r="DL198" s="47"/>
      <c r="DO198" s="47"/>
      <c r="DS198" s="47"/>
      <c r="DV198" s="47"/>
    </row>
    <row r="199" spans="1:126" s="48" customFormat="1" x14ac:dyDescent="0.3">
      <c r="A199" s="47"/>
      <c r="B199" s="47">
        <v>1</v>
      </c>
      <c r="C199" s="38" t="s">
        <v>23</v>
      </c>
      <c r="D199" s="49">
        <v>108</v>
      </c>
      <c r="E199" s="38" t="s">
        <v>96</v>
      </c>
      <c r="H199" s="38"/>
      <c r="I199" s="38"/>
      <c r="J199" s="38"/>
      <c r="K199" s="38"/>
      <c r="L199" s="49"/>
      <c r="M199" s="49"/>
      <c r="N199" s="49"/>
      <c r="O199" s="38"/>
      <c r="P199" s="38"/>
      <c r="Q199" s="38"/>
      <c r="R199" s="38"/>
      <c r="S199" s="38"/>
      <c r="T199" s="38"/>
      <c r="V199" s="54"/>
      <c r="W199" s="54"/>
      <c r="X199" s="54"/>
      <c r="Y199" s="38"/>
      <c r="Z199" s="38"/>
      <c r="AA199" s="38"/>
      <c r="AB199" s="38"/>
      <c r="AC199" s="38"/>
      <c r="AD199" s="54"/>
      <c r="AE199" s="54"/>
      <c r="AF199" s="54"/>
      <c r="AG199" s="47"/>
      <c r="AH199" s="47"/>
      <c r="AI199" s="47"/>
      <c r="AJ199" s="38"/>
      <c r="AK199" s="38"/>
      <c r="AL199" s="38"/>
      <c r="AM199" s="47"/>
      <c r="AN199" s="55"/>
      <c r="AO199" s="55"/>
      <c r="AP199" s="38"/>
      <c r="AQ199" s="38"/>
      <c r="AR199" s="38"/>
      <c r="AS199" s="55"/>
      <c r="AT199" s="38"/>
      <c r="AU199" s="38"/>
      <c r="AV199" s="55"/>
      <c r="AW199" s="38"/>
      <c r="AX199" s="38"/>
      <c r="AY199" s="38"/>
      <c r="AZ199" s="51"/>
      <c r="BA199" s="51"/>
      <c r="BB199" s="47"/>
      <c r="BC199" s="47"/>
      <c r="BD199" s="47"/>
      <c r="BE199" s="38"/>
      <c r="BF199" s="38"/>
      <c r="BG199" s="38"/>
      <c r="BH199" s="47"/>
      <c r="BI199" s="38"/>
      <c r="BJ199" s="38"/>
      <c r="BK199" s="47"/>
      <c r="BL199" s="38"/>
      <c r="BM199" s="38"/>
      <c r="BO199" s="38"/>
      <c r="BS199" s="38"/>
      <c r="BT199" s="38"/>
      <c r="BU199" s="38"/>
      <c r="CA199" s="38"/>
      <c r="CE199" s="38"/>
      <c r="CF199" s="38"/>
      <c r="CG199" s="38"/>
      <c r="CJ199" s="38"/>
      <c r="CL199" s="38"/>
      <c r="CN199" s="38"/>
      <c r="CQ199" s="38"/>
      <c r="CR199" s="38"/>
      <c r="CU199" s="38"/>
      <c r="CV199" s="38"/>
      <c r="CX199" s="38"/>
      <c r="DA199" s="38"/>
      <c r="DB199" s="38"/>
      <c r="DE199" s="38"/>
      <c r="DI199" s="38"/>
      <c r="DL199" s="38"/>
      <c r="DO199" s="38"/>
      <c r="DS199" s="38"/>
      <c r="DV199" s="38"/>
    </row>
    <row r="200" spans="1:126" s="48" customFormat="1" x14ac:dyDescent="0.3">
      <c r="A200" s="47"/>
      <c r="B200" s="47">
        <v>1</v>
      </c>
      <c r="C200" s="38" t="s">
        <v>97</v>
      </c>
      <c r="D200" s="49">
        <v>32.5</v>
      </c>
      <c r="E200" s="38" t="s">
        <v>96</v>
      </c>
      <c r="F200" s="47"/>
      <c r="G200" s="47"/>
      <c r="H200" s="38"/>
      <c r="I200" s="38"/>
      <c r="J200" s="38"/>
      <c r="K200" s="38"/>
      <c r="L200" s="49"/>
      <c r="M200" s="49"/>
      <c r="N200" s="49"/>
      <c r="O200" s="38"/>
      <c r="P200" s="38"/>
      <c r="Q200" s="38"/>
      <c r="R200" s="38"/>
      <c r="S200" s="38"/>
      <c r="T200" s="38"/>
      <c r="V200" s="54"/>
      <c r="W200" s="54"/>
      <c r="X200" s="54"/>
      <c r="Y200" s="38"/>
      <c r="Z200" s="38"/>
      <c r="AA200" s="38"/>
      <c r="AB200" s="38"/>
      <c r="AC200" s="38"/>
      <c r="AD200" s="54"/>
      <c r="AE200" s="54"/>
      <c r="AF200" s="54"/>
      <c r="AG200" s="47"/>
      <c r="AH200" s="47"/>
      <c r="AI200" s="47"/>
      <c r="AJ200" s="38"/>
      <c r="AK200" s="38"/>
      <c r="AL200" s="38"/>
      <c r="AM200" s="47"/>
      <c r="AN200" s="55"/>
      <c r="AO200" s="55"/>
      <c r="AP200" s="38"/>
      <c r="AQ200" s="38"/>
      <c r="AR200" s="38"/>
      <c r="AS200" s="55"/>
      <c r="AT200" s="38"/>
      <c r="AU200" s="38"/>
      <c r="AV200" s="55"/>
      <c r="AW200" s="38"/>
      <c r="AX200" s="38"/>
      <c r="AY200" s="38"/>
      <c r="AZ200" s="51"/>
      <c r="BA200" s="51"/>
      <c r="BB200" s="47"/>
      <c r="BC200" s="47"/>
      <c r="BD200" s="47"/>
      <c r="BE200" s="38"/>
      <c r="BF200" s="38"/>
      <c r="BG200" s="38"/>
      <c r="BH200" s="47"/>
      <c r="BI200" s="38"/>
      <c r="BJ200" s="38"/>
      <c r="BK200" s="47"/>
      <c r="BL200" s="38"/>
      <c r="BM200" s="38"/>
      <c r="BO200" s="38"/>
      <c r="BS200" s="38"/>
      <c r="BT200" s="38"/>
      <c r="BU200" s="38"/>
      <c r="CA200" s="38"/>
      <c r="CE200" s="38"/>
      <c r="CF200" s="38"/>
      <c r="CG200" s="38"/>
      <c r="CJ200" s="38"/>
      <c r="CL200" s="38"/>
      <c r="CN200" s="38"/>
      <c r="CQ200" s="38"/>
      <c r="CR200" s="38"/>
      <c r="CU200" s="38"/>
      <c r="CV200" s="38"/>
      <c r="CX200" s="38"/>
      <c r="DA200" s="38"/>
      <c r="DB200" s="38"/>
      <c r="DE200" s="38"/>
      <c r="DI200" s="38"/>
      <c r="DL200" s="38"/>
      <c r="DO200" s="38"/>
      <c r="DS200" s="38"/>
      <c r="DV200" s="38"/>
    </row>
    <row r="201" spans="1:126" s="48" customFormat="1" x14ac:dyDescent="0.3">
      <c r="A201" s="47"/>
      <c r="B201" s="47">
        <v>1</v>
      </c>
      <c r="C201" s="38" t="s">
        <v>14</v>
      </c>
      <c r="D201" s="49">
        <v>112</v>
      </c>
      <c r="E201" s="38" t="s">
        <v>50</v>
      </c>
      <c r="H201" s="38"/>
      <c r="I201" s="38"/>
      <c r="J201" s="38"/>
      <c r="K201" s="38"/>
      <c r="L201" s="49"/>
      <c r="M201" s="49"/>
      <c r="N201" s="49"/>
      <c r="O201" s="38"/>
      <c r="P201" s="38"/>
      <c r="Q201" s="38"/>
      <c r="R201" s="38"/>
      <c r="S201" s="38"/>
      <c r="T201" s="38"/>
      <c r="V201" s="54"/>
      <c r="W201" s="54"/>
      <c r="X201" s="54"/>
      <c r="Y201" s="38"/>
      <c r="Z201" s="38"/>
      <c r="AA201" s="38"/>
      <c r="AB201" s="38"/>
      <c r="AC201" s="38"/>
      <c r="AD201" s="54"/>
      <c r="AE201" s="54"/>
      <c r="AF201" s="54"/>
      <c r="AG201" s="47"/>
      <c r="AH201" s="47"/>
      <c r="AI201" s="47"/>
      <c r="AJ201" s="38"/>
      <c r="AK201" s="38"/>
      <c r="AL201" s="38"/>
      <c r="AM201" s="47"/>
      <c r="AN201" s="55"/>
      <c r="AO201" s="55"/>
      <c r="AP201" s="38"/>
      <c r="AQ201" s="38"/>
      <c r="AR201" s="38"/>
      <c r="AS201" s="55"/>
      <c r="AT201" s="38"/>
      <c r="AU201" s="38"/>
      <c r="AV201" s="55"/>
      <c r="AW201" s="38"/>
      <c r="AX201" s="38"/>
      <c r="AY201" s="38"/>
      <c r="AZ201" s="51"/>
      <c r="BA201" s="51"/>
      <c r="BB201" s="47"/>
      <c r="BC201" s="47"/>
      <c r="BD201" s="47"/>
      <c r="BE201" s="38"/>
      <c r="BF201" s="38"/>
      <c r="BG201" s="38"/>
      <c r="BH201" s="47"/>
      <c r="BI201" s="38"/>
      <c r="BJ201" s="38"/>
      <c r="BK201" s="47"/>
      <c r="BL201" s="38"/>
      <c r="BM201" s="38"/>
      <c r="BO201" s="38"/>
      <c r="BS201" s="38"/>
      <c r="BT201" s="38"/>
      <c r="BU201" s="38"/>
      <c r="CA201" s="38"/>
      <c r="CE201" s="38"/>
      <c r="CF201" s="38"/>
      <c r="CG201" s="38"/>
      <c r="CJ201" s="38"/>
      <c r="CL201" s="38"/>
      <c r="CN201" s="38"/>
      <c r="CQ201" s="38"/>
      <c r="CR201" s="38"/>
      <c r="CU201" s="38"/>
      <c r="CV201" s="38"/>
      <c r="CX201" s="38"/>
      <c r="DA201" s="38"/>
      <c r="DB201" s="38"/>
      <c r="DE201" s="38"/>
      <c r="DI201" s="38"/>
      <c r="DL201" s="38"/>
      <c r="DO201" s="38"/>
      <c r="DS201" s="38"/>
      <c r="DV201" s="38"/>
    </row>
    <row r="202" spans="1:126" s="48" customFormat="1" ht="14.4" customHeight="1" x14ac:dyDescent="0.3">
      <c r="A202" s="47"/>
      <c r="B202" s="152">
        <v>1</v>
      </c>
      <c r="C202" s="149" t="s">
        <v>99</v>
      </c>
      <c r="D202" s="150">
        <v>130</v>
      </c>
      <c r="E202" s="151" t="s">
        <v>96</v>
      </c>
      <c r="H202" s="38"/>
      <c r="I202" s="38"/>
      <c r="J202" s="38"/>
      <c r="K202" s="46"/>
      <c r="L202" s="49"/>
      <c r="M202" s="49"/>
      <c r="N202" s="49"/>
      <c r="O202" s="38"/>
      <c r="P202" s="38"/>
      <c r="Q202" s="38"/>
      <c r="R202" s="38"/>
      <c r="S202" s="46"/>
      <c r="T202" s="77"/>
      <c r="V202" s="54"/>
      <c r="W202" s="54"/>
      <c r="X202" s="54"/>
      <c r="Y202" s="38"/>
      <c r="Z202" s="38"/>
      <c r="AA202" s="38"/>
      <c r="AB202" s="46"/>
      <c r="AC202" s="77"/>
      <c r="AD202" s="54"/>
      <c r="AE202" s="54"/>
      <c r="AF202" s="54"/>
      <c r="AG202" s="47"/>
      <c r="AH202" s="47"/>
      <c r="AI202" s="47"/>
      <c r="AJ202" s="46"/>
      <c r="AK202" s="38"/>
      <c r="AL202" s="38"/>
      <c r="AM202" s="47"/>
      <c r="AN202" s="55"/>
      <c r="AO202" s="55"/>
      <c r="AP202" s="46"/>
      <c r="AQ202" s="38"/>
      <c r="AR202" s="38"/>
      <c r="AS202" s="55"/>
      <c r="AT202" s="46"/>
      <c r="AU202" s="77"/>
      <c r="AV202" s="55"/>
      <c r="AW202" s="38"/>
      <c r="AX202" s="38"/>
      <c r="AY202" s="46"/>
      <c r="AZ202" s="51"/>
      <c r="BA202" s="51"/>
      <c r="BB202" s="47"/>
      <c r="BC202" s="47"/>
      <c r="BD202" s="47"/>
      <c r="BE202" s="46"/>
      <c r="BF202" s="38"/>
      <c r="BG202" s="38"/>
      <c r="BH202" s="47"/>
      <c r="BI202" s="46"/>
      <c r="BJ202" s="77"/>
      <c r="BK202" s="47"/>
      <c r="BL202" s="38"/>
      <c r="BM202" s="38"/>
      <c r="BO202" s="46"/>
      <c r="BS202" s="38"/>
      <c r="BT202" s="38"/>
      <c r="BU202" s="46"/>
      <c r="CA202" s="46"/>
      <c r="CE202" s="38"/>
      <c r="CF202" s="38"/>
      <c r="CG202" s="46"/>
      <c r="CJ202" s="46"/>
      <c r="CL202" s="38"/>
      <c r="CN202" s="46"/>
      <c r="CQ202" s="46"/>
      <c r="CR202" s="38"/>
      <c r="CU202" s="46"/>
      <c r="CV202" s="38"/>
      <c r="CX202" s="46"/>
      <c r="DA202" s="46"/>
      <c r="DB202" s="38"/>
      <c r="DE202" s="38"/>
      <c r="DI202" s="38"/>
      <c r="DL202" s="38"/>
      <c r="DO202" s="38"/>
      <c r="DS202" s="38"/>
      <c r="DV202" s="38"/>
    </row>
    <row r="203" spans="1:126" s="48" customFormat="1" ht="14.4" customHeight="1" x14ac:dyDescent="0.3">
      <c r="A203" s="47"/>
      <c r="B203" s="152"/>
      <c r="C203" s="149"/>
      <c r="D203" s="150"/>
      <c r="E203" s="151"/>
      <c r="F203" s="47"/>
      <c r="G203" s="47"/>
      <c r="H203" s="38"/>
      <c r="I203" s="38"/>
      <c r="J203" s="38"/>
      <c r="K203" s="46"/>
      <c r="L203" s="49"/>
      <c r="M203" s="49"/>
      <c r="N203" s="49"/>
      <c r="O203" s="38"/>
      <c r="P203" s="38"/>
      <c r="Q203" s="38"/>
      <c r="R203" s="38"/>
      <c r="S203" s="46"/>
      <c r="T203" s="77"/>
      <c r="V203" s="54"/>
      <c r="W203" s="54"/>
      <c r="X203" s="54"/>
      <c r="Y203" s="38"/>
      <c r="Z203" s="38"/>
      <c r="AA203" s="38"/>
      <c r="AB203" s="46"/>
      <c r="AC203" s="77"/>
      <c r="AD203" s="54"/>
      <c r="AE203" s="54"/>
      <c r="AF203" s="54"/>
      <c r="AG203" s="47"/>
      <c r="AH203" s="47"/>
      <c r="AI203" s="47"/>
      <c r="AJ203" s="46"/>
      <c r="AK203" s="38"/>
      <c r="AL203" s="38"/>
      <c r="AM203" s="47"/>
      <c r="AN203" s="55"/>
      <c r="AO203" s="55"/>
      <c r="AP203" s="46"/>
      <c r="AQ203" s="38"/>
      <c r="AR203" s="38"/>
      <c r="AS203" s="55"/>
      <c r="AT203" s="46"/>
      <c r="AU203" s="77"/>
      <c r="AV203" s="55"/>
      <c r="AW203" s="38"/>
      <c r="AX203" s="38"/>
      <c r="AY203" s="46"/>
      <c r="AZ203" s="51"/>
      <c r="BA203" s="51"/>
      <c r="BB203" s="47"/>
      <c r="BC203" s="47"/>
      <c r="BD203" s="47"/>
      <c r="BE203" s="46"/>
      <c r="BF203" s="38"/>
      <c r="BG203" s="38"/>
      <c r="BH203" s="47"/>
      <c r="BI203" s="46"/>
      <c r="BJ203" s="77"/>
      <c r="BK203" s="47"/>
      <c r="BL203" s="38"/>
      <c r="BM203" s="38"/>
      <c r="BO203" s="46"/>
      <c r="BS203" s="38"/>
      <c r="BT203" s="38"/>
      <c r="BU203" s="46"/>
      <c r="CA203" s="46"/>
      <c r="CE203" s="38"/>
      <c r="CF203" s="38"/>
      <c r="CG203" s="46"/>
      <c r="CJ203" s="46"/>
      <c r="CL203" s="38"/>
      <c r="CN203" s="46"/>
      <c r="CQ203" s="46"/>
      <c r="CR203" s="38"/>
      <c r="CU203" s="46"/>
      <c r="CV203" s="38"/>
      <c r="CX203" s="46"/>
      <c r="DA203" s="46"/>
      <c r="DB203" s="38"/>
      <c r="DE203" s="38"/>
      <c r="DI203" s="38"/>
      <c r="DL203" s="38"/>
      <c r="DO203" s="38"/>
      <c r="DS203" s="38"/>
      <c r="DV203" s="38"/>
    </row>
    <row r="204" spans="1:126" s="48" customFormat="1" x14ac:dyDescent="0.3">
      <c r="A204" s="47"/>
      <c r="B204" s="53">
        <v>1</v>
      </c>
      <c r="C204" s="38" t="s">
        <v>100</v>
      </c>
      <c r="D204" s="49">
        <v>260</v>
      </c>
      <c r="E204" s="38" t="s">
        <v>96</v>
      </c>
      <c r="F204" s="47"/>
      <c r="G204" s="47"/>
      <c r="H204" s="38"/>
      <c r="I204" s="38"/>
      <c r="J204" s="38"/>
      <c r="K204" s="38"/>
      <c r="L204" s="49"/>
      <c r="M204" s="49"/>
      <c r="N204" s="49"/>
      <c r="O204" s="38"/>
      <c r="P204" s="38"/>
      <c r="Q204" s="38"/>
      <c r="R204" s="38"/>
      <c r="S204" s="38"/>
      <c r="T204" s="38"/>
      <c r="V204" s="54"/>
      <c r="W204" s="54"/>
      <c r="X204" s="54"/>
      <c r="Y204" s="38"/>
      <c r="Z204" s="38"/>
      <c r="AA204" s="38"/>
      <c r="AB204" s="38"/>
      <c r="AC204" s="38"/>
      <c r="AD204" s="54"/>
      <c r="AE204" s="54"/>
      <c r="AF204" s="54"/>
      <c r="AG204" s="47"/>
      <c r="AH204" s="47"/>
      <c r="AI204" s="47"/>
      <c r="AJ204" s="38"/>
      <c r="AK204" s="38"/>
      <c r="AL204" s="38"/>
      <c r="AM204" s="47"/>
      <c r="AN204" s="55"/>
      <c r="AO204" s="55"/>
      <c r="AP204" s="38"/>
      <c r="AQ204" s="38"/>
      <c r="AR204" s="38"/>
      <c r="AS204" s="55"/>
      <c r="AT204" s="38"/>
      <c r="AU204" s="38"/>
      <c r="AV204" s="55"/>
      <c r="AW204" s="38"/>
      <c r="AX204" s="38"/>
      <c r="AY204" s="38"/>
      <c r="AZ204" s="51"/>
      <c r="BA204" s="51"/>
      <c r="BB204" s="47"/>
      <c r="BC204" s="47"/>
      <c r="BD204" s="47"/>
      <c r="BE204" s="38"/>
      <c r="BF204" s="38"/>
      <c r="BG204" s="38"/>
      <c r="BH204" s="47"/>
      <c r="BI204" s="38"/>
      <c r="BJ204" s="38"/>
      <c r="BK204" s="47"/>
      <c r="BL204" s="38"/>
      <c r="BM204" s="38"/>
      <c r="BO204" s="38"/>
      <c r="BS204" s="38"/>
      <c r="BT204" s="38"/>
      <c r="BU204" s="38"/>
      <c r="CA204" s="38"/>
      <c r="CE204" s="38"/>
      <c r="CF204" s="38"/>
      <c r="CG204" s="38"/>
      <c r="CJ204" s="38"/>
      <c r="CL204" s="38"/>
      <c r="CN204" s="38"/>
      <c r="CQ204" s="38"/>
      <c r="CR204" s="38"/>
      <c r="CU204" s="38"/>
      <c r="CV204" s="38"/>
      <c r="CX204" s="38"/>
      <c r="DA204" s="38"/>
      <c r="DB204" s="38"/>
      <c r="DE204" s="38"/>
      <c r="DI204" s="38"/>
      <c r="DL204" s="38"/>
      <c r="DO204" s="38"/>
      <c r="DS204" s="38"/>
      <c r="DV204" s="38"/>
    </row>
    <row r="205" spans="1:126" s="48" customFormat="1" x14ac:dyDescent="0.3">
      <c r="A205" s="47"/>
      <c r="B205" s="53">
        <v>1</v>
      </c>
      <c r="C205" s="38" t="s">
        <v>412</v>
      </c>
      <c r="D205" s="49">
        <f>D202/D201</f>
        <v>1.1607142857142858</v>
      </c>
      <c r="E205" s="38" t="s">
        <v>101</v>
      </c>
      <c r="F205" s="47"/>
      <c r="G205" s="47"/>
      <c r="H205" s="38"/>
      <c r="I205" s="38"/>
      <c r="J205" s="38"/>
      <c r="K205" s="38"/>
      <c r="L205" s="49"/>
      <c r="M205" s="49"/>
      <c r="N205" s="49"/>
      <c r="O205" s="38"/>
      <c r="P205" s="38"/>
      <c r="Q205" s="38"/>
      <c r="R205" s="38"/>
      <c r="S205" s="38"/>
      <c r="T205" s="38"/>
      <c r="V205" s="54"/>
      <c r="W205" s="54"/>
      <c r="X205" s="54"/>
      <c r="Y205" s="38"/>
      <c r="Z205" s="38"/>
      <c r="AA205" s="38"/>
      <c r="AB205" s="38"/>
      <c r="AC205" s="38"/>
      <c r="AD205" s="54"/>
      <c r="AE205" s="54"/>
      <c r="AF205" s="54"/>
      <c r="AG205" s="47"/>
      <c r="AH205" s="47"/>
      <c r="AI205" s="47"/>
      <c r="AJ205" s="38"/>
      <c r="AK205" s="38"/>
      <c r="AL205" s="38"/>
      <c r="AM205" s="47"/>
      <c r="AN205" s="55"/>
      <c r="AO205" s="55"/>
      <c r="AP205" s="38"/>
      <c r="AQ205" s="38"/>
      <c r="AR205" s="38"/>
      <c r="AS205" s="55"/>
      <c r="AT205" s="38"/>
      <c r="AU205" s="38"/>
      <c r="AV205" s="55"/>
      <c r="AW205" s="38"/>
      <c r="AX205" s="38"/>
      <c r="AY205" s="38"/>
      <c r="AZ205" s="51"/>
      <c r="BA205" s="51"/>
      <c r="BB205" s="47"/>
      <c r="BC205" s="47"/>
      <c r="BD205" s="47"/>
      <c r="BE205" s="38"/>
      <c r="BF205" s="38"/>
      <c r="BG205" s="38"/>
      <c r="BH205" s="47"/>
      <c r="BI205" s="38"/>
      <c r="BJ205" s="38"/>
      <c r="BK205" s="47"/>
      <c r="BL205" s="38"/>
      <c r="BM205" s="38"/>
      <c r="BO205" s="38"/>
      <c r="BS205" s="38"/>
      <c r="BT205" s="38"/>
      <c r="BU205" s="38"/>
      <c r="CA205" s="38"/>
      <c r="CE205" s="38"/>
      <c r="CF205" s="38"/>
      <c r="CG205" s="38"/>
      <c r="CJ205" s="38"/>
      <c r="CL205" s="38"/>
      <c r="CN205" s="38"/>
      <c r="CQ205" s="38"/>
      <c r="CR205" s="38"/>
      <c r="CU205" s="38"/>
      <c r="CV205" s="38"/>
      <c r="CX205" s="38"/>
      <c r="DA205" s="38"/>
      <c r="DB205" s="38"/>
      <c r="DE205" s="38"/>
      <c r="DI205" s="38"/>
      <c r="DL205" s="38"/>
      <c r="DO205" s="38"/>
      <c r="DS205" s="38"/>
      <c r="DV205" s="38"/>
    </row>
    <row r="206" spans="1:126" s="48" customFormat="1" x14ac:dyDescent="0.3">
      <c r="A206" s="47"/>
      <c r="B206" s="53">
        <v>1</v>
      </c>
      <c r="C206" s="38" t="s">
        <v>100</v>
      </c>
      <c r="D206" s="49">
        <f>D204/D201</f>
        <v>2.3214285714285716</v>
      </c>
      <c r="E206" s="38" t="s">
        <v>101</v>
      </c>
      <c r="F206" s="47"/>
      <c r="G206" s="47"/>
      <c r="H206" s="38"/>
      <c r="I206" s="38"/>
      <c r="J206" s="38"/>
      <c r="K206" s="38"/>
      <c r="L206" s="49"/>
      <c r="M206" s="49"/>
      <c r="N206" s="49"/>
      <c r="O206" s="38"/>
      <c r="P206" s="38"/>
      <c r="Q206" s="38"/>
      <c r="R206" s="38"/>
      <c r="S206" s="38"/>
      <c r="T206" s="38"/>
      <c r="V206" s="54"/>
      <c r="W206" s="54"/>
      <c r="X206" s="54"/>
      <c r="Y206" s="38"/>
      <c r="Z206" s="38"/>
      <c r="AA206" s="38"/>
      <c r="AB206" s="38"/>
      <c r="AC206" s="38"/>
      <c r="AD206" s="54"/>
      <c r="AE206" s="54"/>
      <c r="AF206" s="54"/>
      <c r="AG206" s="47"/>
      <c r="AH206" s="47"/>
      <c r="AI206" s="47"/>
      <c r="AJ206" s="38"/>
      <c r="AK206" s="38"/>
      <c r="AL206" s="38"/>
      <c r="AM206" s="47"/>
      <c r="AN206" s="55"/>
      <c r="AO206" s="55"/>
      <c r="AP206" s="38"/>
      <c r="AQ206" s="38"/>
      <c r="AR206" s="38"/>
      <c r="AS206" s="55"/>
      <c r="AT206" s="38"/>
      <c r="AU206" s="38"/>
      <c r="AV206" s="55"/>
      <c r="AW206" s="38"/>
      <c r="AX206" s="38"/>
      <c r="AY206" s="38"/>
      <c r="AZ206" s="51"/>
      <c r="BA206" s="51"/>
      <c r="BB206" s="47"/>
      <c r="BC206" s="47"/>
      <c r="BD206" s="47"/>
      <c r="BE206" s="38"/>
      <c r="BF206" s="38"/>
      <c r="BG206" s="38"/>
      <c r="BH206" s="47"/>
      <c r="BI206" s="38"/>
      <c r="BJ206" s="38"/>
      <c r="BK206" s="47"/>
      <c r="BL206" s="38"/>
      <c r="BM206" s="38"/>
      <c r="BO206" s="38"/>
      <c r="BS206" s="38"/>
      <c r="BT206" s="38"/>
      <c r="BU206" s="38"/>
      <c r="CA206" s="38"/>
      <c r="CE206" s="38"/>
      <c r="CF206" s="38"/>
      <c r="CG206" s="38"/>
      <c r="CJ206" s="38"/>
      <c r="CL206" s="38"/>
      <c r="CN206" s="38"/>
      <c r="CQ206" s="38"/>
      <c r="CR206" s="38"/>
      <c r="CU206" s="38"/>
      <c r="CV206" s="38"/>
      <c r="CX206" s="38"/>
      <c r="DA206" s="38"/>
      <c r="DB206" s="38"/>
      <c r="DE206" s="38"/>
      <c r="DI206" s="38"/>
      <c r="DL206" s="38"/>
      <c r="DO206" s="38"/>
      <c r="DS206" s="38"/>
      <c r="DV206" s="38"/>
    </row>
    <row r="207" spans="1:126" s="48" customFormat="1" x14ac:dyDescent="0.3">
      <c r="A207" s="47"/>
      <c r="B207" s="47"/>
      <c r="C207" s="47"/>
      <c r="D207" s="47"/>
      <c r="E207" s="47"/>
      <c r="F207" s="47"/>
      <c r="G207" s="47"/>
      <c r="H207" s="38"/>
      <c r="I207" s="38"/>
      <c r="J207" s="38"/>
      <c r="K207" s="47"/>
      <c r="L207" s="49"/>
      <c r="M207" s="49"/>
      <c r="N207" s="49"/>
      <c r="O207" s="38"/>
      <c r="P207" s="38"/>
      <c r="Q207" s="38"/>
      <c r="R207" s="38"/>
      <c r="S207" s="47"/>
      <c r="T207" s="47"/>
      <c r="V207" s="54"/>
      <c r="W207" s="54"/>
      <c r="X207" s="54"/>
      <c r="Y207" s="38"/>
      <c r="Z207" s="38"/>
      <c r="AA207" s="38"/>
      <c r="AB207" s="47"/>
      <c r="AC207" s="47"/>
      <c r="AD207" s="54"/>
      <c r="AE207" s="54"/>
      <c r="AF207" s="54"/>
      <c r="AG207" s="47"/>
      <c r="AH207" s="47"/>
      <c r="AI207" s="47"/>
      <c r="AJ207" s="47"/>
      <c r="AK207" s="38"/>
      <c r="AL207" s="38"/>
      <c r="AM207" s="47"/>
      <c r="AN207" s="55"/>
      <c r="AO207" s="55"/>
      <c r="AP207" s="47"/>
      <c r="AQ207" s="38"/>
      <c r="AR207" s="38"/>
      <c r="AS207" s="55"/>
      <c r="AT207" s="47"/>
      <c r="AU207" s="47"/>
      <c r="AV207" s="55"/>
      <c r="AW207" s="38"/>
      <c r="AX207" s="38"/>
      <c r="AY207" s="47"/>
      <c r="AZ207" s="51"/>
      <c r="BA207" s="51"/>
      <c r="BB207" s="47"/>
      <c r="BC207" s="47"/>
      <c r="BD207" s="47"/>
      <c r="BE207" s="47"/>
      <c r="BF207" s="38"/>
      <c r="BG207" s="38"/>
      <c r="BH207" s="47"/>
      <c r="BI207" s="47"/>
      <c r="BJ207" s="47"/>
      <c r="BK207" s="47"/>
      <c r="BL207" s="38"/>
      <c r="BM207" s="38"/>
      <c r="BO207" s="47"/>
      <c r="BS207" s="38"/>
      <c r="BT207" s="38"/>
      <c r="BU207" s="47"/>
      <c r="CA207" s="47"/>
      <c r="CE207" s="38"/>
      <c r="CF207" s="38"/>
      <c r="CG207" s="47"/>
      <c r="CJ207" s="47"/>
      <c r="CL207" s="38"/>
      <c r="CN207" s="47"/>
      <c r="CQ207" s="47"/>
      <c r="CR207" s="38"/>
      <c r="CU207" s="47"/>
      <c r="CV207" s="38"/>
      <c r="CX207" s="47"/>
      <c r="DA207" s="47"/>
      <c r="DB207" s="38"/>
      <c r="DE207" s="38"/>
      <c r="DI207" s="38"/>
      <c r="DL207" s="38"/>
      <c r="DO207" s="38"/>
      <c r="DS207" s="38"/>
      <c r="DV207" s="38"/>
    </row>
    <row r="208" spans="1:126" s="48" customFormat="1" x14ac:dyDescent="0.3">
      <c r="A208" s="47" t="s">
        <v>106</v>
      </c>
      <c r="B208" s="47">
        <v>1</v>
      </c>
      <c r="C208" s="41" t="s">
        <v>37</v>
      </c>
      <c r="D208" s="47">
        <v>373.33</v>
      </c>
      <c r="E208" s="38" t="s">
        <v>96</v>
      </c>
      <c r="F208" s="50">
        <f>D208/D201</f>
        <v>3.3333035714285715</v>
      </c>
      <c r="G208" s="38" t="s">
        <v>101</v>
      </c>
      <c r="H208" s="38"/>
      <c r="I208" s="38"/>
      <c r="J208" s="38"/>
      <c r="K208" s="38"/>
      <c r="L208" s="49"/>
      <c r="M208" s="49"/>
      <c r="N208" s="49"/>
      <c r="O208" s="38"/>
      <c r="P208" s="38"/>
      <c r="Q208" s="38"/>
      <c r="R208" s="38"/>
      <c r="S208" s="38"/>
      <c r="T208" s="38"/>
      <c r="V208" s="54"/>
      <c r="W208" s="54"/>
      <c r="X208" s="54"/>
      <c r="Y208" s="38"/>
      <c r="Z208" s="38"/>
      <c r="AA208" s="38"/>
      <c r="AB208" s="38"/>
      <c r="AC208" s="38"/>
      <c r="AD208" s="54"/>
      <c r="AE208" s="54"/>
      <c r="AF208" s="54"/>
      <c r="AG208" s="47"/>
      <c r="AH208" s="47"/>
      <c r="AI208" s="47"/>
      <c r="AJ208" s="38"/>
      <c r="AK208" s="38"/>
      <c r="AL208" s="38"/>
      <c r="AM208" s="47"/>
      <c r="AN208" s="55"/>
      <c r="AO208" s="55"/>
      <c r="AP208" s="38"/>
      <c r="AQ208" s="38"/>
      <c r="AR208" s="38"/>
      <c r="AS208" s="55"/>
      <c r="AT208" s="38"/>
      <c r="AU208" s="38"/>
      <c r="AV208" s="55"/>
      <c r="AW208" s="38"/>
      <c r="AX208" s="38"/>
      <c r="AY208" s="38"/>
      <c r="AZ208" s="51"/>
      <c r="BA208" s="51"/>
      <c r="BB208" s="47"/>
      <c r="BC208" s="47"/>
      <c r="BD208" s="47"/>
      <c r="BE208" s="38"/>
      <c r="BF208" s="38"/>
      <c r="BG208" s="38"/>
      <c r="BH208" s="47"/>
      <c r="BI208" s="38"/>
      <c r="BJ208" s="38"/>
      <c r="BK208" s="47"/>
      <c r="BL208" s="38"/>
      <c r="BM208" s="38"/>
      <c r="BO208" s="38"/>
      <c r="BS208" s="38"/>
      <c r="BT208" s="38"/>
      <c r="BU208" s="38"/>
      <c r="CA208" s="38"/>
      <c r="CE208" s="38"/>
      <c r="CF208" s="38"/>
      <c r="CG208" s="38"/>
      <c r="CJ208" s="38"/>
      <c r="CL208" s="38"/>
      <c r="CN208" s="38"/>
      <c r="CQ208" s="38"/>
      <c r="CR208" s="38"/>
      <c r="CU208" s="38"/>
      <c r="CV208" s="38"/>
      <c r="CX208" s="38"/>
      <c r="DA208" s="38"/>
      <c r="DB208" s="38"/>
      <c r="DE208" s="38"/>
      <c r="DI208" s="38"/>
      <c r="DL208" s="38"/>
      <c r="DO208" s="38"/>
      <c r="DS208" s="38"/>
      <c r="DV208" s="38"/>
    </row>
    <row r="209" spans="1:126" s="48" customFormat="1" x14ac:dyDescent="0.3">
      <c r="A209" s="47" t="s">
        <v>44</v>
      </c>
      <c r="B209" s="47">
        <v>1</v>
      </c>
      <c r="C209" s="41" t="s">
        <v>23</v>
      </c>
      <c r="D209" s="47">
        <v>0.5</v>
      </c>
      <c r="E209" s="38" t="s">
        <v>101</v>
      </c>
      <c r="F209" s="47"/>
      <c r="G209" s="47"/>
      <c r="H209" s="38"/>
      <c r="I209" s="38"/>
      <c r="J209" s="38"/>
      <c r="K209" s="38"/>
      <c r="L209" s="49"/>
      <c r="M209" s="49"/>
      <c r="N209" s="49"/>
      <c r="O209" s="38"/>
      <c r="P209" s="38"/>
      <c r="Q209" s="38"/>
      <c r="R209" s="38"/>
      <c r="S209" s="38"/>
      <c r="T209" s="38"/>
      <c r="V209" s="54"/>
      <c r="W209" s="54"/>
      <c r="X209" s="54"/>
      <c r="Y209" s="38"/>
      <c r="Z209" s="38"/>
      <c r="AA209" s="38"/>
      <c r="AB209" s="38"/>
      <c r="AC209" s="38"/>
      <c r="AD209" s="54"/>
      <c r="AE209" s="54"/>
      <c r="AF209" s="54"/>
      <c r="AG209" s="47"/>
      <c r="AH209" s="47"/>
      <c r="AI209" s="47"/>
      <c r="AJ209" s="38"/>
      <c r="AK209" s="38"/>
      <c r="AL209" s="38"/>
      <c r="AM209" s="47"/>
      <c r="AN209" s="55"/>
      <c r="AO209" s="55"/>
      <c r="AP209" s="38"/>
      <c r="AQ209" s="38"/>
      <c r="AR209" s="38"/>
      <c r="AS209" s="55"/>
      <c r="AT209" s="38"/>
      <c r="AU209" s="38"/>
      <c r="AV209" s="55"/>
      <c r="AW209" s="38"/>
      <c r="AX209" s="38"/>
      <c r="AY209" s="38"/>
      <c r="AZ209" s="51"/>
      <c r="BA209" s="51"/>
      <c r="BB209" s="47"/>
      <c r="BC209" s="47"/>
      <c r="BD209" s="47"/>
      <c r="BE209" s="38"/>
      <c r="BF209" s="38"/>
      <c r="BG209" s="38"/>
      <c r="BH209" s="47"/>
      <c r="BI209" s="38"/>
      <c r="BJ209" s="38"/>
      <c r="BK209" s="47"/>
      <c r="BL209" s="38"/>
      <c r="BM209" s="38"/>
      <c r="BO209" s="38"/>
      <c r="BS209" s="38"/>
      <c r="BT209" s="38"/>
      <c r="BU209" s="38"/>
      <c r="CA209" s="38"/>
      <c r="CE209" s="38"/>
      <c r="CF209" s="38"/>
      <c r="CG209" s="38"/>
      <c r="CJ209" s="38"/>
      <c r="CL209" s="38"/>
      <c r="CN209" s="38"/>
      <c r="CQ209" s="38"/>
      <c r="CR209" s="38"/>
      <c r="CU209" s="38"/>
      <c r="CV209" s="38"/>
      <c r="CX209" s="38"/>
      <c r="DA209" s="38"/>
      <c r="DB209" s="38"/>
      <c r="DE209" s="38"/>
      <c r="DI209" s="38"/>
      <c r="DL209" s="38"/>
      <c r="DO209" s="38"/>
      <c r="DS209" s="38"/>
      <c r="DV209" s="38"/>
    </row>
    <row r="210" spans="1:126" s="48" customFormat="1" x14ac:dyDescent="0.3">
      <c r="A210" s="47" t="s">
        <v>8</v>
      </c>
      <c r="B210" s="47">
        <v>1</v>
      </c>
      <c r="C210" s="38" t="s">
        <v>107</v>
      </c>
      <c r="D210" s="49">
        <v>1.5</v>
      </c>
      <c r="E210" s="38" t="s">
        <v>101</v>
      </c>
      <c r="F210" s="49">
        <f>D210/D193</f>
        <v>7.4999999999999997E-2</v>
      </c>
      <c r="G210" s="38" t="s">
        <v>28</v>
      </c>
      <c r="H210" s="38"/>
      <c r="I210" s="38"/>
      <c r="J210" s="38"/>
      <c r="K210" s="38"/>
      <c r="L210" s="49"/>
      <c r="M210" s="49"/>
      <c r="N210" s="49"/>
      <c r="O210" s="38"/>
      <c r="P210" s="38"/>
      <c r="Q210" s="38"/>
      <c r="R210" s="38"/>
      <c r="S210" s="38"/>
      <c r="T210" s="38"/>
      <c r="V210" s="54"/>
      <c r="W210" s="54"/>
      <c r="X210" s="54"/>
      <c r="Y210" s="38"/>
      <c r="Z210" s="38"/>
      <c r="AA210" s="38"/>
      <c r="AB210" s="38"/>
      <c r="AC210" s="38"/>
      <c r="AD210" s="54"/>
      <c r="AE210" s="54"/>
      <c r="AF210" s="54"/>
      <c r="AG210" s="47"/>
      <c r="AH210" s="47"/>
      <c r="AI210" s="47"/>
      <c r="AJ210" s="38"/>
      <c r="AK210" s="38"/>
      <c r="AL210" s="38"/>
      <c r="AM210" s="47"/>
      <c r="AN210" s="55"/>
      <c r="AO210" s="55"/>
      <c r="AP210" s="38"/>
      <c r="AQ210" s="38"/>
      <c r="AR210" s="38"/>
      <c r="AS210" s="55"/>
      <c r="AT210" s="38"/>
      <c r="AU210" s="38"/>
      <c r="AV210" s="55"/>
      <c r="AW210" s="38"/>
      <c r="AX210" s="38"/>
      <c r="AY210" s="38"/>
      <c r="AZ210" s="51"/>
      <c r="BA210" s="51"/>
      <c r="BB210" s="47"/>
      <c r="BC210" s="47"/>
      <c r="BD210" s="47"/>
      <c r="BE210" s="38"/>
      <c r="BF210" s="38"/>
      <c r="BG210" s="38"/>
      <c r="BH210" s="47"/>
      <c r="BI210" s="38"/>
      <c r="BJ210" s="38"/>
      <c r="BK210" s="47"/>
      <c r="BL210" s="38"/>
      <c r="BM210" s="38"/>
      <c r="BO210" s="38"/>
      <c r="BS210" s="38"/>
      <c r="BT210" s="38"/>
      <c r="BU210" s="38"/>
      <c r="CA210" s="38"/>
      <c r="CE210" s="38"/>
      <c r="CF210" s="38"/>
      <c r="CG210" s="38"/>
      <c r="CJ210" s="38"/>
      <c r="CL210" s="38"/>
      <c r="CN210" s="38"/>
      <c r="CQ210" s="38"/>
      <c r="CR210" s="38"/>
      <c r="CU210" s="38"/>
      <c r="CV210" s="38"/>
      <c r="CX210" s="38"/>
      <c r="DA210" s="38"/>
      <c r="DB210" s="38"/>
      <c r="DE210" s="38"/>
      <c r="DI210" s="38"/>
      <c r="DL210" s="38"/>
      <c r="DO210" s="38"/>
      <c r="DS210" s="38"/>
      <c r="DV210" s="38"/>
    </row>
    <row r="211" spans="1:126" s="48" customFormat="1" x14ac:dyDescent="0.3">
      <c r="A211" s="47" t="s">
        <v>55</v>
      </c>
      <c r="B211" s="47">
        <v>1</v>
      </c>
      <c r="C211" s="38" t="s">
        <v>107</v>
      </c>
      <c r="D211" s="49">
        <v>1.75</v>
      </c>
      <c r="E211" s="38" t="s">
        <v>101</v>
      </c>
      <c r="G211" s="38"/>
      <c r="H211" s="38"/>
      <c r="I211" s="38"/>
      <c r="J211" s="38"/>
      <c r="K211" s="38"/>
      <c r="L211" s="49"/>
      <c r="M211" s="49"/>
      <c r="N211" s="49"/>
      <c r="O211" s="38"/>
      <c r="P211" s="38"/>
      <c r="Q211" s="38"/>
      <c r="R211" s="38"/>
      <c r="S211" s="38"/>
      <c r="T211" s="38"/>
      <c r="V211" s="54"/>
      <c r="W211" s="54"/>
      <c r="X211" s="54"/>
      <c r="Y211" s="38"/>
      <c r="Z211" s="38"/>
      <c r="AA211" s="38"/>
      <c r="AB211" s="38"/>
      <c r="AC211" s="38"/>
      <c r="AD211" s="54"/>
      <c r="AE211" s="54"/>
      <c r="AF211" s="54"/>
      <c r="AG211" s="47"/>
      <c r="AH211" s="47"/>
      <c r="AI211" s="47"/>
      <c r="AJ211" s="38"/>
      <c r="AK211" s="38"/>
      <c r="AL211" s="38"/>
      <c r="AM211" s="47"/>
      <c r="AN211" s="55"/>
      <c r="AO211" s="55"/>
      <c r="AP211" s="38"/>
      <c r="AQ211" s="38"/>
      <c r="AR211" s="38"/>
      <c r="AS211" s="55"/>
      <c r="AT211" s="38"/>
      <c r="AU211" s="38"/>
      <c r="AV211" s="55"/>
      <c r="AW211" s="38"/>
      <c r="AX211" s="38"/>
      <c r="AY211" s="38"/>
      <c r="AZ211" s="51"/>
      <c r="BA211" s="51"/>
      <c r="BB211" s="47"/>
      <c r="BC211" s="47"/>
      <c r="BD211" s="47"/>
      <c r="BE211" s="38"/>
      <c r="BF211" s="38"/>
      <c r="BG211" s="38"/>
      <c r="BH211" s="47"/>
      <c r="BI211" s="38"/>
      <c r="BJ211" s="38"/>
      <c r="BK211" s="47"/>
      <c r="BL211" s="38"/>
      <c r="BM211" s="38"/>
      <c r="BO211" s="38"/>
      <c r="BS211" s="38"/>
      <c r="BT211" s="38"/>
      <c r="BU211" s="38"/>
      <c r="CA211" s="38"/>
      <c r="CE211" s="38"/>
      <c r="CF211" s="38"/>
      <c r="CG211" s="38"/>
      <c r="CJ211" s="38"/>
      <c r="CL211" s="38"/>
      <c r="CN211" s="38"/>
      <c r="CQ211" s="38"/>
      <c r="CR211" s="38"/>
      <c r="CU211" s="38"/>
      <c r="CV211" s="38"/>
      <c r="CX211" s="38"/>
      <c r="DA211" s="38"/>
      <c r="DB211" s="38"/>
      <c r="DE211" s="38"/>
      <c r="DI211" s="38"/>
      <c r="DL211" s="38"/>
      <c r="DO211" s="38"/>
      <c r="DS211" s="38"/>
      <c r="DV211" s="38"/>
    </row>
    <row r="212" spans="1:126" s="48" customFormat="1" x14ac:dyDescent="0.3">
      <c r="A212" s="47" t="s">
        <v>108</v>
      </c>
      <c r="B212" s="47">
        <v>1</v>
      </c>
      <c r="C212" s="38" t="s">
        <v>107</v>
      </c>
      <c r="D212" s="49">
        <v>1.5</v>
      </c>
      <c r="E212" s="38" t="s">
        <v>101</v>
      </c>
      <c r="G212" s="38"/>
      <c r="H212" s="38"/>
      <c r="I212" s="38"/>
      <c r="J212" s="38"/>
      <c r="K212" s="38"/>
      <c r="L212" s="49"/>
      <c r="M212" s="49"/>
      <c r="N212" s="49"/>
      <c r="O212" s="38"/>
      <c r="P212" s="38"/>
      <c r="Q212" s="38"/>
      <c r="R212" s="38"/>
      <c r="S212" s="38"/>
      <c r="T212" s="38"/>
      <c r="V212" s="54"/>
      <c r="W212" s="54"/>
      <c r="X212" s="54"/>
      <c r="Y212" s="38"/>
      <c r="Z212" s="38"/>
      <c r="AA212" s="38"/>
      <c r="AB212" s="38"/>
      <c r="AC212" s="38"/>
      <c r="AD212" s="54"/>
      <c r="AE212" s="54"/>
      <c r="AF212" s="54"/>
      <c r="AG212" s="47"/>
      <c r="AH212" s="47"/>
      <c r="AI212" s="47"/>
      <c r="AJ212" s="38"/>
      <c r="AK212" s="38"/>
      <c r="AL212" s="38"/>
      <c r="AM212" s="47"/>
      <c r="AN212" s="55"/>
      <c r="AO212" s="55"/>
      <c r="AP212" s="38"/>
      <c r="AQ212" s="38"/>
      <c r="AR212" s="38"/>
      <c r="AS212" s="55"/>
      <c r="AT212" s="38"/>
      <c r="AU212" s="38"/>
      <c r="AV212" s="55"/>
      <c r="AW212" s="38"/>
      <c r="AX212" s="38"/>
      <c r="AY212" s="38"/>
      <c r="AZ212" s="51"/>
      <c r="BA212" s="51"/>
      <c r="BB212" s="47"/>
      <c r="BC212" s="47"/>
      <c r="BD212" s="47"/>
      <c r="BE212" s="38"/>
      <c r="BF212" s="38"/>
      <c r="BG212" s="38"/>
      <c r="BH212" s="47"/>
      <c r="BI212" s="38"/>
      <c r="BJ212" s="38"/>
      <c r="BK212" s="47"/>
      <c r="BL212" s="38"/>
      <c r="BM212" s="38"/>
      <c r="BO212" s="38"/>
      <c r="BS212" s="38"/>
      <c r="BT212" s="38"/>
      <c r="BU212" s="38"/>
      <c r="CA212" s="38"/>
      <c r="CE212" s="38"/>
      <c r="CF212" s="38"/>
      <c r="CG212" s="38"/>
      <c r="CJ212" s="38"/>
      <c r="CL212" s="38"/>
      <c r="CN212" s="38"/>
      <c r="CQ212" s="38"/>
      <c r="CR212" s="38"/>
      <c r="CU212" s="38"/>
      <c r="CV212" s="38"/>
      <c r="CX212" s="38"/>
      <c r="DA212" s="38"/>
      <c r="DB212" s="38"/>
      <c r="DE212" s="38"/>
      <c r="DI212" s="38"/>
      <c r="DL212" s="38"/>
      <c r="DO212" s="38"/>
      <c r="DS212" s="38"/>
      <c r="DV212" s="38"/>
    </row>
    <row r="213" spans="1:126" s="48" customFormat="1" x14ac:dyDescent="0.3">
      <c r="A213" s="47" t="s">
        <v>38</v>
      </c>
      <c r="B213" s="47">
        <v>1</v>
      </c>
      <c r="C213" s="38" t="s">
        <v>37</v>
      </c>
      <c r="D213" s="49">
        <v>1.26</v>
      </c>
      <c r="E213" s="38" t="s">
        <v>101</v>
      </c>
      <c r="G213" s="38"/>
      <c r="H213" s="38"/>
      <c r="I213" s="38"/>
      <c r="J213" s="38"/>
      <c r="K213" s="38"/>
      <c r="L213" s="49"/>
      <c r="M213" s="49"/>
      <c r="N213" s="49"/>
      <c r="O213" s="38"/>
      <c r="P213" s="38"/>
      <c r="Q213" s="38"/>
      <c r="R213" s="38"/>
      <c r="S213" s="38"/>
      <c r="T213" s="38"/>
      <c r="V213" s="54"/>
      <c r="W213" s="54"/>
      <c r="X213" s="54"/>
      <c r="Y213" s="38"/>
      <c r="Z213" s="38"/>
      <c r="AA213" s="38"/>
      <c r="AB213" s="38"/>
      <c r="AC213" s="38"/>
      <c r="AD213" s="54"/>
      <c r="AE213" s="54"/>
      <c r="AF213" s="54"/>
      <c r="AG213" s="47"/>
      <c r="AH213" s="47"/>
      <c r="AI213" s="47"/>
      <c r="AJ213" s="38"/>
      <c r="AK213" s="38"/>
      <c r="AL213" s="38"/>
      <c r="AM213" s="47"/>
      <c r="AN213" s="55"/>
      <c r="AO213" s="55"/>
      <c r="AP213" s="38"/>
      <c r="AQ213" s="38"/>
      <c r="AR213" s="38"/>
      <c r="AS213" s="55"/>
      <c r="AT213" s="38"/>
      <c r="AU213" s="38"/>
      <c r="AV213" s="55"/>
      <c r="AW213" s="38"/>
      <c r="AX213" s="38"/>
      <c r="AY213" s="38"/>
      <c r="AZ213" s="51"/>
      <c r="BA213" s="51"/>
      <c r="BB213" s="47"/>
      <c r="BC213" s="47"/>
      <c r="BD213" s="47"/>
      <c r="BE213" s="38"/>
      <c r="BF213" s="38"/>
      <c r="BG213" s="38"/>
      <c r="BH213" s="47"/>
      <c r="BI213" s="38"/>
      <c r="BJ213" s="38"/>
      <c r="BK213" s="47"/>
      <c r="BL213" s="38"/>
      <c r="BM213" s="38"/>
      <c r="BO213" s="38"/>
      <c r="BS213" s="38"/>
      <c r="BT213" s="38"/>
      <c r="BU213" s="38"/>
      <c r="CA213" s="38"/>
      <c r="CE213" s="38"/>
      <c r="CF213" s="38"/>
      <c r="CG213" s="38"/>
      <c r="CJ213" s="38"/>
      <c r="CL213" s="38"/>
      <c r="CN213" s="38"/>
      <c r="CQ213" s="38"/>
      <c r="CR213" s="38"/>
      <c r="CU213" s="38"/>
      <c r="CV213" s="38"/>
      <c r="CX213" s="38"/>
      <c r="DA213" s="38"/>
      <c r="DB213" s="38"/>
      <c r="DE213" s="38"/>
      <c r="DI213" s="38"/>
      <c r="DL213" s="38"/>
      <c r="DO213" s="38"/>
      <c r="DS213" s="38"/>
      <c r="DV213" s="38"/>
    </row>
    <row r="214" spans="1:126" s="48" customFormat="1" x14ac:dyDescent="0.3">
      <c r="A214" s="47" t="s">
        <v>53</v>
      </c>
      <c r="B214" s="47">
        <v>1</v>
      </c>
      <c r="C214" s="38" t="s">
        <v>109</v>
      </c>
      <c r="D214" s="49">
        <v>15.9</v>
      </c>
      <c r="E214" s="38" t="s">
        <v>101</v>
      </c>
      <c r="G214" s="38"/>
      <c r="H214" s="38"/>
      <c r="I214" s="38"/>
      <c r="J214" s="38"/>
      <c r="K214" s="38"/>
      <c r="L214" s="49"/>
      <c r="M214" s="49"/>
      <c r="N214" s="49"/>
      <c r="O214" s="38"/>
      <c r="P214" s="38"/>
      <c r="Q214" s="38"/>
      <c r="R214" s="38"/>
      <c r="S214" s="38"/>
      <c r="T214" s="38"/>
      <c r="V214" s="54"/>
      <c r="W214" s="54"/>
      <c r="X214" s="54"/>
      <c r="Y214" s="38"/>
      <c r="Z214" s="38"/>
      <c r="AA214" s="38"/>
      <c r="AB214" s="38"/>
      <c r="AC214" s="38"/>
      <c r="AD214" s="54"/>
      <c r="AE214" s="54"/>
      <c r="AF214" s="54"/>
      <c r="AG214" s="47"/>
      <c r="AH214" s="47"/>
      <c r="AI214" s="47"/>
      <c r="AJ214" s="38"/>
      <c r="AK214" s="38"/>
      <c r="AL214" s="38"/>
      <c r="AM214" s="47"/>
      <c r="AN214" s="55"/>
      <c r="AO214" s="55"/>
      <c r="AP214" s="38"/>
      <c r="AQ214" s="38"/>
      <c r="AR214" s="38"/>
      <c r="AS214" s="55"/>
      <c r="AT214" s="38"/>
      <c r="AU214" s="38"/>
      <c r="AV214" s="55"/>
      <c r="AW214" s="38"/>
      <c r="AX214" s="38"/>
      <c r="AY214" s="38"/>
      <c r="AZ214" s="51"/>
      <c r="BA214" s="51"/>
      <c r="BB214" s="47"/>
      <c r="BC214" s="47"/>
      <c r="BD214" s="47"/>
      <c r="BE214" s="38"/>
      <c r="BF214" s="38"/>
      <c r="BG214" s="38"/>
      <c r="BH214" s="47"/>
      <c r="BI214" s="38"/>
      <c r="BJ214" s="38"/>
      <c r="BK214" s="47"/>
      <c r="BL214" s="38"/>
      <c r="BM214" s="38"/>
      <c r="BO214" s="38"/>
      <c r="BS214" s="38"/>
      <c r="BT214" s="38"/>
      <c r="BU214" s="38"/>
      <c r="CA214" s="38"/>
      <c r="CE214" s="38"/>
      <c r="CF214" s="38"/>
      <c r="CG214" s="38"/>
      <c r="CJ214" s="38"/>
      <c r="CL214" s="38"/>
      <c r="CN214" s="38"/>
      <c r="CQ214" s="38"/>
      <c r="CR214" s="38"/>
      <c r="CU214" s="38"/>
      <c r="CV214" s="38"/>
      <c r="CX214" s="38"/>
      <c r="DA214" s="38"/>
      <c r="DB214" s="38"/>
      <c r="DE214" s="38"/>
      <c r="DI214" s="38"/>
      <c r="DL214" s="38"/>
      <c r="DO214" s="38"/>
      <c r="DS214" s="38"/>
      <c r="DV214" s="38"/>
    </row>
    <row r="215" spans="1:126" s="48" customFormat="1" x14ac:dyDescent="0.3">
      <c r="A215" s="47" t="s">
        <v>34</v>
      </c>
      <c r="B215" s="47">
        <v>1</v>
      </c>
      <c r="C215" s="38" t="s">
        <v>40</v>
      </c>
      <c r="D215" s="49">
        <f>439.681/D201</f>
        <v>3.9257232142857141</v>
      </c>
      <c r="E215" s="38" t="s">
        <v>101</v>
      </c>
      <c r="G215" s="38"/>
      <c r="I215" s="38"/>
      <c r="J215" s="38"/>
      <c r="K215" s="38"/>
      <c r="L215" s="49"/>
      <c r="M215" s="49"/>
      <c r="N215" s="49"/>
      <c r="O215" s="38"/>
      <c r="P215" s="38"/>
      <c r="Q215" s="38"/>
      <c r="R215" s="38"/>
      <c r="S215" s="38"/>
      <c r="T215" s="38"/>
      <c r="V215" s="54"/>
      <c r="W215" s="54"/>
      <c r="X215" s="54"/>
      <c r="Y215" s="38"/>
      <c r="Z215" s="38"/>
      <c r="AA215" s="38"/>
      <c r="AB215" s="38"/>
      <c r="AC215" s="38"/>
      <c r="AD215" s="54"/>
      <c r="AE215" s="54"/>
      <c r="AF215" s="54"/>
      <c r="AG215" s="47"/>
      <c r="AH215" s="47"/>
      <c r="AI215" s="47"/>
      <c r="AJ215" s="38"/>
      <c r="AK215" s="38"/>
      <c r="AL215" s="38"/>
      <c r="AM215" s="47"/>
      <c r="AN215" s="55"/>
      <c r="AO215" s="55"/>
      <c r="AP215" s="38"/>
      <c r="AQ215" s="38"/>
      <c r="AR215" s="38"/>
      <c r="AS215" s="55"/>
      <c r="AT215" s="38"/>
      <c r="AU215" s="38"/>
      <c r="AV215" s="55"/>
      <c r="AW215" s="38"/>
      <c r="AX215" s="38"/>
      <c r="AY215" s="38"/>
      <c r="AZ215" s="51"/>
      <c r="BA215" s="51"/>
      <c r="BB215" s="47"/>
      <c r="BC215" s="47"/>
      <c r="BD215" s="47"/>
      <c r="BE215" s="38"/>
      <c r="BF215" s="38"/>
      <c r="BG215" s="38"/>
      <c r="BH215" s="47"/>
      <c r="BI215" s="38"/>
      <c r="BJ215" s="38"/>
      <c r="BK215" s="47"/>
      <c r="BL215" s="38"/>
      <c r="BM215" s="38"/>
      <c r="BO215" s="38"/>
      <c r="BS215" s="38"/>
      <c r="BT215" s="38"/>
      <c r="BU215" s="38"/>
      <c r="CA215" s="38"/>
      <c r="CE215" s="38"/>
      <c r="CF215" s="38"/>
      <c r="CG215" s="38"/>
      <c r="CJ215" s="38"/>
      <c r="CL215" s="38"/>
      <c r="CN215" s="38"/>
      <c r="CQ215" s="38"/>
      <c r="CR215" s="38"/>
      <c r="CU215" s="38"/>
      <c r="CV215" s="38"/>
      <c r="CX215" s="38"/>
      <c r="DA215" s="38"/>
      <c r="DB215" s="38"/>
      <c r="DE215" s="38"/>
      <c r="DI215" s="38"/>
      <c r="DL215" s="38"/>
      <c r="DO215" s="38"/>
      <c r="DS215" s="38"/>
      <c r="DV215" s="38"/>
    </row>
    <row r="216" spans="1:126" s="48" customFormat="1" x14ac:dyDescent="0.3">
      <c r="A216" s="154" t="s">
        <v>45</v>
      </c>
      <c r="B216" s="47">
        <v>1</v>
      </c>
      <c r="C216" s="38" t="s">
        <v>40</v>
      </c>
      <c r="D216" s="49">
        <v>3</v>
      </c>
      <c r="E216" s="38" t="s">
        <v>101</v>
      </c>
      <c r="G216" s="38"/>
      <c r="I216" s="38"/>
      <c r="J216" s="38"/>
      <c r="K216" s="38"/>
      <c r="P216" s="38"/>
      <c r="Q216" s="38"/>
      <c r="R216" s="38"/>
      <c r="S216" s="38"/>
      <c r="T216" s="38"/>
      <c r="V216" s="54"/>
      <c r="W216" s="54"/>
      <c r="X216" s="54"/>
      <c r="Y216" s="38"/>
      <c r="Z216" s="38"/>
      <c r="AA216" s="38"/>
      <c r="AB216" s="38"/>
      <c r="AC216" s="38"/>
      <c r="AD216" s="54"/>
      <c r="AE216" s="54"/>
      <c r="AF216" s="54"/>
      <c r="AG216" s="51"/>
      <c r="AH216" s="51"/>
      <c r="AI216" s="51"/>
      <c r="AJ216" s="38"/>
      <c r="AK216" s="38"/>
      <c r="AL216" s="38"/>
      <c r="AM216" s="51"/>
      <c r="AN216" s="55"/>
      <c r="AO216" s="55"/>
      <c r="AP216" s="38"/>
      <c r="AQ216" s="38"/>
      <c r="AR216" s="38"/>
      <c r="AS216" s="55"/>
      <c r="AT216" s="38"/>
      <c r="AU216" s="38"/>
      <c r="AV216" s="55"/>
      <c r="AW216" s="38"/>
      <c r="AX216" s="38"/>
      <c r="AY216" s="38"/>
      <c r="AZ216" s="51"/>
      <c r="BA216" s="51"/>
      <c r="BB216" s="47"/>
      <c r="BC216" s="47"/>
      <c r="BD216" s="47"/>
      <c r="BE216" s="38"/>
      <c r="BF216" s="38"/>
      <c r="BG216" s="38"/>
      <c r="BH216" s="47"/>
      <c r="BI216" s="38"/>
      <c r="BJ216" s="38"/>
      <c r="BK216" s="47"/>
      <c r="BL216" s="38"/>
      <c r="BM216" s="38"/>
      <c r="BO216" s="38"/>
      <c r="BS216" s="38"/>
      <c r="BT216" s="38"/>
      <c r="BU216" s="38"/>
      <c r="CA216" s="38"/>
      <c r="CE216" s="38"/>
      <c r="CF216" s="38"/>
      <c r="CG216" s="38"/>
      <c r="CJ216" s="38"/>
      <c r="CL216" s="38"/>
      <c r="CN216" s="38"/>
      <c r="CQ216" s="38"/>
      <c r="CR216" s="38"/>
      <c r="CU216" s="38"/>
      <c r="CV216" s="38"/>
      <c r="CX216" s="38"/>
      <c r="DA216" s="38"/>
      <c r="DB216" s="38"/>
      <c r="DE216" s="38"/>
      <c r="DI216" s="38"/>
      <c r="DL216" s="38"/>
      <c r="DO216" s="38"/>
      <c r="DS216" s="38"/>
      <c r="DV216" s="38"/>
    </row>
    <row r="217" spans="1:126" s="48" customFormat="1" x14ac:dyDescent="0.3">
      <c r="A217" s="154"/>
      <c r="B217" s="47">
        <v>1</v>
      </c>
      <c r="C217" s="38" t="s">
        <v>121</v>
      </c>
      <c r="D217" s="49">
        <v>2.0271699999999999</v>
      </c>
      <c r="E217" s="38" t="s">
        <v>29</v>
      </c>
      <c r="F217" s="49">
        <f>D217*D216</f>
        <v>6.0815099999999997</v>
      </c>
      <c r="G217" s="38" t="s">
        <v>101</v>
      </c>
      <c r="I217" s="38"/>
      <c r="J217" s="38"/>
      <c r="K217" s="38"/>
      <c r="P217" s="38"/>
      <c r="Q217" s="38"/>
      <c r="R217" s="38"/>
      <c r="S217" s="38"/>
      <c r="T217" s="38"/>
      <c r="V217" s="54"/>
      <c r="W217" s="54"/>
      <c r="X217" s="54"/>
      <c r="Y217" s="38"/>
      <c r="Z217" s="38"/>
      <c r="AA217" s="38"/>
      <c r="AB217" s="38"/>
      <c r="AC217" s="38"/>
      <c r="AD217" s="54"/>
      <c r="AE217" s="54"/>
      <c r="AF217" s="54"/>
      <c r="AG217" s="51"/>
      <c r="AH217" s="51"/>
      <c r="AI217" s="51"/>
      <c r="AJ217" s="38"/>
      <c r="AK217" s="38"/>
      <c r="AL217" s="38"/>
      <c r="AM217" s="51"/>
      <c r="AN217" s="55"/>
      <c r="AO217" s="55"/>
      <c r="AP217" s="38"/>
      <c r="AQ217" s="38"/>
      <c r="AR217" s="38"/>
      <c r="AS217" s="55"/>
      <c r="AT217" s="38"/>
      <c r="AU217" s="38"/>
      <c r="AV217" s="55"/>
      <c r="AW217" s="38"/>
      <c r="AX217" s="38"/>
      <c r="AY217" s="38"/>
      <c r="AZ217" s="51"/>
      <c r="BA217" s="51"/>
      <c r="BB217" s="47"/>
      <c r="BC217" s="47"/>
      <c r="BD217" s="47"/>
      <c r="BE217" s="38"/>
      <c r="BF217" s="38"/>
      <c r="BG217" s="38"/>
      <c r="BH217" s="47"/>
      <c r="BI217" s="38"/>
      <c r="BJ217" s="38"/>
      <c r="BK217" s="47"/>
      <c r="BL217" s="38"/>
      <c r="BM217" s="38"/>
      <c r="BO217" s="38"/>
      <c r="BS217" s="38"/>
      <c r="BT217" s="38"/>
      <c r="BU217" s="38"/>
      <c r="CA217" s="38"/>
      <c r="CE217" s="38"/>
      <c r="CF217" s="38"/>
      <c r="CG217" s="38"/>
      <c r="CJ217" s="38"/>
      <c r="CL217" s="38"/>
      <c r="CN217" s="38"/>
      <c r="CQ217" s="38"/>
      <c r="CR217" s="38"/>
      <c r="CU217" s="38"/>
      <c r="CV217" s="38"/>
      <c r="CX217" s="38"/>
      <c r="DA217" s="38"/>
      <c r="DB217" s="38"/>
      <c r="DE217" s="38"/>
      <c r="DI217" s="38"/>
      <c r="DL217" s="38"/>
      <c r="DO217" s="38"/>
      <c r="DS217" s="38"/>
      <c r="DV217" s="38"/>
    </row>
    <row r="218" spans="1:126" s="48" customFormat="1" x14ac:dyDescent="0.3">
      <c r="A218" s="56" t="s">
        <v>87</v>
      </c>
      <c r="B218" s="47">
        <v>1</v>
      </c>
      <c r="C218" s="38" t="s">
        <v>37</v>
      </c>
      <c r="D218" s="49">
        <v>400</v>
      </c>
      <c r="E218" s="38" t="s">
        <v>50</v>
      </c>
      <c r="F218" s="49">
        <f>D218/D201</f>
        <v>3.5714285714285716</v>
      </c>
      <c r="G218" s="38" t="s">
        <v>101</v>
      </c>
      <c r="H218" s="49">
        <f>F218/D219</f>
        <v>1.1984659635666348</v>
      </c>
      <c r="I218" s="38" t="s">
        <v>29</v>
      </c>
      <c r="J218" s="38"/>
      <c r="K218" s="38"/>
      <c r="P218" s="38"/>
      <c r="Q218" s="38"/>
      <c r="R218" s="38"/>
      <c r="S218" s="38"/>
      <c r="T218" s="38"/>
      <c r="V218" s="54"/>
      <c r="W218" s="54"/>
      <c r="X218" s="54"/>
      <c r="Y218" s="38"/>
      <c r="Z218" s="38"/>
      <c r="AA218" s="38"/>
      <c r="AB218" s="38"/>
      <c r="AC218" s="38"/>
      <c r="AD218" s="54"/>
      <c r="AE218" s="54"/>
      <c r="AF218" s="54"/>
      <c r="AG218" s="51"/>
      <c r="AH218" s="51"/>
      <c r="AI218" s="51"/>
      <c r="AJ218" s="38"/>
      <c r="AK218" s="38"/>
      <c r="AL218" s="38"/>
      <c r="AM218" s="51"/>
      <c r="AN218" s="55"/>
      <c r="AO218" s="55"/>
      <c r="AP218" s="38"/>
      <c r="AQ218" s="38"/>
      <c r="AR218" s="38"/>
      <c r="AS218" s="55"/>
      <c r="AT218" s="38"/>
      <c r="AU218" s="38"/>
      <c r="AV218" s="55"/>
      <c r="AW218" s="38"/>
      <c r="AX218" s="38"/>
      <c r="AY218" s="38"/>
      <c r="AZ218" s="51"/>
      <c r="BA218" s="51"/>
      <c r="BB218" s="47"/>
      <c r="BC218" s="47"/>
      <c r="BD218" s="47"/>
      <c r="BE218" s="38"/>
      <c r="BF218" s="38"/>
      <c r="BG218" s="38"/>
      <c r="BH218" s="47"/>
      <c r="BI218" s="38"/>
      <c r="BJ218" s="38"/>
      <c r="BK218" s="47"/>
      <c r="BL218" s="38"/>
      <c r="BM218" s="38"/>
      <c r="BO218" s="38"/>
      <c r="BS218" s="38"/>
      <c r="BT218" s="38"/>
      <c r="BU218" s="38"/>
      <c r="CA218" s="38"/>
      <c r="CE218" s="38"/>
      <c r="CF218" s="38"/>
      <c r="CG218" s="38"/>
      <c r="CJ218" s="38"/>
      <c r="CL218" s="38"/>
      <c r="CN218" s="38"/>
      <c r="CQ218" s="38"/>
      <c r="CR218" s="38"/>
      <c r="CU218" s="38"/>
      <c r="CV218" s="38"/>
      <c r="CX218" s="38"/>
      <c r="DA218" s="38"/>
      <c r="DB218" s="38"/>
      <c r="DE218" s="38"/>
      <c r="DI218" s="38"/>
      <c r="DL218" s="38"/>
      <c r="DO218" s="38"/>
      <c r="DS218" s="38"/>
      <c r="DV218" s="38"/>
    </row>
    <row r="219" spans="1:126" s="48" customFormat="1" x14ac:dyDescent="0.3">
      <c r="A219" s="154" t="s">
        <v>31</v>
      </c>
      <c r="B219" s="47">
        <v>1</v>
      </c>
      <c r="C219" s="38" t="s">
        <v>40</v>
      </c>
      <c r="D219" s="49">
        <v>2.98</v>
      </c>
      <c r="E219" s="38" t="s">
        <v>101</v>
      </c>
      <c r="G219" s="38"/>
      <c r="I219" s="38"/>
      <c r="J219" s="38"/>
      <c r="K219" s="38"/>
      <c r="P219" s="38"/>
      <c r="Q219" s="38"/>
      <c r="R219" s="38"/>
      <c r="S219" s="38"/>
      <c r="T219" s="38"/>
      <c r="V219" s="54"/>
      <c r="W219" s="54"/>
      <c r="X219" s="54"/>
      <c r="Y219" s="38"/>
      <c r="Z219" s="38"/>
      <c r="AA219" s="38"/>
      <c r="AB219" s="38"/>
      <c r="AC219" s="38"/>
      <c r="AD219" s="54"/>
      <c r="AE219" s="54"/>
      <c r="AF219" s="54"/>
      <c r="AG219" s="51"/>
      <c r="AH219" s="51"/>
      <c r="AI219" s="51"/>
      <c r="AJ219" s="38"/>
      <c r="AK219" s="38"/>
      <c r="AL219" s="38"/>
      <c r="AM219" s="51"/>
      <c r="AN219" s="55"/>
      <c r="AO219" s="55"/>
      <c r="AP219" s="38"/>
      <c r="AQ219" s="38"/>
      <c r="AR219" s="38"/>
      <c r="AS219" s="55"/>
      <c r="AT219" s="38"/>
      <c r="AU219" s="38"/>
      <c r="AV219" s="55"/>
      <c r="AW219" s="38"/>
      <c r="AX219" s="38"/>
      <c r="AY219" s="38"/>
      <c r="AZ219" s="51"/>
      <c r="BA219" s="51"/>
      <c r="BB219" s="47"/>
      <c r="BC219" s="47"/>
      <c r="BD219" s="47"/>
      <c r="BE219" s="38"/>
      <c r="BF219" s="38"/>
      <c r="BG219" s="38"/>
      <c r="BH219" s="47"/>
      <c r="BI219" s="38"/>
      <c r="BJ219" s="38"/>
      <c r="BK219" s="47"/>
      <c r="BL219" s="38"/>
      <c r="BM219" s="38"/>
      <c r="BO219" s="38"/>
      <c r="BS219" s="38"/>
      <c r="BT219" s="38"/>
      <c r="BU219" s="38"/>
      <c r="CA219" s="38"/>
      <c r="CE219" s="38"/>
      <c r="CF219" s="38"/>
      <c r="CG219" s="38"/>
      <c r="CJ219" s="38"/>
      <c r="CL219" s="38"/>
      <c r="CN219" s="38"/>
      <c r="CQ219" s="38"/>
      <c r="CR219" s="38"/>
      <c r="CU219" s="38"/>
      <c r="CV219" s="38"/>
      <c r="CX219" s="38"/>
      <c r="DA219" s="38"/>
      <c r="DB219" s="38"/>
      <c r="DE219" s="38"/>
      <c r="DI219" s="38"/>
      <c r="DL219" s="38"/>
      <c r="DO219" s="38"/>
      <c r="DS219" s="38"/>
      <c r="DV219" s="38"/>
    </row>
    <row r="220" spans="1:126" s="48" customFormat="1" x14ac:dyDescent="0.3">
      <c r="A220" s="154"/>
      <c r="B220" s="47">
        <v>1</v>
      </c>
      <c r="C220" s="38" t="s">
        <v>37</v>
      </c>
      <c r="D220" s="49">
        <v>1.5</v>
      </c>
      <c r="E220" s="38" t="s">
        <v>29</v>
      </c>
      <c r="F220" s="48">
        <f>D220*D219</f>
        <v>4.47</v>
      </c>
      <c r="G220" s="38" t="s">
        <v>101</v>
      </c>
      <c r="I220" s="38"/>
      <c r="J220" s="38"/>
      <c r="K220" s="38"/>
      <c r="P220" s="38"/>
      <c r="Q220" s="38"/>
      <c r="R220" s="38"/>
      <c r="S220" s="38"/>
      <c r="T220" s="38"/>
      <c r="V220" s="54"/>
      <c r="W220" s="54"/>
      <c r="X220" s="54"/>
      <c r="Y220" s="38"/>
      <c r="Z220" s="38"/>
      <c r="AA220" s="38"/>
      <c r="AB220" s="38"/>
      <c r="AC220" s="38"/>
      <c r="AD220" s="54"/>
      <c r="AE220" s="54"/>
      <c r="AF220" s="54"/>
      <c r="AG220" s="51"/>
      <c r="AH220" s="51"/>
      <c r="AI220" s="51"/>
      <c r="AJ220" s="38"/>
      <c r="AK220" s="38"/>
      <c r="AL220" s="38"/>
      <c r="AM220" s="51"/>
      <c r="AN220" s="55"/>
      <c r="AO220" s="55"/>
      <c r="AP220" s="38"/>
      <c r="AQ220" s="38"/>
      <c r="AR220" s="38"/>
      <c r="AS220" s="55"/>
      <c r="AT220" s="38"/>
      <c r="AU220" s="38"/>
      <c r="AV220" s="55"/>
      <c r="AW220" s="38"/>
      <c r="AX220" s="38"/>
      <c r="AY220" s="38"/>
      <c r="AZ220" s="51"/>
      <c r="BA220" s="51"/>
      <c r="BB220" s="47"/>
      <c r="BC220" s="47"/>
      <c r="BD220" s="47"/>
      <c r="BE220" s="38"/>
      <c r="BF220" s="38"/>
      <c r="BG220" s="38"/>
      <c r="BH220" s="47"/>
      <c r="BI220" s="38"/>
      <c r="BJ220" s="38"/>
      <c r="BK220" s="47"/>
      <c r="BL220" s="38"/>
      <c r="BM220" s="38"/>
      <c r="BO220" s="38"/>
      <c r="BS220" s="38"/>
      <c r="BT220" s="38"/>
      <c r="BU220" s="38"/>
      <c r="CA220" s="38"/>
      <c r="CE220" s="38"/>
      <c r="CF220" s="38"/>
      <c r="CG220" s="38"/>
      <c r="CJ220" s="38"/>
      <c r="CL220" s="38"/>
      <c r="CN220" s="38"/>
      <c r="CQ220" s="38"/>
      <c r="CR220" s="38"/>
      <c r="CU220" s="38"/>
      <c r="CV220" s="38"/>
      <c r="CX220" s="38"/>
      <c r="DA220" s="38"/>
      <c r="DB220" s="38"/>
      <c r="DE220" s="38"/>
      <c r="DI220" s="38"/>
      <c r="DL220" s="38"/>
      <c r="DO220" s="38"/>
      <c r="DS220" s="38"/>
      <c r="DV220" s="38"/>
    </row>
    <row r="221" spans="1:126" s="48" customFormat="1" x14ac:dyDescent="0.3">
      <c r="A221" s="47" t="s">
        <v>85</v>
      </c>
      <c r="B221" s="47">
        <v>1</v>
      </c>
      <c r="C221" s="38" t="s">
        <v>110</v>
      </c>
      <c r="D221" s="49">
        <v>9</v>
      </c>
      <c r="E221" s="38" t="s">
        <v>15</v>
      </c>
      <c r="G221" s="38"/>
      <c r="I221" s="38"/>
      <c r="J221" s="38"/>
      <c r="K221" s="38"/>
      <c r="P221" s="38"/>
      <c r="Q221" s="38"/>
      <c r="R221" s="38"/>
      <c r="S221" s="38"/>
      <c r="T221" s="38"/>
      <c r="V221" s="54"/>
      <c r="W221" s="54"/>
      <c r="X221" s="54"/>
      <c r="Y221" s="38"/>
      <c r="Z221" s="38"/>
      <c r="AA221" s="38"/>
      <c r="AB221" s="38"/>
      <c r="AC221" s="38"/>
      <c r="AD221" s="54"/>
      <c r="AE221" s="54"/>
      <c r="AF221" s="54"/>
      <c r="AG221" s="51"/>
      <c r="AH221" s="51"/>
      <c r="AI221" s="51"/>
      <c r="AJ221" s="38"/>
      <c r="AK221" s="38"/>
      <c r="AL221" s="38"/>
      <c r="AM221" s="51"/>
      <c r="AN221" s="55"/>
      <c r="AO221" s="55"/>
      <c r="AP221" s="38"/>
      <c r="AQ221" s="38"/>
      <c r="AR221" s="38"/>
      <c r="AS221" s="55"/>
      <c r="AT221" s="38"/>
      <c r="AU221" s="38"/>
      <c r="AV221" s="55"/>
      <c r="AW221" s="38"/>
      <c r="AX221" s="38"/>
      <c r="AY221" s="38"/>
      <c r="AZ221" s="51"/>
      <c r="BA221" s="51"/>
      <c r="BB221" s="47"/>
      <c r="BC221" s="47"/>
      <c r="BD221" s="47"/>
      <c r="BE221" s="38"/>
      <c r="BF221" s="38"/>
      <c r="BG221" s="38"/>
      <c r="BH221" s="47"/>
      <c r="BI221" s="38"/>
      <c r="BJ221" s="38"/>
      <c r="BK221" s="47"/>
      <c r="BL221" s="38"/>
      <c r="BM221" s="38"/>
      <c r="BO221" s="38"/>
      <c r="BS221" s="38"/>
      <c r="BT221" s="38"/>
      <c r="BU221" s="38"/>
      <c r="CA221" s="38"/>
      <c r="CE221" s="38"/>
      <c r="CF221" s="38"/>
      <c r="CG221" s="38"/>
      <c r="CJ221" s="38"/>
      <c r="CL221" s="38"/>
      <c r="CN221" s="38"/>
      <c r="CQ221" s="38"/>
      <c r="CR221" s="38"/>
      <c r="CU221" s="38"/>
      <c r="CV221" s="38"/>
      <c r="CX221" s="38"/>
      <c r="DA221" s="38"/>
      <c r="DB221" s="38"/>
      <c r="DE221" s="38"/>
      <c r="DI221" s="38"/>
      <c r="DL221" s="38"/>
      <c r="DO221" s="38"/>
      <c r="DS221" s="38"/>
      <c r="DV221" s="38"/>
    </row>
    <row r="222" spans="1:126" s="48" customFormat="1" x14ac:dyDescent="0.3">
      <c r="A222" s="47" t="s">
        <v>111</v>
      </c>
      <c r="B222" s="47">
        <v>1</v>
      </c>
      <c r="C222" s="38" t="s">
        <v>112</v>
      </c>
      <c r="D222" s="49">
        <v>9</v>
      </c>
      <c r="E222" s="38" t="s">
        <v>15</v>
      </c>
      <c r="G222" s="38"/>
      <c r="I222" s="38"/>
      <c r="J222" s="38"/>
      <c r="K222" s="38"/>
      <c r="P222" s="38"/>
      <c r="Q222" s="38"/>
      <c r="R222" s="38"/>
      <c r="S222" s="38"/>
      <c r="T222" s="38"/>
      <c r="V222" s="54"/>
      <c r="W222" s="54"/>
      <c r="X222" s="54"/>
      <c r="Y222" s="38"/>
      <c r="Z222" s="38"/>
      <c r="AA222" s="38"/>
      <c r="AB222" s="38"/>
      <c r="AC222" s="38"/>
      <c r="AD222" s="54"/>
      <c r="AE222" s="54"/>
      <c r="AF222" s="54"/>
      <c r="AG222" s="51"/>
      <c r="AH222" s="51"/>
      <c r="AI222" s="51"/>
      <c r="AJ222" s="38"/>
      <c r="AK222" s="38"/>
      <c r="AL222" s="38"/>
      <c r="AM222" s="51"/>
      <c r="AN222" s="55"/>
      <c r="AO222" s="55"/>
      <c r="AP222" s="38"/>
      <c r="AQ222" s="38"/>
      <c r="AR222" s="38"/>
      <c r="AS222" s="55"/>
      <c r="AT222" s="38"/>
      <c r="AU222" s="38"/>
      <c r="AV222" s="55"/>
      <c r="AW222" s="38"/>
      <c r="AX222" s="38"/>
      <c r="AY222" s="38"/>
      <c r="AZ222" s="51"/>
      <c r="BA222" s="51"/>
      <c r="BB222" s="47"/>
      <c r="BC222" s="47"/>
      <c r="BD222" s="47"/>
      <c r="BE222" s="38"/>
      <c r="BF222" s="38"/>
      <c r="BG222" s="38"/>
      <c r="BH222" s="47"/>
      <c r="BI222" s="38"/>
      <c r="BJ222" s="38"/>
      <c r="BK222" s="47"/>
      <c r="BL222" s="38"/>
      <c r="BM222" s="38"/>
      <c r="BO222" s="38"/>
      <c r="BS222" s="38"/>
      <c r="BT222" s="38"/>
      <c r="BU222" s="38"/>
      <c r="CA222" s="38"/>
      <c r="CE222" s="38"/>
      <c r="CF222" s="38"/>
      <c r="CG222" s="38"/>
      <c r="CJ222" s="38"/>
      <c r="CL222" s="38"/>
      <c r="CN222" s="38"/>
      <c r="CQ222" s="38"/>
      <c r="CR222" s="38"/>
      <c r="CU222" s="38"/>
      <c r="CV222" s="38"/>
      <c r="CX222" s="38"/>
      <c r="DA222" s="38"/>
      <c r="DB222" s="38"/>
      <c r="DE222" s="38"/>
      <c r="DI222" s="38"/>
      <c r="DL222" s="38"/>
      <c r="DO222" s="38"/>
      <c r="DS222" s="38"/>
      <c r="DV222" s="38"/>
    </row>
    <row r="223" spans="1:126" s="48" customFormat="1" x14ac:dyDescent="0.3">
      <c r="A223" s="47" t="s">
        <v>11</v>
      </c>
      <c r="B223" s="47">
        <v>1</v>
      </c>
      <c r="C223" s="38" t="s">
        <v>107</v>
      </c>
      <c r="D223" s="49">
        <v>1.75</v>
      </c>
      <c r="E223" s="38" t="s">
        <v>101</v>
      </c>
      <c r="F223" s="48">
        <f>D223*D201</f>
        <v>196</v>
      </c>
      <c r="G223" s="38" t="s">
        <v>96</v>
      </c>
      <c r="I223" s="38"/>
      <c r="J223" s="38"/>
      <c r="K223" s="38"/>
      <c r="P223" s="38"/>
      <c r="Q223" s="38"/>
      <c r="R223" s="38"/>
      <c r="S223" s="38"/>
      <c r="T223" s="38"/>
      <c r="V223" s="54"/>
      <c r="W223" s="54"/>
      <c r="X223" s="54"/>
      <c r="Y223" s="38"/>
      <c r="Z223" s="38"/>
      <c r="AA223" s="38"/>
      <c r="AB223" s="38"/>
      <c r="AC223" s="38"/>
      <c r="AD223" s="54"/>
      <c r="AE223" s="54"/>
      <c r="AF223" s="54"/>
      <c r="AG223" s="51"/>
      <c r="AH223" s="51"/>
      <c r="AI223" s="51"/>
      <c r="AJ223" s="38"/>
      <c r="AK223" s="38"/>
      <c r="AL223" s="38"/>
      <c r="AM223" s="51"/>
      <c r="AN223" s="55"/>
      <c r="AO223" s="55"/>
      <c r="AP223" s="38"/>
      <c r="AQ223" s="38"/>
      <c r="AR223" s="38"/>
      <c r="AS223" s="55"/>
      <c r="AT223" s="38"/>
      <c r="AU223" s="38"/>
      <c r="AV223" s="55"/>
      <c r="AW223" s="38"/>
      <c r="AX223" s="38"/>
      <c r="AY223" s="38"/>
      <c r="AZ223" s="51"/>
      <c r="BA223" s="51"/>
      <c r="BB223" s="47"/>
      <c r="BC223" s="47"/>
      <c r="BD223" s="47"/>
      <c r="BE223" s="38"/>
      <c r="BF223" s="38"/>
      <c r="BG223" s="38"/>
      <c r="BH223" s="47"/>
      <c r="BI223" s="38"/>
      <c r="BJ223" s="38"/>
      <c r="BK223" s="47"/>
      <c r="BL223" s="38"/>
      <c r="BM223" s="38"/>
      <c r="BO223" s="38"/>
      <c r="BS223" s="38"/>
      <c r="BT223" s="38"/>
      <c r="BU223" s="38"/>
      <c r="CA223" s="38"/>
      <c r="CE223" s="38"/>
      <c r="CF223" s="38"/>
      <c r="CG223" s="38"/>
      <c r="CJ223" s="38"/>
      <c r="CL223" s="38"/>
      <c r="CN223" s="38"/>
      <c r="CQ223" s="38"/>
      <c r="CR223" s="38"/>
      <c r="CU223" s="38"/>
      <c r="CV223" s="38"/>
      <c r="CX223" s="38"/>
      <c r="DA223" s="38"/>
      <c r="DB223" s="38"/>
      <c r="DE223" s="38"/>
      <c r="DI223" s="38"/>
      <c r="DL223" s="38"/>
      <c r="DO223" s="38"/>
      <c r="DS223" s="38"/>
      <c r="DV223" s="38"/>
    </row>
    <row r="224" spans="1:126" s="48" customFormat="1" x14ac:dyDescent="0.3">
      <c r="A224" s="47" t="s">
        <v>11</v>
      </c>
      <c r="B224" s="47">
        <v>1</v>
      </c>
      <c r="C224" s="38" t="s">
        <v>37</v>
      </c>
      <c r="D224" s="49">
        <v>175</v>
      </c>
      <c r="E224" s="38" t="s">
        <v>96</v>
      </c>
      <c r="F224" s="49">
        <f>D224/D201</f>
        <v>1.5625</v>
      </c>
      <c r="G224" s="38" t="s">
        <v>14</v>
      </c>
      <c r="I224" s="38"/>
      <c r="J224" s="38"/>
      <c r="K224" s="38"/>
      <c r="P224" s="38"/>
      <c r="Q224" s="38"/>
      <c r="R224" s="38"/>
      <c r="S224" s="38"/>
      <c r="T224" s="38"/>
      <c r="V224" s="54"/>
      <c r="W224" s="54"/>
      <c r="X224" s="54"/>
      <c r="Y224" s="38"/>
      <c r="Z224" s="38"/>
      <c r="AA224" s="38"/>
      <c r="AB224" s="38"/>
      <c r="AC224" s="38"/>
      <c r="AD224" s="54"/>
      <c r="AE224" s="54"/>
      <c r="AF224" s="54"/>
      <c r="AG224" s="51"/>
      <c r="AH224" s="51"/>
      <c r="AI224" s="51"/>
      <c r="AJ224" s="38"/>
      <c r="AK224" s="38"/>
      <c r="AL224" s="38"/>
      <c r="AM224" s="51"/>
      <c r="AN224" s="55"/>
      <c r="AO224" s="55"/>
      <c r="AP224" s="38"/>
      <c r="AQ224" s="38"/>
      <c r="AR224" s="38"/>
      <c r="AS224" s="55"/>
      <c r="AT224" s="38"/>
      <c r="AU224" s="38"/>
      <c r="AV224" s="55"/>
      <c r="AW224" s="38"/>
      <c r="AX224" s="38"/>
      <c r="AY224" s="38"/>
      <c r="AZ224" s="51"/>
      <c r="BA224" s="51"/>
      <c r="BB224" s="47"/>
      <c r="BC224" s="47"/>
      <c r="BD224" s="47"/>
      <c r="BE224" s="38"/>
      <c r="BF224" s="38"/>
      <c r="BG224" s="38"/>
      <c r="BH224" s="47"/>
      <c r="BI224" s="38"/>
      <c r="BJ224" s="38"/>
      <c r="BK224" s="47"/>
      <c r="BL224" s="38"/>
      <c r="BM224" s="38"/>
      <c r="BO224" s="38"/>
      <c r="BS224" s="38"/>
      <c r="BT224" s="38"/>
      <c r="BU224" s="38"/>
      <c r="CA224" s="38"/>
      <c r="CE224" s="38"/>
      <c r="CF224" s="38"/>
      <c r="CG224" s="38"/>
      <c r="CJ224" s="38"/>
      <c r="CL224" s="38"/>
      <c r="CN224" s="38"/>
      <c r="CQ224" s="38"/>
      <c r="CR224" s="38"/>
      <c r="CU224" s="38"/>
      <c r="CV224" s="38"/>
      <c r="CX224" s="38"/>
      <c r="DA224" s="38"/>
      <c r="DB224" s="38"/>
      <c r="DE224" s="38"/>
      <c r="DI224" s="38"/>
      <c r="DL224" s="38"/>
      <c r="DO224" s="38"/>
      <c r="DS224" s="38"/>
      <c r="DV224" s="38"/>
    </row>
    <row r="225" spans="1:126" s="48" customFormat="1" x14ac:dyDescent="0.3">
      <c r="A225" s="47" t="s">
        <v>17</v>
      </c>
      <c r="B225" s="47">
        <v>1</v>
      </c>
      <c r="C225" s="38" t="s">
        <v>113</v>
      </c>
      <c r="D225" s="49">
        <v>0.15175</v>
      </c>
      <c r="E225" s="38" t="s">
        <v>101</v>
      </c>
      <c r="F225" s="49">
        <v>16.997</v>
      </c>
      <c r="G225" s="38" t="s">
        <v>96</v>
      </c>
      <c r="I225" s="38"/>
      <c r="J225" s="38"/>
      <c r="K225" s="38"/>
      <c r="P225" s="38"/>
      <c r="Q225" s="38"/>
      <c r="R225" s="38"/>
      <c r="S225" s="38"/>
      <c r="T225" s="38"/>
      <c r="V225" s="54"/>
      <c r="W225" s="54"/>
      <c r="X225" s="54"/>
      <c r="Y225" s="38"/>
      <c r="Z225" s="38"/>
      <c r="AA225" s="38"/>
      <c r="AB225" s="38"/>
      <c r="AC225" s="38"/>
      <c r="AD225" s="54"/>
      <c r="AE225" s="54"/>
      <c r="AF225" s="54"/>
      <c r="AG225" s="51"/>
      <c r="AH225" s="51"/>
      <c r="AI225" s="51"/>
      <c r="AJ225" s="38"/>
      <c r="AK225" s="38"/>
      <c r="AL225" s="38"/>
      <c r="AM225" s="51"/>
      <c r="AN225" s="55"/>
      <c r="AO225" s="55"/>
      <c r="AP225" s="38"/>
      <c r="AQ225" s="38"/>
      <c r="AR225" s="38"/>
      <c r="AS225" s="55"/>
      <c r="AT225" s="38"/>
      <c r="AU225" s="38"/>
      <c r="AV225" s="55"/>
      <c r="AW225" s="38"/>
      <c r="AX225" s="38"/>
      <c r="AY225" s="38"/>
      <c r="AZ225" s="51"/>
      <c r="BA225" s="51"/>
      <c r="BB225" s="47"/>
      <c r="BC225" s="47"/>
      <c r="BD225" s="47"/>
      <c r="BE225" s="38"/>
      <c r="BF225" s="38"/>
      <c r="BG225" s="38"/>
      <c r="BH225" s="47"/>
      <c r="BI225" s="38"/>
      <c r="BJ225" s="38"/>
      <c r="BK225" s="47"/>
      <c r="BL225" s="38"/>
      <c r="BM225" s="38"/>
      <c r="BO225" s="38"/>
      <c r="BS225" s="38"/>
      <c r="BT225" s="38"/>
      <c r="BU225" s="38"/>
      <c r="CA225" s="38"/>
      <c r="CE225" s="38"/>
      <c r="CF225" s="38"/>
      <c r="CG225" s="38"/>
      <c r="CJ225" s="38"/>
      <c r="CL225" s="38"/>
      <c r="CN225" s="38"/>
      <c r="CQ225" s="38"/>
      <c r="CR225" s="38"/>
      <c r="CU225" s="38"/>
      <c r="CV225" s="38"/>
      <c r="CX225" s="38"/>
      <c r="DA225" s="38"/>
      <c r="DB225" s="38"/>
      <c r="DE225" s="38"/>
      <c r="DI225" s="38"/>
      <c r="DL225" s="38"/>
      <c r="DO225" s="38"/>
      <c r="DS225" s="38"/>
      <c r="DV225" s="38"/>
    </row>
    <row r="226" spans="1:126" s="48" customFormat="1" x14ac:dyDescent="0.3">
      <c r="A226" s="47" t="s">
        <v>33</v>
      </c>
      <c r="B226" s="47">
        <v>1</v>
      </c>
      <c r="C226" s="38" t="s">
        <v>107</v>
      </c>
      <c r="D226" s="49">
        <v>1.5</v>
      </c>
      <c r="E226" s="38" t="s">
        <v>101</v>
      </c>
      <c r="G226" s="38"/>
      <c r="I226" s="38"/>
      <c r="J226" s="38"/>
      <c r="K226" s="38"/>
      <c r="P226" s="38"/>
      <c r="Q226" s="38"/>
      <c r="R226" s="38"/>
      <c r="S226" s="38"/>
      <c r="T226" s="38"/>
      <c r="V226" s="54"/>
      <c r="W226" s="54"/>
      <c r="X226" s="54"/>
      <c r="Y226" s="38"/>
      <c r="Z226" s="38"/>
      <c r="AA226" s="38"/>
      <c r="AB226" s="38"/>
      <c r="AC226" s="38"/>
      <c r="AD226" s="54"/>
      <c r="AE226" s="54"/>
      <c r="AF226" s="54"/>
      <c r="AG226" s="51"/>
      <c r="AH226" s="51"/>
      <c r="AI226" s="51"/>
      <c r="AJ226" s="38"/>
      <c r="AK226" s="38"/>
      <c r="AL226" s="38"/>
      <c r="AM226" s="51"/>
      <c r="AN226" s="55"/>
      <c r="AO226" s="55"/>
      <c r="AP226" s="38"/>
      <c r="AQ226" s="38"/>
      <c r="AR226" s="38"/>
      <c r="AS226" s="55"/>
      <c r="AT226" s="38"/>
      <c r="AU226" s="38"/>
      <c r="AV226" s="55"/>
      <c r="AW226" s="38"/>
      <c r="AX226" s="38"/>
      <c r="AY226" s="38"/>
      <c r="AZ226" s="51"/>
      <c r="BA226" s="51"/>
      <c r="BB226" s="47"/>
      <c r="BC226" s="47"/>
      <c r="BD226" s="47"/>
      <c r="BE226" s="38"/>
      <c r="BF226" s="38"/>
      <c r="BG226" s="38"/>
      <c r="BH226" s="47"/>
      <c r="BI226" s="38"/>
      <c r="BJ226" s="38"/>
      <c r="BK226" s="47"/>
      <c r="BL226" s="38"/>
      <c r="BM226" s="38"/>
      <c r="BO226" s="38"/>
      <c r="BS226" s="38"/>
      <c r="BT226" s="38"/>
      <c r="BU226" s="38"/>
      <c r="CA226" s="38"/>
      <c r="CE226" s="38"/>
      <c r="CF226" s="38"/>
      <c r="CG226" s="38"/>
      <c r="CJ226" s="38"/>
      <c r="CL226" s="38"/>
      <c r="CN226" s="38"/>
      <c r="CQ226" s="38"/>
      <c r="CR226" s="38"/>
      <c r="CU226" s="38"/>
      <c r="CV226" s="38"/>
      <c r="CX226" s="38"/>
      <c r="DA226" s="38"/>
      <c r="DB226" s="38"/>
      <c r="DE226" s="38"/>
      <c r="DI226" s="38"/>
      <c r="DL226" s="38"/>
      <c r="DO226" s="38"/>
      <c r="DS226" s="38"/>
      <c r="DV226" s="38"/>
    </row>
    <row r="227" spans="1:126" s="48" customFormat="1" x14ac:dyDescent="0.3">
      <c r="A227" s="47" t="s">
        <v>114</v>
      </c>
      <c r="B227" s="47">
        <v>1</v>
      </c>
      <c r="C227" s="38" t="s">
        <v>107</v>
      </c>
      <c r="D227" s="49">
        <v>1.625</v>
      </c>
      <c r="E227" s="38" t="s">
        <v>101</v>
      </c>
      <c r="G227" s="38"/>
      <c r="I227" s="38"/>
      <c r="J227" s="38"/>
      <c r="K227" s="38"/>
      <c r="P227" s="38"/>
      <c r="Q227" s="38"/>
      <c r="R227" s="38"/>
      <c r="S227" s="38"/>
      <c r="T227" s="38"/>
      <c r="V227" s="54"/>
      <c r="W227" s="54"/>
      <c r="X227" s="54"/>
      <c r="Y227" s="38"/>
      <c r="Z227" s="38"/>
      <c r="AA227" s="38"/>
      <c r="AB227" s="38"/>
      <c r="AC227" s="38"/>
      <c r="AD227" s="54"/>
      <c r="AE227" s="54"/>
      <c r="AF227" s="54"/>
      <c r="AG227" s="51"/>
      <c r="AH227" s="51"/>
      <c r="AI227" s="51"/>
      <c r="AJ227" s="38"/>
      <c r="AK227" s="38"/>
      <c r="AL227" s="38"/>
      <c r="AM227" s="51"/>
      <c r="AN227" s="55"/>
      <c r="AO227" s="55"/>
      <c r="AP227" s="38"/>
      <c r="AQ227" s="38"/>
      <c r="AR227" s="38"/>
      <c r="AS227" s="55"/>
      <c r="AT227" s="38"/>
      <c r="AU227" s="38"/>
      <c r="AV227" s="55"/>
      <c r="AW227" s="38"/>
      <c r="AX227" s="38"/>
      <c r="AY227" s="38"/>
      <c r="AZ227" s="51"/>
      <c r="BA227" s="51"/>
      <c r="BB227" s="47"/>
      <c r="BC227" s="47"/>
      <c r="BD227" s="47"/>
      <c r="BE227" s="38"/>
      <c r="BF227" s="38"/>
      <c r="BG227" s="38"/>
      <c r="BH227" s="47"/>
      <c r="BI227" s="38"/>
      <c r="BJ227" s="38"/>
      <c r="BK227" s="47"/>
      <c r="BL227" s="38"/>
      <c r="BM227" s="38"/>
      <c r="BO227" s="38"/>
      <c r="BS227" s="38"/>
      <c r="BT227" s="38"/>
      <c r="BU227" s="38"/>
      <c r="CA227" s="38"/>
      <c r="CE227" s="38"/>
      <c r="CF227" s="38"/>
      <c r="CG227" s="38"/>
      <c r="CJ227" s="38"/>
      <c r="CL227" s="38"/>
      <c r="CN227" s="38"/>
      <c r="CQ227" s="38"/>
      <c r="CR227" s="38"/>
      <c r="CU227" s="38"/>
      <c r="CV227" s="38"/>
      <c r="CX227" s="38"/>
      <c r="DA227" s="38"/>
      <c r="DB227" s="38"/>
      <c r="DE227" s="38"/>
      <c r="DI227" s="38"/>
      <c r="DL227" s="38"/>
      <c r="DO227" s="38"/>
      <c r="DS227" s="38"/>
      <c r="DV227" s="38"/>
    </row>
    <row r="228" spans="1:126" s="48" customFormat="1" x14ac:dyDescent="0.3">
      <c r="A228" s="47" t="s">
        <v>4</v>
      </c>
      <c r="B228" s="47">
        <v>1</v>
      </c>
      <c r="C228" s="38" t="s">
        <v>107</v>
      </c>
      <c r="D228" s="49">
        <v>1.5</v>
      </c>
      <c r="E228" s="38" t="s">
        <v>101</v>
      </c>
      <c r="G228" s="38"/>
      <c r="I228" s="38"/>
      <c r="J228" s="38"/>
      <c r="K228" s="38"/>
      <c r="P228" s="38"/>
      <c r="Q228" s="38"/>
      <c r="R228" s="38"/>
      <c r="S228" s="38"/>
      <c r="T228" s="38"/>
      <c r="V228" s="54"/>
      <c r="W228" s="54"/>
      <c r="X228" s="54"/>
      <c r="Y228" s="38"/>
      <c r="Z228" s="38"/>
      <c r="AA228" s="38"/>
      <c r="AB228" s="38"/>
      <c r="AC228" s="38"/>
      <c r="AD228" s="54"/>
      <c r="AE228" s="54"/>
      <c r="AF228" s="54"/>
      <c r="AG228" s="51"/>
      <c r="AH228" s="51"/>
      <c r="AI228" s="51"/>
      <c r="AJ228" s="38"/>
      <c r="AK228" s="38"/>
      <c r="AL228" s="38"/>
      <c r="AM228" s="51"/>
      <c r="AN228" s="55"/>
      <c r="AO228" s="55"/>
      <c r="AP228" s="38"/>
      <c r="AQ228" s="38"/>
      <c r="AR228" s="38"/>
      <c r="AS228" s="55"/>
      <c r="AT228" s="38"/>
      <c r="AU228" s="38"/>
      <c r="AV228" s="55"/>
      <c r="AW228" s="38"/>
      <c r="AX228" s="38"/>
      <c r="AY228" s="38"/>
      <c r="AZ228" s="51"/>
      <c r="BA228" s="51"/>
      <c r="BB228" s="47"/>
      <c r="BC228" s="47"/>
      <c r="BD228" s="47"/>
      <c r="BE228" s="38"/>
      <c r="BF228" s="38"/>
      <c r="BG228" s="38"/>
      <c r="BH228" s="47"/>
      <c r="BI228" s="38"/>
      <c r="BJ228" s="38"/>
      <c r="BK228" s="47"/>
      <c r="BL228" s="38"/>
      <c r="BM228" s="38"/>
      <c r="BO228" s="38"/>
      <c r="BS228" s="38"/>
      <c r="BT228" s="38"/>
      <c r="BU228" s="38"/>
      <c r="CA228" s="38"/>
      <c r="CE228" s="38"/>
      <c r="CF228" s="38"/>
      <c r="CG228" s="38"/>
      <c r="CJ228" s="38"/>
      <c r="CL228" s="38"/>
      <c r="CN228" s="38"/>
      <c r="CQ228" s="38"/>
      <c r="CR228" s="38"/>
      <c r="CU228" s="38"/>
      <c r="CV228" s="38"/>
      <c r="CX228" s="38"/>
      <c r="DA228" s="38"/>
      <c r="DB228" s="38"/>
      <c r="DE228" s="38"/>
      <c r="DI228" s="38"/>
      <c r="DL228" s="38"/>
      <c r="DO228" s="38"/>
      <c r="DS228" s="38"/>
      <c r="DV228" s="38"/>
    </row>
    <row r="229" spans="1:126" s="48" customFormat="1" x14ac:dyDescent="0.3">
      <c r="A229" s="47" t="s">
        <v>115</v>
      </c>
      <c r="B229" s="47">
        <v>1</v>
      </c>
      <c r="C229" s="38" t="s">
        <v>107</v>
      </c>
      <c r="D229" s="49">
        <v>1.5</v>
      </c>
      <c r="E229" s="38" t="s">
        <v>101</v>
      </c>
      <c r="G229" s="38"/>
      <c r="I229" s="38"/>
      <c r="J229" s="38"/>
      <c r="K229" s="38"/>
      <c r="P229" s="38"/>
      <c r="Q229" s="38"/>
      <c r="R229" s="38"/>
      <c r="S229" s="38"/>
      <c r="T229" s="38"/>
      <c r="V229" s="54"/>
      <c r="W229" s="54"/>
      <c r="X229" s="54"/>
      <c r="Y229" s="38"/>
      <c r="Z229" s="38"/>
      <c r="AA229" s="38"/>
      <c r="AB229" s="38"/>
      <c r="AC229" s="38"/>
      <c r="AD229" s="54"/>
      <c r="AE229" s="54"/>
      <c r="AF229" s="54"/>
      <c r="AG229" s="51"/>
      <c r="AH229" s="51"/>
      <c r="AI229" s="51"/>
      <c r="AJ229" s="38"/>
      <c r="AK229" s="38"/>
      <c r="AL229" s="38"/>
      <c r="AM229" s="51"/>
      <c r="AN229" s="55"/>
      <c r="AO229" s="55"/>
      <c r="AP229" s="38"/>
      <c r="AQ229" s="38"/>
      <c r="AR229" s="38"/>
      <c r="AS229" s="55"/>
      <c r="AT229" s="38"/>
      <c r="AU229" s="38"/>
      <c r="AV229" s="55"/>
      <c r="AW229" s="38"/>
      <c r="AX229" s="38"/>
      <c r="AY229" s="38"/>
      <c r="AZ229" s="51"/>
      <c r="BA229" s="51"/>
      <c r="BB229" s="47"/>
      <c r="BC229" s="47"/>
      <c r="BD229" s="47"/>
      <c r="BE229" s="38"/>
      <c r="BF229" s="38"/>
      <c r="BG229" s="38"/>
      <c r="BH229" s="47"/>
      <c r="BI229" s="38"/>
      <c r="BJ229" s="38"/>
      <c r="BK229" s="47"/>
      <c r="BL229" s="38"/>
      <c r="BM229" s="38"/>
      <c r="BO229" s="38"/>
      <c r="BS229" s="38"/>
      <c r="BT229" s="38"/>
      <c r="BU229" s="38"/>
      <c r="CA229" s="38"/>
      <c r="CE229" s="38"/>
      <c r="CF229" s="38"/>
      <c r="CG229" s="38"/>
      <c r="CJ229" s="38"/>
      <c r="CL229" s="38"/>
      <c r="CN229" s="38"/>
      <c r="CQ229" s="38"/>
      <c r="CR229" s="38"/>
      <c r="CU229" s="38"/>
      <c r="CV229" s="38"/>
      <c r="CX229" s="38"/>
      <c r="DA229" s="38"/>
      <c r="DB229" s="38"/>
      <c r="DE229" s="38"/>
      <c r="DI229" s="38"/>
      <c r="DL229" s="38"/>
      <c r="DO229" s="38"/>
      <c r="DS229" s="38"/>
      <c r="DV229" s="38"/>
    </row>
    <row r="230" spans="1:126" s="48" customFormat="1" x14ac:dyDescent="0.3">
      <c r="A230" s="154" t="s">
        <v>43</v>
      </c>
      <c r="B230" s="47">
        <v>1</v>
      </c>
      <c r="C230" s="38" t="s">
        <v>116</v>
      </c>
      <c r="D230" s="49">
        <v>18.559999999999999</v>
      </c>
      <c r="E230" s="38" t="s">
        <v>15</v>
      </c>
      <c r="G230" s="38"/>
      <c r="I230" s="38"/>
      <c r="J230" s="38"/>
      <c r="K230" s="38"/>
      <c r="P230" s="38"/>
      <c r="Q230" s="38"/>
      <c r="R230" s="38"/>
      <c r="S230" s="38"/>
      <c r="T230" s="38"/>
      <c r="V230" s="54"/>
      <c r="W230" s="54"/>
      <c r="X230" s="54"/>
      <c r="Y230" s="38"/>
      <c r="Z230" s="38"/>
      <c r="AA230" s="38"/>
      <c r="AB230" s="38"/>
      <c r="AC230" s="38"/>
      <c r="AD230" s="54"/>
      <c r="AE230" s="54"/>
      <c r="AF230" s="54"/>
      <c r="AG230" s="51"/>
      <c r="AH230" s="51"/>
      <c r="AI230" s="51"/>
      <c r="AJ230" s="38"/>
      <c r="AK230" s="38"/>
      <c r="AL230" s="38"/>
      <c r="AM230" s="51"/>
      <c r="AN230" s="55"/>
      <c r="AO230" s="55"/>
      <c r="AP230" s="38"/>
      <c r="AQ230" s="38"/>
      <c r="AR230" s="38"/>
      <c r="AS230" s="55"/>
      <c r="AT230" s="38"/>
      <c r="AU230" s="38"/>
      <c r="AV230" s="55"/>
      <c r="AW230" s="38"/>
      <c r="AX230" s="38"/>
      <c r="AY230" s="38"/>
      <c r="AZ230" s="51"/>
      <c r="BA230" s="51"/>
      <c r="BB230" s="47"/>
      <c r="BC230" s="47"/>
      <c r="BD230" s="47"/>
      <c r="BE230" s="38"/>
      <c r="BF230" s="38"/>
      <c r="BG230" s="38"/>
      <c r="BH230" s="47"/>
      <c r="BI230" s="38"/>
      <c r="BJ230" s="38"/>
      <c r="BK230" s="47"/>
      <c r="BL230" s="38"/>
      <c r="BM230" s="38"/>
      <c r="BO230" s="38"/>
      <c r="BS230" s="38"/>
      <c r="BT230" s="38"/>
      <c r="BU230" s="38"/>
      <c r="CA230" s="38"/>
      <c r="CE230" s="38"/>
      <c r="CF230" s="38"/>
      <c r="CG230" s="38"/>
      <c r="CJ230" s="38"/>
      <c r="CL230" s="38"/>
      <c r="CN230" s="38"/>
      <c r="CQ230" s="38"/>
      <c r="CR230" s="38"/>
      <c r="CU230" s="38"/>
      <c r="CV230" s="38"/>
      <c r="CX230" s="38"/>
      <c r="DA230" s="38"/>
      <c r="DB230" s="38"/>
      <c r="DE230" s="38"/>
      <c r="DI230" s="38"/>
      <c r="DL230" s="38"/>
      <c r="DO230" s="38"/>
      <c r="DS230" s="38"/>
      <c r="DV230" s="38"/>
    </row>
    <row r="231" spans="1:126" s="48" customFormat="1" x14ac:dyDescent="0.3">
      <c r="A231" s="154"/>
      <c r="B231" s="47">
        <v>1</v>
      </c>
      <c r="C231" s="38" t="s">
        <v>36</v>
      </c>
      <c r="D231" s="49">
        <v>164</v>
      </c>
      <c r="E231" s="38" t="s">
        <v>96</v>
      </c>
      <c r="F231" s="49">
        <f>D231/D186</f>
        <v>1.4642857142857142</v>
      </c>
      <c r="G231" s="38" t="s">
        <v>101</v>
      </c>
      <c r="I231" s="41"/>
      <c r="J231" s="41"/>
      <c r="K231" s="38"/>
      <c r="P231" s="41"/>
      <c r="Q231" s="41"/>
      <c r="R231" s="41"/>
      <c r="S231" s="38"/>
      <c r="T231" s="38"/>
      <c r="V231" s="54"/>
      <c r="W231" s="54"/>
      <c r="X231" s="54"/>
      <c r="Y231" s="41"/>
      <c r="Z231" s="41"/>
      <c r="AA231" s="41"/>
      <c r="AB231" s="38"/>
      <c r="AC231" s="38"/>
      <c r="AD231" s="54"/>
      <c r="AE231" s="54"/>
      <c r="AF231" s="54"/>
      <c r="AG231" s="51"/>
      <c r="AH231" s="51"/>
      <c r="AI231" s="51"/>
      <c r="AJ231" s="38"/>
      <c r="AK231" s="41"/>
      <c r="AL231" s="41"/>
      <c r="AM231" s="51"/>
      <c r="AN231" s="55"/>
      <c r="AO231" s="55"/>
      <c r="AP231" s="38"/>
      <c r="AQ231" s="41"/>
      <c r="AR231" s="41"/>
      <c r="AS231" s="55"/>
      <c r="AT231" s="38"/>
      <c r="AU231" s="38"/>
      <c r="AV231" s="55"/>
      <c r="AW231" s="41"/>
      <c r="AX231" s="41"/>
      <c r="AY231" s="38"/>
      <c r="AZ231" s="51"/>
      <c r="BA231" s="51"/>
      <c r="BB231" s="47"/>
      <c r="BC231" s="47"/>
      <c r="BD231" s="47"/>
      <c r="BE231" s="38"/>
      <c r="BF231" s="41"/>
      <c r="BG231" s="41"/>
      <c r="BH231" s="47"/>
      <c r="BI231" s="38"/>
      <c r="BJ231" s="38"/>
      <c r="BK231" s="47"/>
      <c r="BL231" s="41"/>
      <c r="BM231" s="41"/>
      <c r="BO231" s="38"/>
      <c r="BS231" s="41"/>
      <c r="BT231" s="41"/>
      <c r="BU231" s="38"/>
      <c r="CA231" s="38"/>
      <c r="CE231" s="41"/>
      <c r="CF231" s="41"/>
      <c r="CG231" s="38"/>
      <c r="CJ231" s="38"/>
      <c r="CL231" s="41"/>
      <c r="CN231" s="38"/>
      <c r="CQ231" s="38"/>
      <c r="CR231" s="41"/>
      <c r="CU231" s="38"/>
      <c r="CV231" s="41"/>
      <c r="CX231" s="38"/>
      <c r="DA231" s="38"/>
      <c r="DB231" s="41"/>
      <c r="DE231" s="41"/>
      <c r="DI231" s="41"/>
      <c r="DL231" s="41"/>
      <c r="DO231" s="41"/>
      <c r="DS231" s="41"/>
      <c r="DV231" s="41"/>
    </row>
    <row r="232" spans="1:126" s="48" customFormat="1" x14ac:dyDescent="0.3">
      <c r="A232" s="154" t="s">
        <v>117</v>
      </c>
      <c r="B232" s="47">
        <v>1</v>
      </c>
      <c r="C232" s="38" t="s">
        <v>39</v>
      </c>
      <c r="D232" s="49">
        <v>336</v>
      </c>
      <c r="E232" s="38" t="s">
        <v>96</v>
      </c>
      <c r="F232" s="49">
        <v>3</v>
      </c>
      <c r="G232" s="38" t="s">
        <v>101</v>
      </c>
      <c r="I232" s="38"/>
      <c r="J232" s="38"/>
      <c r="K232" s="38"/>
      <c r="P232" s="38"/>
      <c r="Q232" s="38"/>
      <c r="R232" s="38"/>
      <c r="S232" s="38"/>
      <c r="T232" s="38"/>
      <c r="V232" s="54"/>
      <c r="W232" s="54"/>
      <c r="X232" s="54"/>
      <c r="Y232" s="38"/>
      <c r="Z232" s="38"/>
      <c r="AA232" s="38"/>
      <c r="AB232" s="38"/>
      <c r="AC232" s="38"/>
      <c r="AD232" s="54"/>
      <c r="AE232" s="54"/>
      <c r="AF232" s="54"/>
      <c r="AG232" s="51"/>
      <c r="AH232" s="51"/>
      <c r="AI232" s="51"/>
      <c r="AJ232" s="38"/>
      <c r="AK232" s="38"/>
      <c r="AL232" s="38"/>
      <c r="AM232" s="51"/>
      <c r="AN232" s="55"/>
      <c r="AO232" s="55"/>
      <c r="AP232" s="38"/>
      <c r="AQ232" s="38"/>
      <c r="AR232" s="38"/>
      <c r="AS232" s="55"/>
      <c r="AT232" s="38"/>
      <c r="AU232" s="38"/>
      <c r="AV232" s="55"/>
      <c r="AW232" s="38"/>
      <c r="AX232" s="38"/>
      <c r="AY232" s="38"/>
      <c r="AZ232" s="51"/>
      <c r="BA232" s="51"/>
      <c r="BB232" s="47"/>
      <c r="BC232" s="47"/>
      <c r="BD232" s="47"/>
      <c r="BE232" s="38"/>
      <c r="BF232" s="38"/>
      <c r="BG232" s="38"/>
      <c r="BH232" s="47"/>
      <c r="BI232" s="38"/>
      <c r="BJ232" s="38"/>
      <c r="BK232" s="47"/>
      <c r="BL232" s="38"/>
      <c r="BM232" s="38"/>
      <c r="BO232" s="38"/>
      <c r="BS232" s="38"/>
      <c r="BT232" s="38"/>
      <c r="BU232" s="38"/>
      <c r="CA232" s="38"/>
      <c r="CE232" s="38"/>
      <c r="CF232" s="38"/>
      <c r="CG232" s="38"/>
      <c r="CJ232" s="38"/>
      <c r="CL232" s="38"/>
      <c r="CN232" s="38"/>
      <c r="CQ232" s="38"/>
      <c r="CR232" s="38"/>
      <c r="CU232" s="38"/>
      <c r="CV232" s="38"/>
      <c r="CX232" s="38"/>
      <c r="DA232" s="38"/>
      <c r="DB232" s="38"/>
      <c r="DE232" s="38"/>
      <c r="DI232" s="38"/>
      <c r="DL232" s="38"/>
      <c r="DO232" s="38"/>
      <c r="DS232" s="38"/>
      <c r="DV232" s="38"/>
    </row>
    <row r="233" spans="1:126" s="48" customFormat="1" x14ac:dyDescent="0.3">
      <c r="A233" s="154"/>
      <c r="B233" s="47">
        <v>1</v>
      </c>
      <c r="C233" s="38" t="s">
        <v>118</v>
      </c>
      <c r="D233" s="49">
        <v>240</v>
      </c>
      <c r="E233" s="38" t="s">
        <v>96</v>
      </c>
      <c r="F233" s="49">
        <f>D233/D201</f>
        <v>2.1428571428571428</v>
      </c>
      <c r="G233" s="38" t="s">
        <v>101</v>
      </c>
      <c r="I233" s="38"/>
      <c r="J233" s="38"/>
      <c r="K233" s="38"/>
      <c r="P233" s="38"/>
      <c r="Q233" s="38"/>
      <c r="R233" s="38"/>
      <c r="S233" s="38"/>
      <c r="T233" s="38"/>
      <c r="V233" s="54"/>
      <c r="W233" s="54"/>
      <c r="X233" s="54"/>
      <c r="Y233" s="38"/>
      <c r="Z233" s="38"/>
      <c r="AA233" s="38"/>
      <c r="AB233" s="38"/>
      <c r="AC233" s="38"/>
      <c r="AD233" s="54"/>
      <c r="AE233" s="54"/>
      <c r="AF233" s="54"/>
      <c r="AG233" s="51"/>
      <c r="AH233" s="51"/>
      <c r="AI233" s="51"/>
      <c r="AJ233" s="38"/>
      <c r="AK233" s="38"/>
      <c r="AL233" s="38"/>
      <c r="AM233" s="51"/>
      <c r="AN233" s="55"/>
      <c r="AO233" s="55"/>
      <c r="AP233" s="38"/>
      <c r="AQ233" s="38"/>
      <c r="AR233" s="38"/>
      <c r="AS233" s="55"/>
      <c r="AT233" s="38"/>
      <c r="AU233" s="38"/>
      <c r="AV233" s="55"/>
      <c r="AW233" s="38"/>
      <c r="AX233" s="38"/>
      <c r="AY233" s="38"/>
      <c r="AZ233" s="51"/>
      <c r="BA233" s="51"/>
      <c r="BB233" s="47"/>
      <c r="BC233" s="47"/>
      <c r="BD233" s="47"/>
      <c r="BE233" s="38"/>
      <c r="BF233" s="38"/>
      <c r="BG233" s="38"/>
      <c r="BH233" s="47"/>
      <c r="BI233" s="38"/>
      <c r="BJ233" s="38"/>
      <c r="BK233" s="47"/>
      <c r="BL233" s="38"/>
      <c r="BM233" s="38"/>
      <c r="BO233" s="38"/>
      <c r="BS233" s="38"/>
      <c r="BT233" s="38"/>
      <c r="BU233" s="38"/>
      <c r="CA233" s="38"/>
      <c r="CE233" s="38"/>
      <c r="CF233" s="38"/>
      <c r="CG233" s="38"/>
      <c r="CJ233" s="38"/>
      <c r="CL233" s="38"/>
      <c r="CN233" s="38"/>
      <c r="CQ233" s="38"/>
      <c r="CR233" s="38"/>
      <c r="CU233" s="38"/>
      <c r="CV233" s="38"/>
      <c r="CX233" s="38"/>
      <c r="DA233" s="38"/>
      <c r="DB233" s="38"/>
      <c r="DE233" s="38"/>
      <c r="DI233" s="38"/>
      <c r="DL233" s="38"/>
      <c r="DO233" s="38"/>
      <c r="DS233" s="38"/>
      <c r="DV233" s="38"/>
    </row>
    <row r="234" spans="1:126" s="48" customFormat="1" x14ac:dyDescent="0.3">
      <c r="A234" s="154" t="s">
        <v>35</v>
      </c>
      <c r="B234" s="47">
        <v>1</v>
      </c>
      <c r="C234" s="38" t="s">
        <v>24</v>
      </c>
      <c r="D234" s="49">
        <v>3.40835</v>
      </c>
      <c r="E234" s="38" t="s">
        <v>107</v>
      </c>
      <c r="F234" s="49">
        <f>D234*D235/D201</f>
        <v>5.9646125000000003</v>
      </c>
      <c r="G234" s="38" t="s">
        <v>101</v>
      </c>
      <c r="I234" s="38"/>
      <c r="J234" s="38"/>
      <c r="K234" s="38"/>
      <c r="P234" s="38"/>
      <c r="Q234" s="38"/>
      <c r="R234" s="38"/>
      <c r="S234" s="38"/>
      <c r="T234" s="38"/>
      <c r="V234" s="54"/>
      <c r="W234" s="54"/>
      <c r="X234" s="54"/>
      <c r="Y234" s="38"/>
      <c r="Z234" s="38"/>
      <c r="AA234" s="38"/>
      <c r="AB234" s="38"/>
      <c r="AC234" s="38"/>
      <c r="AD234" s="54"/>
      <c r="AE234" s="54"/>
      <c r="AF234" s="54"/>
      <c r="AG234" s="51"/>
      <c r="AH234" s="51"/>
      <c r="AI234" s="51"/>
      <c r="AJ234" s="38"/>
      <c r="AK234" s="38"/>
      <c r="AL234" s="38"/>
      <c r="AM234" s="51"/>
      <c r="AN234" s="55"/>
      <c r="AO234" s="55"/>
      <c r="AP234" s="38"/>
      <c r="AQ234" s="38"/>
      <c r="AR234" s="38"/>
      <c r="AS234" s="55"/>
      <c r="AT234" s="38"/>
      <c r="AU234" s="38"/>
      <c r="AV234" s="55"/>
      <c r="AW234" s="38"/>
      <c r="AX234" s="38"/>
      <c r="AY234" s="38"/>
      <c r="AZ234" s="51"/>
      <c r="BA234" s="51"/>
      <c r="BB234" s="47"/>
      <c r="BC234" s="47"/>
      <c r="BD234" s="47"/>
      <c r="BE234" s="38"/>
      <c r="BF234" s="38"/>
      <c r="BG234" s="38"/>
      <c r="BH234" s="47"/>
      <c r="BI234" s="38"/>
      <c r="BJ234" s="38"/>
      <c r="BK234" s="47"/>
      <c r="BL234" s="38"/>
      <c r="BM234" s="38"/>
      <c r="BO234" s="38"/>
      <c r="BS234" s="38"/>
      <c r="BT234" s="38"/>
      <c r="BU234" s="38"/>
      <c r="CA234" s="38"/>
      <c r="CE234" s="38"/>
      <c r="CF234" s="38"/>
      <c r="CG234" s="38"/>
      <c r="CJ234" s="38"/>
      <c r="CL234" s="38"/>
      <c r="CN234" s="38"/>
      <c r="CQ234" s="38"/>
      <c r="CR234" s="38"/>
      <c r="CU234" s="38"/>
      <c r="CV234" s="38"/>
      <c r="CX234" s="38"/>
      <c r="DA234" s="38"/>
      <c r="DB234" s="38"/>
      <c r="DE234" s="38"/>
      <c r="DI234" s="38"/>
      <c r="DL234" s="38"/>
      <c r="DO234" s="38"/>
      <c r="DS234" s="38"/>
      <c r="DV234" s="38"/>
    </row>
    <row r="235" spans="1:126" s="48" customFormat="1" x14ac:dyDescent="0.3">
      <c r="A235" s="154"/>
      <c r="B235" s="47">
        <v>1</v>
      </c>
      <c r="C235" s="38" t="s">
        <v>107</v>
      </c>
      <c r="D235" s="50">
        <v>196</v>
      </c>
      <c r="E235" s="38" t="s">
        <v>96</v>
      </c>
      <c r="F235" s="49"/>
      <c r="G235" s="47"/>
      <c r="I235" s="38"/>
      <c r="J235" s="38"/>
      <c r="K235" s="38"/>
      <c r="P235" s="38"/>
      <c r="Q235" s="38"/>
      <c r="R235" s="38"/>
      <c r="S235" s="38"/>
      <c r="T235" s="38"/>
      <c r="V235" s="54"/>
      <c r="W235" s="54"/>
      <c r="X235" s="54"/>
      <c r="Y235" s="38"/>
      <c r="Z235" s="38"/>
      <c r="AA235" s="38"/>
      <c r="AB235" s="38"/>
      <c r="AC235" s="38"/>
      <c r="AD235" s="54"/>
      <c r="AE235" s="54"/>
      <c r="AF235" s="54"/>
      <c r="AG235" s="51"/>
      <c r="AH235" s="51"/>
      <c r="AI235" s="51"/>
      <c r="AJ235" s="38"/>
      <c r="AK235" s="38"/>
      <c r="AL235" s="38"/>
      <c r="AM235" s="51"/>
      <c r="AN235" s="55"/>
      <c r="AO235" s="55"/>
      <c r="AP235" s="38"/>
      <c r="AQ235" s="38"/>
      <c r="AR235" s="38"/>
      <c r="AS235" s="55"/>
      <c r="AT235" s="38"/>
      <c r="AU235" s="38"/>
      <c r="AV235" s="55"/>
      <c r="AW235" s="38"/>
      <c r="AX235" s="38"/>
      <c r="AY235" s="38"/>
      <c r="AZ235" s="51"/>
      <c r="BA235" s="51"/>
      <c r="BB235" s="47"/>
      <c r="BC235" s="47"/>
      <c r="BD235" s="47"/>
      <c r="BE235" s="38"/>
      <c r="BF235" s="38"/>
      <c r="BG235" s="38"/>
      <c r="BH235" s="47"/>
      <c r="BI235" s="38"/>
      <c r="BJ235" s="38"/>
      <c r="BK235" s="47"/>
      <c r="BL235" s="38"/>
      <c r="BM235" s="38"/>
      <c r="BO235" s="38"/>
      <c r="BS235" s="38"/>
      <c r="BT235" s="38"/>
      <c r="BU235" s="38"/>
      <c r="CA235" s="38"/>
      <c r="CE235" s="38"/>
      <c r="CF235" s="38"/>
      <c r="CG235" s="38"/>
      <c r="CJ235" s="38"/>
      <c r="CL235" s="38"/>
      <c r="CN235" s="38"/>
      <c r="CQ235" s="38"/>
      <c r="CR235" s="38"/>
      <c r="CU235" s="38"/>
      <c r="CV235" s="38"/>
      <c r="CX235" s="38"/>
      <c r="DA235" s="38"/>
      <c r="DB235" s="38"/>
      <c r="DE235" s="38"/>
      <c r="DI235" s="38"/>
      <c r="DL235" s="38"/>
      <c r="DO235" s="38"/>
      <c r="DS235" s="38"/>
      <c r="DV235" s="38"/>
    </row>
    <row r="236" spans="1:126" s="48" customFormat="1" x14ac:dyDescent="0.3">
      <c r="A236" s="154" t="s">
        <v>30</v>
      </c>
      <c r="B236" s="47">
        <v>1</v>
      </c>
      <c r="C236" s="38" t="s">
        <v>25</v>
      </c>
      <c r="D236" s="50">
        <v>1</v>
      </c>
      <c r="E236" s="38" t="s">
        <v>40</v>
      </c>
      <c r="F236" s="49">
        <f>F237</f>
        <v>3.0446428571428572</v>
      </c>
      <c r="G236" s="38" t="s">
        <v>101</v>
      </c>
      <c r="I236" s="38"/>
      <c r="J236" s="38"/>
      <c r="K236" s="38"/>
      <c r="P236" s="38"/>
      <c r="Q236" s="38"/>
      <c r="R236" s="38"/>
      <c r="S236" s="38"/>
      <c r="T236" s="38"/>
      <c r="V236" s="54"/>
      <c r="W236" s="54"/>
      <c r="X236" s="54"/>
      <c r="Y236" s="38"/>
      <c r="Z236" s="38"/>
      <c r="AA236" s="38"/>
      <c r="AB236" s="38"/>
      <c r="AC236" s="38"/>
      <c r="AD236" s="54"/>
      <c r="AE236" s="54"/>
      <c r="AF236" s="54"/>
      <c r="AG236" s="51"/>
      <c r="AH236" s="51"/>
      <c r="AI236" s="51"/>
      <c r="AJ236" s="38"/>
      <c r="AK236" s="38"/>
      <c r="AL236" s="38"/>
      <c r="AM236" s="51"/>
      <c r="AN236" s="55"/>
      <c r="AO236" s="55"/>
      <c r="AP236" s="38"/>
      <c r="AQ236" s="38"/>
      <c r="AR236" s="38"/>
      <c r="AS236" s="55"/>
      <c r="AT236" s="38"/>
      <c r="AU236" s="38"/>
      <c r="AV236" s="55"/>
      <c r="AW236" s="38"/>
      <c r="AX236" s="38"/>
      <c r="AY236" s="38"/>
      <c r="AZ236" s="51"/>
      <c r="BA236" s="51"/>
      <c r="BB236" s="47"/>
      <c r="BC236" s="47"/>
      <c r="BD236" s="47"/>
      <c r="BE236" s="38"/>
      <c r="BF236" s="38"/>
      <c r="BG236" s="38"/>
      <c r="BH236" s="47"/>
      <c r="BI236" s="38"/>
      <c r="BJ236" s="38"/>
      <c r="BK236" s="47"/>
      <c r="BL236" s="38"/>
      <c r="BM236" s="38"/>
      <c r="BO236" s="38"/>
      <c r="BS236" s="38"/>
      <c r="BT236" s="38"/>
      <c r="BU236" s="38"/>
      <c r="CA236" s="38"/>
      <c r="CE236" s="38"/>
      <c r="CF236" s="38"/>
      <c r="CG236" s="38"/>
      <c r="CJ236" s="38"/>
      <c r="CL236" s="38"/>
      <c r="CN236" s="38"/>
      <c r="CQ236" s="38"/>
      <c r="CR236" s="38"/>
      <c r="CU236" s="38"/>
      <c r="CV236" s="38"/>
      <c r="CX236" s="38"/>
      <c r="DA236" s="38"/>
      <c r="DB236" s="38"/>
      <c r="DE236" s="38"/>
      <c r="DI236" s="38"/>
      <c r="DL236" s="38"/>
      <c r="DO236" s="38"/>
      <c r="DS236" s="38"/>
      <c r="DV236" s="38"/>
    </row>
    <row r="237" spans="1:126" s="48" customFormat="1" x14ac:dyDescent="0.3">
      <c r="A237" s="154"/>
      <c r="B237" s="47">
        <v>1</v>
      </c>
      <c r="C237" s="38" t="s">
        <v>40</v>
      </c>
      <c r="D237" s="50">
        <f>(355+327)/2</f>
        <v>341</v>
      </c>
      <c r="E237" s="38" t="s">
        <v>96</v>
      </c>
      <c r="F237" s="49">
        <f>D237/D201</f>
        <v>3.0446428571428572</v>
      </c>
      <c r="G237" s="38" t="s">
        <v>101</v>
      </c>
      <c r="I237" s="38"/>
      <c r="J237" s="38"/>
      <c r="K237" s="38"/>
      <c r="P237" s="38"/>
      <c r="Q237" s="38"/>
      <c r="R237" s="38"/>
      <c r="S237" s="38"/>
      <c r="T237" s="38"/>
      <c r="V237" s="54"/>
      <c r="W237" s="54"/>
      <c r="X237" s="54"/>
      <c r="Y237" s="38"/>
      <c r="Z237" s="38"/>
      <c r="AA237" s="38"/>
      <c r="AB237" s="38"/>
      <c r="AC237" s="38"/>
      <c r="AD237" s="54"/>
      <c r="AE237" s="54"/>
      <c r="AF237" s="54"/>
      <c r="AG237" s="51"/>
      <c r="AH237" s="51"/>
      <c r="AI237" s="51"/>
      <c r="AJ237" s="38"/>
      <c r="AK237" s="38"/>
      <c r="AL237" s="38"/>
      <c r="AM237" s="51"/>
      <c r="AN237" s="55"/>
      <c r="AO237" s="55"/>
      <c r="AP237" s="38"/>
      <c r="AQ237" s="38"/>
      <c r="AR237" s="38"/>
      <c r="AS237" s="55"/>
      <c r="AT237" s="38"/>
      <c r="AU237" s="38"/>
      <c r="AV237" s="55"/>
      <c r="AW237" s="38"/>
      <c r="AX237" s="38"/>
      <c r="AY237" s="38"/>
      <c r="AZ237" s="51"/>
      <c r="BA237" s="51"/>
      <c r="BB237" s="47"/>
      <c r="BC237" s="47"/>
      <c r="BD237" s="47"/>
      <c r="BE237" s="38"/>
      <c r="BF237" s="38"/>
      <c r="BG237" s="38"/>
      <c r="BH237" s="47"/>
      <c r="BI237" s="38"/>
      <c r="BJ237" s="38"/>
      <c r="BK237" s="47"/>
      <c r="BL237" s="38"/>
      <c r="BM237" s="38"/>
      <c r="BO237" s="38"/>
      <c r="BS237" s="38"/>
      <c r="BT237" s="38"/>
      <c r="BU237" s="38"/>
      <c r="CA237" s="38"/>
      <c r="CE237" s="38"/>
      <c r="CF237" s="38"/>
      <c r="CG237" s="38"/>
      <c r="CJ237" s="38"/>
      <c r="CL237" s="38"/>
      <c r="CN237" s="38"/>
      <c r="CQ237" s="38"/>
      <c r="CR237" s="38"/>
      <c r="CU237" s="38"/>
      <c r="CV237" s="38"/>
      <c r="CX237" s="38"/>
      <c r="DA237" s="38"/>
      <c r="DB237" s="38"/>
      <c r="DE237" s="38"/>
      <c r="DI237" s="38"/>
      <c r="DL237" s="38"/>
      <c r="DO237" s="38"/>
      <c r="DS237" s="38"/>
      <c r="DV237" s="38"/>
    </row>
    <row r="238" spans="1:126" s="48" customFormat="1" x14ac:dyDescent="0.3">
      <c r="A238" s="154" t="s">
        <v>38</v>
      </c>
      <c r="B238" s="47">
        <v>1</v>
      </c>
      <c r="C238" s="41" t="s">
        <v>37</v>
      </c>
      <c r="D238" s="50">
        <v>140.63</v>
      </c>
      <c r="E238" s="38" t="s">
        <v>96</v>
      </c>
      <c r="F238" s="49">
        <f>D238/D201</f>
        <v>1.255625</v>
      </c>
      <c r="G238" s="38" t="s">
        <v>101</v>
      </c>
      <c r="I238" s="38"/>
      <c r="J238" s="38"/>
      <c r="K238" s="38"/>
      <c r="P238" s="38"/>
      <c r="Q238" s="38"/>
      <c r="R238" s="38"/>
      <c r="S238" s="38"/>
      <c r="T238" s="38"/>
      <c r="V238" s="54"/>
      <c r="W238" s="54"/>
      <c r="X238" s="54"/>
      <c r="Y238" s="38"/>
      <c r="Z238" s="38"/>
      <c r="AA238" s="38"/>
      <c r="AB238" s="38"/>
      <c r="AC238" s="38"/>
      <c r="AD238" s="54"/>
      <c r="AE238" s="54"/>
      <c r="AF238" s="54"/>
      <c r="AG238" s="51"/>
      <c r="AH238" s="51"/>
      <c r="AI238" s="51"/>
      <c r="AJ238" s="38"/>
      <c r="AK238" s="38"/>
      <c r="AL238" s="38"/>
      <c r="AM238" s="51"/>
      <c r="AN238" s="55"/>
      <c r="AO238" s="55"/>
      <c r="AP238" s="38"/>
      <c r="AQ238" s="38"/>
      <c r="AR238" s="38"/>
      <c r="AS238" s="55"/>
      <c r="AT238" s="38"/>
      <c r="AU238" s="38"/>
      <c r="AV238" s="55"/>
      <c r="AW238" s="38"/>
      <c r="AX238" s="38"/>
      <c r="AY238" s="38"/>
      <c r="AZ238" s="51"/>
      <c r="BA238" s="51"/>
      <c r="BB238" s="47"/>
      <c r="BC238" s="47"/>
      <c r="BD238" s="47"/>
      <c r="BE238" s="38"/>
      <c r="BF238" s="38"/>
      <c r="BG238" s="38"/>
      <c r="BH238" s="47"/>
      <c r="BI238" s="38"/>
      <c r="BJ238" s="38"/>
      <c r="BK238" s="47"/>
      <c r="BL238" s="38"/>
      <c r="BM238" s="38"/>
      <c r="BO238" s="38"/>
      <c r="BS238" s="38"/>
      <c r="BT238" s="38"/>
      <c r="BU238" s="38"/>
      <c r="CA238" s="38"/>
      <c r="CE238" s="38"/>
      <c r="CF238" s="38"/>
      <c r="CG238" s="38"/>
      <c r="CJ238" s="38"/>
      <c r="CL238" s="38"/>
      <c r="CN238" s="38"/>
      <c r="CQ238" s="38"/>
      <c r="CR238" s="38"/>
      <c r="CU238" s="38"/>
      <c r="CV238" s="38"/>
      <c r="CX238" s="38"/>
      <c r="DA238" s="38"/>
      <c r="DB238" s="38"/>
      <c r="DE238" s="38"/>
      <c r="DI238" s="38"/>
      <c r="DL238" s="38"/>
      <c r="DO238" s="38"/>
      <c r="DS238" s="38"/>
      <c r="DV238" s="38"/>
    </row>
    <row r="239" spans="1:126" s="48" customFormat="1" x14ac:dyDescent="0.3">
      <c r="A239" s="154"/>
      <c r="B239" s="47">
        <v>1</v>
      </c>
      <c r="C239" s="41" t="s">
        <v>119</v>
      </c>
      <c r="D239" s="50">
        <v>0.91576999999999997</v>
      </c>
      <c r="E239" s="38" t="s">
        <v>37</v>
      </c>
      <c r="F239" s="49">
        <f>F238*D239</f>
        <v>1.1498637062499999</v>
      </c>
      <c r="G239" s="38" t="s">
        <v>101</v>
      </c>
      <c r="I239" s="38"/>
      <c r="J239" s="38"/>
      <c r="K239" s="38"/>
      <c r="P239" s="38"/>
      <c r="Q239" s="38"/>
      <c r="R239" s="38"/>
      <c r="S239" s="38"/>
      <c r="T239" s="38"/>
      <c r="V239" s="54"/>
      <c r="W239" s="54"/>
      <c r="X239" s="54"/>
      <c r="Y239" s="38"/>
      <c r="Z239" s="38"/>
      <c r="AA239" s="38"/>
      <c r="AB239" s="38"/>
      <c r="AC239" s="38"/>
      <c r="AD239" s="54"/>
      <c r="AE239" s="54"/>
      <c r="AF239" s="54"/>
      <c r="AG239" s="51"/>
      <c r="AH239" s="51"/>
      <c r="AI239" s="51"/>
      <c r="AJ239" s="38"/>
      <c r="AK239" s="38"/>
      <c r="AL239" s="38"/>
      <c r="AM239" s="51"/>
      <c r="AN239" s="55"/>
      <c r="AO239" s="55"/>
      <c r="AP239" s="38"/>
      <c r="AQ239" s="38"/>
      <c r="AR239" s="38"/>
      <c r="AS239" s="55"/>
      <c r="AT239" s="38"/>
      <c r="AU239" s="38"/>
      <c r="AV239" s="55"/>
      <c r="AW239" s="38"/>
      <c r="AX239" s="38"/>
      <c r="AY239" s="38"/>
      <c r="AZ239" s="51"/>
      <c r="BA239" s="51"/>
      <c r="BB239" s="47"/>
      <c r="BC239" s="47"/>
      <c r="BD239" s="47"/>
      <c r="BE239" s="38"/>
      <c r="BF239" s="38"/>
      <c r="BG239" s="38"/>
      <c r="BH239" s="47"/>
      <c r="BI239" s="38"/>
      <c r="BJ239" s="38"/>
      <c r="BK239" s="47"/>
      <c r="BL239" s="38"/>
      <c r="BM239" s="38"/>
      <c r="BO239" s="38"/>
      <c r="BS239" s="38"/>
      <c r="BT239" s="38"/>
      <c r="BU239" s="38"/>
      <c r="CA239" s="38"/>
      <c r="CE239" s="38"/>
      <c r="CF239" s="38"/>
      <c r="CG239" s="38"/>
      <c r="CJ239" s="38"/>
      <c r="CL239" s="38"/>
      <c r="CN239" s="38"/>
      <c r="CQ239" s="38"/>
      <c r="CR239" s="38"/>
      <c r="CU239" s="38"/>
      <c r="CV239" s="38"/>
      <c r="CX239" s="38"/>
      <c r="DA239" s="38"/>
      <c r="DB239" s="38"/>
      <c r="DE239" s="38"/>
      <c r="DI239" s="38"/>
      <c r="DL239" s="38"/>
      <c r="DO239" s="38"/>
      <c r="DS239" s="38"/>
      <c r="DV239" s="38"/>
    </row>
    <row r="240" spans="1:126" s="48" customFormat="1" x14ac:dyDescent="0.3">
      <c r="A240" s="154" t="s">
        <v>93</v>
      </c>
      <c r="B240" s="47">
        <v>1</v>
      </c>
      <c r="C240" s="41" t="s">
        <v>40</v>
      </c>
      <c r="D240" s="50">
        <v>2.37609</v>
      </c>
      <c r="E240" s="41" t="s">
        <v>107</v>
      </c>
      <c r="F240" s="49">
        <f>D240*D241</f>
        <v>4.1366063637000003</v>
      </c>
      <c r="G240" s="38" t="s">
        <v>101</v>
      </c>
      <c r="I240" s="38"/>
      <c r="J240" s="38"/>
      <c r="K240" s="41"/>
      <c r="P240" s="38"/>
      <c r="Q240" s="38"/>
      <c r="R240" s="38"/>
      <c r="S240" s="41"/>
      <c r="T240" s="41"/>
      <c r="V240" s="54"/>
      <c r="W240" s="54"/>
      <c r="X240" s="54"/>
      <c r="Y240" s="38"/>
      <c r="Z240" s="38"/>
      <c r="AA240" s="38"/>
      <c r="AB240" s="41"/>
      <c r="AC240" s="41"/>
      <c r="AD240" s="54"/>
      <c r="AE240" s="54"/>
      <c r="AF240" s="54"/>
      <c r="AG240" s="51"/>
      <c r="AH240" s="51"/>
      <c r="AI240" s="51"/>
      <c r="AJ240" s="41"/>
      <c r="AK240" s="38"/>
      <c r="AL240" s="38"/>
      <c r="AM240" s="51"/>
      <c r="AN240" s="55"/>
      <c r="AO240" s="55"/>
      <c r="AP240" s="41"/>
      <c r="AQ240" s="38"/>
      <c r="AR240" s="38"/>
      <c r="AS240" s="55"/>
      <c r="AT240" s="41"/>
      <c r="AU240" s="41"/>
      <c r="AV240" s="55"/>
      <c r="AW240" s="38"/>
      <c r="AX240" s="38"/>
      <c r="AY240" s="41"/>
      <c r="AZ240" s="51"/>
      <c r="BA240" s="51"/>
      <c r="BB240" s="47"/>
      <c r="BC240" s="47"/>
      <c r="BD240" s="47"/>
      <c r="BE240" s="41"/>
      <c r="BF240" s="38"/>
      <c r="BG240" s="38"/>
      <c r="BH240" s="47"/>
      <c r="BI240" s="41"/>
      <c r="BJ240" s="41"/>
      <c r="BK240" s="47"/>
      <c r="BL240" s="38"/>
      <c r="BM240" s="38"/>
      <c r="BO240" s="41"/>
      <c r="BS240" s="38"/>
      <c r="BT240" s="38"/>
      <c r="BU240" s="41"/>
      <c r="CA240" s="41"/>
      <c r="CE240" s="38"/>
      <c r="CF240" s="38"/>
      <c r="CG240" s="41"/>
      <c r="CJ240" s="41"/>
      <c r="CL240" s="38"/>
      <c r="CN240" s="41"/>
      <c r="CQ240" s="41"/>
      <c r="CR240" s="38"/>
      <c r="CU240" s="41"/>
      <c r="CV240" s="38"/>
      <c r="CX240" s="41"/>
      <c r="DA240" s="41"/>
      <c r="DB240" s="38"/>
      <c r="DE240" s="38"/>
      <c r="DI240" s="38"/>
      <c r="DL240" s="38"/>
      <c r="DO240" s="38"/>
      <c r="DS240" s="38"/>
      <c r="DV240" s="38"/>
    </row>
    <row r="241" spans="1:126" s="48" customFormat="1" x14ac:dyDescent="0.3">
      <c r="A241" s="154"/>
      <c r="B241" s="47">
        <v>1</v>
      </c>
      <c r="C241" s="41" t="s">
        <v>107</v>
      </c>
      <c r="D241" s="50">
        <v>1.7409300000000001</v>
      </c>
      <c r="E241" s="38" t="s">
        <v>101</v>
      </c>
      <c r="F241" s="49"/>
      <c r="G241" s="38"/>
      <c r="I241" s="38"/>
      <c r="J241" s="38"/>
      <c r="K241" s="38"/>
      <c r="P241" s="38"/>
      <c r="Q241" s="38"/>
      <c r="R241" s="38"/>
      <c r="S241" s="38"/>
      <c r="T241" s="38"/>
      <c r="V241" s="54"/>
      <c r="W241" s="54"/>
      <c r="X241" s="54"/>
      <c r="Y241" s="38"/>
      <c r="Z241" s="38"/>
      <c r="AA241" s="38"/>
      <c r="AB241" s="38"/>
      <c r="AC241" s="38"/>
      <c r="AD241" s="54"/>
      <c r="AE241" s="54"/>
      <c r="AF241" s="54"/>
      <c r="AG241" s="51"/>
      <c r="AH241" s="51"/>
      <c r="AI241" s="51"/>
      <c r="AJ241" s="38"/>
      <c r="AK241" s="38"/>
      <c r="AL241" s="38"/>
      <c r="AM241" s="51"/>
      <c r="AN241" s="55"/>
      <c r="AO241" s="55"/>
      <c r="AP241" s="38"/>
      <c r="AQ241" s="38"/>
      <c r="AR241" s="38"/>
      <c r="AS241" s="55"/>
      <c r="AT241" s="38"/>
      <c r="AU241" s="38"/>
      <c r="AV241" s="55"/>
      <c r="AW241" s="38"/>
      <c r="AX241" s="38"/>
      <c r="AY241" s="38"/>
      <c r="AZ241" s="51"/>
      <c r="BA241" s="51"/>
      <c r="BB241" s="47"/>
      <c r="BC241" s="47"/>
      <c r="BD241" s="47"/>
      <c r="BE241" s="38"/>
      <c r="BF241" s="38"/>
      <c r="BG241" s="38"/>
      <c r="BH241" s="47"/>
      <c r="BI241" s="38"/>
      <c r="BJ241" s="38"/>
      <c r="BK241" s="47"/>
      <c r="BL241" s="38"/>
      <c r="BM241" s="38"/>
      <c r="BO241" s="38"/>
      <c r="BS241" s="38"/>
      <c r="BT241" s="38"/>
      <c r="BU241" s="38"/>
      <c r="CA241" s="38"/>
      <c r="CE241" s="38"/>
      <c r="CF241" s="38"/>
      <c r="CG241" s="38"/>
      <c r="CJ241" s="38"/>
      <c r="CL241" s="38"/>
      <c r="CN241" s="38"/>
      <c r="CQ241" s="38"/>
      <c r="CR241" s="38"/>
      <c r="CU241" s="38"/>
      <c r="CV241" s="38"/>
      <c r="CX241" s="38"/>
      <c r="DA241" s="38"/>
      <c r="DB241" s="38"/>
      <c r="DE241" s="38"/>
      <c r="DI241" s="38"/>
      <c r="DL241" s="38"/>
      <c r="DO241" s="38"/>
      <c r="DS241" s="38"/>
      <c r="DV241" s="38"/>
    </row>
    <row r="242" spans="1:126" s="48" customFormat="1" x14ac:dyDescent="0.3">
      <c r="A242" s="154" t="s">
        <v>120</v>
      </c>
      <c r="B242" s="47">
        <v>1</v>
      </c>
      <c r="C242" s="41" t="s">
        <v>40</v>
      </c>
      <c r="D242" s="50">
        <v>242</v>
      </c>
      <c r="E242" s="38" t="s">
        <v>96</v>
      </c>
      <c r="F242" s="49">
        <f>D242/D201</f>
        <v>2.1607142857142856</v>
      </c>
      <c r="G242" s="38" t="s">
        <v>101</v>
      </c>
      <c r="I242" s="38"/>
      <c r="J242" s="38"/>
      <c r="K242" s="38"/>
      <c r="P242" s="38"/>
      <c r="Q242" s="38"/>
      <c r="R242" s="38"/>
      <c r="S242" s="38"/>
      <c r="T242" s="38"/>
      <c r="V242" s="54"/>
      <c r="W242" s="54"/>
      <c r="X242" s="54"/>
      <c r="Y242" s="38"/>
      <c r="Z242" s="38"/>
      <c r="AA242" s="38"/>
      <c r="AB242" s="38"/>
      <c r="AC242" s="38"/>
      <c r="AD242" s="54"/>
      <c r="AE242" s="54"/>
      <c r="AF242" s="54"/>
      <c r="AG242" s="51"/>
      <c r="AH242" s="51"/>
      <c r="AI242" s="51"/>
      <c r="AJ242" s="38"/>
      <c r="AK242" s="38"/>
      <c r="AL242" s="38"/>
      <c r="AM242" s="51"/>
      <c r="AN242" s="55"/>
      <c r="AO242" s="55"/>
      <c r="AP242" s="38"/>
      <c r="AQ242" s="38"/>
      <c r="AR242" s="38"/>
      <c r="AS242" s="55"/>
      <c r="AT242" s="38"/>
      <c r="AU242" s="38"/>
      <c r="AV242" s="55"/>
      <c r="AW242" s="38"/>
      <c r="AX242" s="38"/>
      <c r="AY242" s="38"/>
      <c r="AZ242" s="51"/>
      <c r="BA242" s="51"/>
      <c r="BB242" s="47"/>
      <c r="BC242" s="47"/>
      <c r="BD242" s="47"/>
      <c r="BE242" s="38"/>
      <c r="BF242" s="38"/>
      <c r="BG242" s="38"/>
      <c r="BH242" s="47"/>
      <c r="BI242" s="38"/>
      <c r="BJ242" s="38"/>
      <c r="BK242" s="47"/>
      <c r="BL242" s="38"/>
      <c r="BM242" s="38"/>
      <c r="BO242" s="38"/>
      <c r="BS242" s="38"/>
      <c r="BT242" s="38"/>
      <c r="BU242" s="38"/>
      <c r="CA242" s="38"/>
      <c r="CE242" s="38"/>
      <c r="CF242" s="38"/>
      <c r="CG242" s="38"/>
      <c r="CJ242" s="38"/>
      <c r="CL242" s="38"/>
      <c r="CN242" s="38"/>
      <c r="CQ242" s="38"/>
      <c r="CR242" s="38"/>
      <c r="CU242" s="38"/>
      <c r="CV242" s="38"/>
      <c r="CX242" s="38"/>
      <c r="DA242" s="38"/>
      <c r="DB242" s="38"/>
      <c r="DE242" s="38"/>
      <c r="DI242" s="38"/>
      <c r="DL242" s="38"/>
      <c r="DO242" s="38"/>
      <c r="DS242" s="38"/>
      <c r="DV242" s="38"/>
    </row>
    <row r="243" spans="1:126" s="48" customFormat="1" x14ac:dyDescent="0.3">
      <c r="A243" s="154"/>
      <c r="B243" s="47">
        <v>1</v>
      </c>
      <c r="C243" s="41" t="s">
        <v>37</v>
      </c>
      <c r="D243" s="49">
        <f>F245/D244</f>
        <v>4.400227973715972</v>
      </c>
      <c r="E243" s="38" t="s">
        <v>101</v>
      </c>
      <c r="F243" s="49">
        <f>D243/D193</f>
        <v>0.22001139868579861</v>
      </c>
      <c r="G243" s="38" t="s">
        <v>28</v>
      </c>
      <c r="I243" s="38"/>
      <c r="J243" s="38"/>
      <c r="K243" s="38"/>
      <c r="P243" s="38"/>
      <c r="Q243" s="38"/>
      <c r="R243" s="38"/>
      <c r="S243" s="38"/>
      <c r="T243" s="38"/>
      <c r="V243" s="54"/>
      <c r="W243" s="54"/>
      <c r="X243" s="54"/>
      <c r="Y243" s="38"/>
      <c r="Z243" s="38"/>
      <c r="AA243" s="38"/>
      <c r="AB243" s="38"/>
      <c r="AC243" s="38"/>
      <c r="AD243" s="54"/>
      <c r="AE243" s="54"/>
      <c r="AF243" s="54"/>
      <c r="AG243" s="51"/>
      <c r="AH243" s="51"/>
      <c r="AI243" s="51"/>
      <c r="AJ243" s="38"/>
      <c r="AK243" s="38"/>
      <c r="AL243" s="38"/>
      <c r="AM243" s="51"/>
      <c r="AN243" s="55"/>
      <c r="AO243" s="55"/>
      <c r="AP243" s="38"/>
      <c r="AQ243" s="38"/>
      <c r="AR243" s="38"/>
      <c r="AS243" s="55"/>
      <c r="AT243" s="38"/>
      <c r="AU243" s="38"/>
      <c r="AV243" s="55"/>
      <c r="AW243" s="38"/>
      <c r="AX243" s="38"/>
      <c r="AY243" s="38"/>
      <c r="AZ243" s="51"/>
      <c r="BA243" s="51"/>
      <c r="BB243" s="47"/>
      <c r="BC243" s="47"/>
      <c r="BD243" s="47"/>
      <c r="BE243" s="38"/>
      <c r="BF243" s="38"/>
      <c r="BG243" s="38"/>
      <c r="BH243" s="47"/>
      <c r="BI243" s="38"/>
      <c r="BJ243" s="38"/>
      <c r="BK243" s="47"/>
      <c r="BL243" s="38"/>
      <c r="BM243" s="38"/>
      <c r="BO243" s="38"/>
      <c r="BS243" s="38"/>
      <c r="BT243" s="38"/>
      <c r="BU243" s="38"/>
      <c r="CA243" s="38"/>
      <c r="CE243" s="38"/>
      <c r="CF243" s="38"/>
      <c r="CG243" s="38"/>
      <c r="CJ243" s="38"/>
      <c r="CL243" s="38"/>
      <c r="CN243" s="38"/>
      <c r="CQ243" s="38"/>
      <c r="CR243" s="38"/>
      <c r="CU243" s="38"/>
      <c r="CV243" s="38"/>
      <c r="CX243" s="38"/>
      <c r="DA243" s="38"/>
      <c r="DB243" s="38"/>
      <c r="DE243" s="38"/>
      <c r="DI243" s="38"/>
      <c r="DL243" s="38"/>
      <c r="DO243" s="38"/>
      <c r="DS243" s="38"/>
      <c r="DV243" s="38"/>
    </row>
    <row r="244" spans="1:126" s="48" customFormat="1" x14ac:dyDescent="0.3">
      <c r="A244" s="154"/>
      <c r="B244" s="47">
        <v>1</v>
      </c>
      <c r="C244" s="41" t="s">
        <v>121</v>
      </c>
      <c r="D244" s="50">
        <v>0.59655999999999998</v>
      </c>
      <c r="E244" s="38" t="s">
        <v>37</v>
      </c>
      <c r="I244" s="38"/>
      <c r="J244" s="38"/>
      <c r="K244" s="38"/>
      <c r="P244" s="38"/>
      <c r="Q244" s="38"/>
      <c r="R244" s="38"/>
      <c r="S244" s="38"/>
      <c r="T244" s="38"/>
      <c r="V244" s="54"/>
      <c r="W244" s="54"/>
      <c r="X244" s="54"/>
      <c r="Y244" s="38"/>
      <c r="Z244" s="38"/>
      <c r="AA244" s="38"/>
      <c r="AB244" s="38"/>
      <c r="AC244" s="38"/>
      <c r="AD244" s="54"/>
      <c r="AE244" s="54"/>
      <c r="AF244" s="54"/>
      <c r="AG244" s="51"/>
      <c r="AH244" s="51"/>
      <c r="AI244" s="51"/>
      <c r="AJ244" s="38"/>
      <c r="AK244" s="38"/>
      <c r="AL244" s="38"/>
      <c r="AM244" s="51"/>
      <c r="AN244" s="55"/>
      <c r="AO244" s="55"/>
      <c r="AP244" s="38"/>
      <c r="AQ244" s="38"/>
      <c r="AR244" s="38"/>
      <c r="AS244" s="55"/>
      <c r="AT244" s="38"/>
      <c r="AU244" s="38"/>
      <c r="AV244" s="55"/>
      <c r="AW244" s="38"/>
      <c r="AX244" s="38"/>
      <c r="AY244" s="38"/>
      <c r="AZ244" s="51"/>
      <c r="BA244" s="51"/>
      <c r="BB244" s="47"/>
      <c r="BC244" s="47"/>
      <c r="BD244" s="47"/>
      <c r="BE244" s="38"/>
      <c r="BF244" s="38"/>
      <c r="BG244" s="38"/>
      <c r="BH244" s="47"/>
      <c r="BI244" s="38"/>
      <c r="BJ244" s="38"/>
      <c r="BK244" s="47"/>
      <c r="BL244" s="38"/>
      <c r="BM244" s="38"/>
      <c r="BO244" s="38"/>
      <c r="BS244" s="38"/>
      <c r="BT244" s="38"/>
      <c r="BU244" s="38"/>
      <c r="CA244" s="38"/>
      <c r="CE244" s="38"/>
      <c r="CF244" s="38"/>
      <c r="CG244" s="38"/>
      <c r="CJ244" s="38"/>
      <c r="CL244" s="38"/>
      <c r="CN244" s="38"/>
      <c r="CQ244" s="38"/>
      <c r="CR244" s="38"/>
      <c r="CU244" s="38"/>
      <c r="CV244" s="38"/>
      <c r="CX244" s="38"/>
      <c r="DA244" s="38"/>
      <c r="DB244" s="38"/>
      <c r="DE244" s="38"/>
      <c r="DI244" s="38"/>
      <c r="DL244" s="38"/>
      <c r="DO244" s="38"/>
      <c r="DS244" s="38"/>
      <c r="DV244" s="38"/>
    </row>
    <row r="245" spans="1:126" s="48" customFormat="1" x14ac:dyDescent="0.3">
      <c r="A245" s="47" t="s">
        <v>90</v>
      </c>
      <c r="B245" s="47">
        <v>1</v>
      </c>
      <c r="C245" s="41" t="s">
        <v>121</v>
      </c>
      <c r="D245" s="50">
        <v>294</v>
      </c>
      <c r="E245" s="38" t="s">
        <v>96</v>
      </c>
      <c r="F245" s="49">
        <f>D245/D201</f>
        <v>2.625</v>
      </c>
      <c r="G245" s="38" t="s">
        <v>101</v>
      </c>
      <c r="H245" s="48">
        <f>F245/D193</f>
        <v>0.13125000000000001</v>
      </c>
      <c r="I245" s="38" t="s">
        <v>28</v>
      </c>
      <c r="J245" s="38"/>
      <c r="K245" s="38"/>
      <c r="P245" s="38"/>
      <c r="Q245" s="38"/>
      <c r="R245" s="38"/>
      <c r="S245" s="38"/>
      <c r="T245" s="38"/>
      <c r="V245" s="54"/>
      <c r="W245" s="54"/>
      <c r="X245" s="54"/>
      <c r="Y245" s="38"/>
      <c r="Z245" s="38"/>
      <c r="AA245" s="38"/>
      <c r="AB245" s="38"/>
      <c r="AC245" s="38"/>
      <c r="AD245" s="54"/>
      <c r="AE245" s="54"/>
      <c r="AF245" s="54"/>
      <c r="AG245" s="51"/>
      <c r="AH245" s="51"/>
      <c r="AI245" s="51"/>
      <c r="AJ245" s="38"/>
      <c r="AK245" s="38"/>
      <c r="AL245" s="38"/>
      <c r="AM245" s="51"/>
      <c r="AN245" s="55"/>
      <c r="AO245" s="55"/>
      <c r="AP245" s="38"/>
      <c r="AQ245" s="38"/>
      <c r="AR245" s="38"/>
      <c r="AS245" s="55"/>
      <c r="AT245" s="38"/>
      <c r="AU245" s="38"/>
      <c r="AV245" s="55"/>
      <c r="AW245" s="38"/>
      <c r="AX245" s="38"/>
      <c r="AY245" s="38"/>
      <c r="AZ245" s="51"/>
      <c r="BA245" s="51"/>
      <c r="BB245" s="47"/>
      <c r="BC245" s="47"/>
      <c r="BD245" s="47"/>
      <c r="BE245" s="38"/>
      <c r="BF245" s="38"/>
      <c r="BG245" s="38"/>
      <c r="BH245" s="47"/>
      <c r="BI245" s="38"/>
      <c r="BJ245" s="38"/>
      <c r="BK245" s="47"/>
      <c r="BL245" s="38"/>
      <c r="BM245" s="38"/>
      <c r="BO245" s="38"/>
      <c r="BS245" s="38"/>
      <c r="BT245" s="38"/>
      <c r="BU245" s="38"/>
      <c r="CA245" s="38"/>
      <c r="CE245" s="38"/>
      <c r="CF245" s="38"/>
      <c r="CG245" s="38"/>
      <c r="CJ245" s="38"/>
      <c r="CL245" s="38"/>
      <c r="CN245" s="38"/>
      <c r="CQ245" s="38"/>
      <c r="CR245" s="38"/>
      <c r="CU245" s="38"/>
      <c r="CV245" s="38"/>
      <c r="CX245" s="38"/>
      <c r="DA245" s="38"/>
      <c r="DB245" s="38"/>
      <c r="DE245" s="38"/>
      <c r="DI245" s="38"/>
      <c r="DL245" s="38"/>
      <c r="DO245" s="38"/>
      <c r="DS245" s="38"/>
      <c r="DV245" s="38"/>
    </row>
    <row r="246" spans="1:126" s="48" customFormat="1" x14ac:dyDescent="0.3">
      <c r="A246" s="47" t="s">
        <v>21</v>
      </c>
      <c r="B246" s="47">
        <v>1</v>
      </c>
      <c r="C246" s="41" t="s">
        <v>37</v>
      </c>
      <c r="D246" s="49">
        <v>0.88400000000000001</v>
      </c>
      <c r="E246" s="38" t="s">
        <v>101</v>
      </c>
      <c r="I246" s="38"/>
      <c r="J246" s="38"/>
      <c r="K246" s="38"/>
      <c r="P246" s="38"/>
      <c r="Q246" s="38"/>
      <c r="R246" s="38"/>
      <c r="S246" s="38"/>
      <c r="T246" s="38"/>
      <c r="V246" s="54"/>
      <c r="W246" s="54"/>
      <c r="X246" s="54"/>
      <c r="Y246" s="38"/>
      <c r="Z246" s="38"/>
      <c r="AA246" s="38"/>
      <c r="AB246" s="38"/>
      <c r="AC246" s="38"/>
      <c r="AD246" s="54"/>
      <c r="AE246" s="54"/>
      <c r="AF246" s="54"/>
      <c r="AG246" s="51"/>
      <c r="AH246" s="51"/>
      <c r="AI246" s="51"/>
      <c r="AJ246" s="38"/>
      <c r="AK246" s="38"/>
      <c r="AL246" s="38"/>
      <c r="AM246" s="51"/>
      <c r="AN246" s="55"/>
      <c r="AO246" s="55"/>
      <c r="AP246" s="38"/>
      <c r="AQ246" s="38"/>
      <c r="AR246" s="38"/>
      <c r="AS246" s="55"/>
      <c r="AT246" s="38"/>
      <c r="AU246" s="38"/>
      <c r="AV246" s="55"/>
      <c r="AW246" s="38"/>
      <c r="AX246" s="38"/>
      <c r="AY246" s="38"/>
      <c r="AZ246" s="51"/>
      <c r="BA246" s="51"/>
      <c r="BB246" s="47"/>
      <c r="BC246" s="47"/>
      <c r="BD246" s="47"/>
      <c r="BE246" s="38"/>
      <c r="BF246" s="38"/>
      <c r="BG246" s="38"/>
      <c r="BH246" s="47"/>
      <c r="BI246" s="38"/>
      <c r="BJ246" s="38"/>
      <c r="BK246" s="47"/>
      <c r="BL246" s="38"/>
      <c r="BM246" s="38"/>
      <c r="BO246" s="38"/>
      <c r="BS246" s="38"/>
      <c r="BT246" s="38"/>
      <c r="BU246" s="38"/>
      <c r="CA246" s="38"/>
      <c r="CE246" s="38"/>
      <c r="CF246" s="38"/>
      <c r="CG246" s="38"/>
      <c r="CJ246" s="38"/>
      <c r="CL246" s="38"/>
      <c r="CN246" s="38"/>
      <c r="CQ246" s="38"/>
      <c r="CR246" s="38"/>
      <c r="CU246" s="38"/>
      <c r="CV246" s="38"/>
      <c r="CX246" s="38"/>
      <c r="DA246" s="38"/>
      <c r="DB246" s="38"/>
      <c r="DE246" s="38"/>
      <c r="DI246" s="38"/>
      <c r="DL246" s="38"/>
      <c r="DO246" s="38"/>
      <c r="DS246" s="38"/>
      <c r="DV246" s="38"/>
    </row>
    <row r="247" spans="1:126" s="48" customFormat="1" x14ac:dyDescent="0.3">
      <c r="A247" s="47" t="s">
        <v>42</v>
      </c>
      <c r="B247" s="47">
        <v>1</v>
      </c>
      <c r="C247" s="41" t="s">
        <v>107</v>
      </c>
      <c r="D247" s="50">
        <v>149</v>
      </c>
      <c r="E247" s="38" t="s">
        <v>96</v>
      </c>
      <c r="F247" s="49">
        <f>D247/D201</f>
        <v>1.3303571428571428</v>
      </c>
      <c r="G247" s="38" t="s">
        <v>101</v>
      </c>
      <c r="I247" s="38"/>
      <c r="J247" s="38"/>
      <c r="K247" s="38"/>
      <c r="P247" s="38"/>
      <c r="Q247" s="38"/>
      <c r="R247" s="38"/>
      <c r="S247" s="38"/>
      <c r="T247" s="38"/>
      <c r="V247" s="54"/>
      <c r="W247" s="54"/>
      <c r="X247" s="54"/>
      <c r="Y247" s="38"/>
      <c r="Z247" s="38"/>
      <c r="AA247" s="38"/>
      <c r="AB247" s="38"/>
      <c r="AC247" s="38"/>
      <c r="AD247" s="54"/>
      <c r="AE247" s="54"/>
      <c r="AF247" s="54"/>
      <c r="AG247" s="51"/>
      <c r="AH247" s="51"/>
      <c r="AI247" s="51"/>
      <c r="AJ247" s="38"/>
      <c r="AK247" s="38"/>
      <c r="AL247" s="38"/>
      <c r="AM247" s="51"/>
      <c r="AN247" s="55"/>
      <c r="AO247" s="55"/>
      <c r="AP247" s="38"/>
      <c r="AQ247" s="38"/>
      <c r="AR247" s="38"/>
      <c r="AS247" s="55"/>
      <c r="AT247" s="38"/>
      <c r="AU247" s="38"/>
      <c r="AV247" s="55"/>
      <c r="AW247" s="38"/>
      <c r="AX247" s="38"/>
      <c r="AY247" s="38"/>
      <c r="AZ247" s="51"/>
      <c r="BA247" s="51"/>
      <c r="BB247" s="47"/>
      <c r="BC247" s="47"/>
      <c r="BD247" s="47"/>
      <c r="BE247" s="38"/>
      <c r="BF247" s="38"/>
      <c r="BG247" s="38"/>
      <c r="BH247" s="47"/>
      <c r="BI247" s="38"/>
      <c r="BJ247" s="38"/>
      <c r="BK247" s="47"/>
      <c r="BL247" s="38"/>
      <c r="BM247" s="38"/>
      <c r="BO247" s="38"/>
      <c r="BS247" s="38"/>
      <c r="BT247" s="38"/>
      <c r="BU247" s="38"/>
      <c r="CA247" s="38"/>
      <c r="CE247" s="38"/>
      <c r="CF247" s="38"/>
      <c r="CG247" s="38"/>
      <c r="CJ247" s="38"/>
      <c r="CL247" s="38"/>
      <c r="CN247" s="38"/>
      <c r="CQ247" s="38"/>
      <c r="CR247" s="38"/>
      <c r="CU247" s="38"/>
      <c r="CV247" s="38"/>
      <c r="CX247" s="38"/>
      <c r="DA247" s="38"/>
      <c r="DB247" s="38"/>
      <c r="DE247" s="38"/>
      <c r="DI247" s="38"/>
      <c r="DL247" s="38"/>
      <c r="DO247" s="38"/>
      <c r="DS247" s="38"/>
      <c r="DV247" s="38"/>
    </row>
    <row r="248" spans="1:126" s="48" customFormat="1" x14ac:dyDescent="0.3">
      <c r="A248" s="47" t="s">
        <v>43</v>
      </c>
      <c r="B248" s="47">
        <v>1</v>
      </c>
      <c r="C248" s="41" t="s">
        <v>37</v>
      </c>
      <c r="D248" s="50">
        <v>164</v>
      </c>
      <c r="E248" s="38" t="s">
        <v>96</v>
      </c>
      <c r="F248" s="49">
        <f>D248/D201</f>
        <v>1.4642857142857142</v>
      </c>
      <c r="G248" s="38" t="s">
        <v>101</v>
      </c>
      <c r="I248" s="38"/>
      <c r="J248" s="38"/>
      <c r="K248" s="38"/>
      <c r="P248" s="38"/>
      <c r="Q248" s="38"/>
      <c r="R248" s="38"/>
      <c r="S248" s="38"/>
      <c r="T248" s="38"/>
      <c r="V248" s="54"/>
      <c r="W248" s="54"/>
      <c r="X248" s="54"/>
      <c r="Y248" s="38"/>
      <c r="Z248" s="38"/>
      <c r="AA248" s="38"/>
      <c r="AB248" s="38"/>
      <c r="AC248" s="38"/>
      <c r="AD248" s="54"/>
      <c r="AE248" s="54"/>
      <c r="AF248" s="54"/>
      <c r="AG248" s="51"/>
      <c r="AH248" s="51"/>
      <c r="AI248" s="51"/>
      <c r="AJ248" s="38"/>
      <c r="AK248" s="38"/>
      <c r="AL248" s="38"/>
      <c r="AM248" s="51"/>
      <c r="AN248" s="55"/>
      <c r="AO248" s="55"/>
      <c r="AP248" s="38"/>
      <c r="AQ248" s="38"/>
      <c r="AR248" s="38"/>
      <c r="AS248" s="55"/>
      <c r="AT248" s="38"/>
      <c r="AU248" s="38"/>
      <c r="AV248" s="55"/>
      <c r="AW248" s="38"/>
      <c r="AX248" s="38"/>
      <c r="AY248" s="38"/>
      <c r="AZ248" s="51"/>
      <c r="BA248" s="51"/>
      <c r="BB248" s="47"/>
      <c r="BC248" s="47"/>
      <c r="BD248" s="47"/>
      <c r="BE248" s="38"/>
      <c r="BF248" s="38"/>
      <c r="BG248" s="38"/>
      <c r="BH248" s="47"/>
      <c r="BI248" s="38"/>
      <c r="BJ248" s="38"/>
      <c r="BK248" s="47"/>
      <c r="BL248" s="38"/>
      <c r="BM248" s="38"/>
      <c r="BO248" s="38"/>
      <c r="BS248" s="38"/>
      <c r="BT248" s="38"/>
      <c r="BU248" s="38"/>
      <c r="CA248" s="38"/>
      <c r="CE248" s="38"/>
      <c r="CF248" s="38"/>
      <c r="CG248" s="38"/>
      <c r="CJ248" s="38"/>
      <c r="CL248" s="38"/>
      <c r="CN248" s="38"/>
      <c r="CQ248" s="38"/>
      <c r="CR248" s="38"/>
      <c r="CU248" s="38"/>
      <c r="CV248" s="38"/>
      <c r="CX248" s="38"/>
      <c r="DA248" s="38"/>
      <c r="DB248" s="38"/>
      <c r="DE248" s="38"/>
      <c r="DI248" s="38"/>
      <c r="DL248" s="38"/>
      <c r="DO248" s="38"/>
      <c r="DS248" s="38"/>
      <c r="DV248" s="38"/>
    </row>
    <row r="249" spans="1:126" s="48" customFormat="1" x14ac:dyDescent="0.3">
      <c r="A249" s="154" t="s">
        <v>54</v>
      </c>
      <c r="B249" s="47">
        <v>1</v>
      </c>
      <c r="C249" s="41" t="s">
        <v>121</v>
      </c>
      <c r="D249" s="50">
        <v>2.0271699999999999</v>
      </c>
      <c r="E249" s="38" t="s">
        <v>40</v>
      </c>
      <c r="F249" s="49">
        <f>D250*D249/D201</f>
        <v>6.0815099999999997</v>
      </c>
      <c r="G249" s="38" t="s">
        <v>101</v>
      </c>
      <c r="I249" s="38"/>
      <c r="J249" s="38"/>
      <c r="K249" s="38"/>
      <c r="P249" s="38"/>
      <c r="Q249" s="38"/>
      <c r="R249" s="38"/>
      <c r="S249" s="38"/>
      <c r="T249" s="38"/>
      <c r="V249" s="54"/>
      <c r="W249" s="54"/>
      <c r="X249" s="54"/>
      <c r="Y249" s="38"/>
      <c r="Z249" s="38"/>
      <c r="AA249" s="38"/>
      <c r="AB249" s="38"/>
      <c r="AC249" s="38"/>
      <c r="AD249" s="54"/>
      <c r="AE249" s="54"/>
      <c r="AF249" s="54"/>
      <c r="AG249" s="51"/>
      <c r="AH249" s="51"/>
      <c r="AI249" s="51"/>
      <c r="AJ249" s="38"/>
      <c r="AK249" s="38"/>
      <c r="AL249" s="38"/>
      <c r="AM249" s="51"/>
      <c r="AN249" s="55"/>
      <c r="AO249" s="55"/>
      <c r="AP249" s="38"/>
      <c r="AQ249" s="38"/>
      <c r="AR249" s="38"/>
      <c r="AS249" s="55"/>
      <c r="AT249" s="38"/>
      <c r="AU249" s="38"/>
      <c r="AV249" s="55"/>
      <c r="AW249" s="38"/>
      <c r="AX249" s="38"/>
      <c r="AY249" s="38"/>
      <c r="AZ249" s="51"/>
      <c r="BA249" s="51"/>
      <c r="BB249" s="47"/>
      <c r="BC249" s="47"/>
      <c r="BD249" s="47"/>
      <c r="BE249" s="38"/>
      <c r="BF249" s="38"/>
      <c r="BG249" s="38"/>
      <c r="BH249" s="47"/>
      <c r="BI249" s="38"/>
      <c r="BJ249" s="38"/>
      <c r="BK249" s="47"/>
      <c r="BL249" s="38"/>
      <c r="BM249" s="38"/>
      <c r="BO249" s="38"/>
      <c r="BS249" s="38"/>
      <c r="BT249" s="38"/>
      <c r="BU249" s="38"/>
      <c r="CA249" s="38"/>
      <c r="CE249" s="38"/>
      <c r="CF249" s="38"/>
      <c r="CG249" s="38"/>
      <c r="CJ249" s="38"/>
      <c r="CL249" s="38"/>
      <c r="CN249" s="38"/>
      <c r="CQ249" s="38"/>
      <c r="CR249" s="38"/>
      <c r="CU249" s="38"/>
      <c r="CV249" s="38"/>
      <c r="CX249" s="38"/>
      <c r="DA249" s="38"/>
      <c r="DB249" s="38"/>
      <c r="DE249" s="38"/>
      <c r="DI249" s="38"/>
      <c r="DL249" s="38"/>
      <c r="DO249" s="38"/>
      <c r="DS249" s="38"/>
      <c r="DV249" s="38"/>
    </row>
    <row r="250" spans="1:126" s="48" customFormat="1" x14ac:dyDescent="0.3">
      <c r="A250" s="154"/>
      <c r="B250" s="47">
        <v>1</v>
      </c>
      <c r="C250" s="41" t="s">
        <v>40</v>
      </c>
      <c r="D250" s="50">
        <v>336</v>
      </c>
      <c r="E250" s="38" t="s">
        <v>96</v>
      </c>
      <c r="F250" s="49">
        <f>D250/D201</f>
        <v>3</v>
      </c>
      <c r="G250" s="38" t="s">
        <v>101</v>
      </c>
      <c r="H250" s="49">
        <f>F250/D193</f>
        <v>0.15</v>
      </c>
      <c r="I250" s="38" t="s">
        <v>28</v>
      </c>
      <c r="J250" s="38"/>
      <c r="K250" s="38"/>
      <c r="P250" s="38"/>
      <c r="Q250" s="38"/>
      <c r="R250" s="38"/>
      <c r="S250" s="38"/>
      <c r="T250" s="38"/>
      <c r="V250" s="54"/>
      <c r="W250" s="54"/>
      <c r="X250" s="54"/>
      <c r="Y250" s="38"/>
      <c r="Z250" s="38"/>
      <c r="AA250" s="38"/>
      <c r="AB250" s="38"/>
      <c r="AC250" s="38"/>
      <c r="AD250" s="54"/>
      <c r="AE250" s="54"/>
      <c r="AF250" s="54"/>
      <c r="AG250" s="51"/>
      <c r="AH250" s="51"/>
      <c r="AI250" s="51"/>
      <c r="AJ250" s="38"/>
      <c r="AK250" s="38"/>
      <c r="AL250" s="38"/>
      <c r="AM250" s="51"/>
      <c r="AN250" s="55"/>
      <c r="AO250" s="55"/>
      <c r="AP250" s="38"/>
      <c r="AQ250" s="38"/>
      <c r="AR250" s="38"/>
      <c r="AS250" s="55"/>
      <c r="AT250" s="38"/>
      <c r="AU250" s="38"/>
      <c r="AV250" s="55"/>
      <c r="AW250" s="38"/>
      <c r="AX250" s="38"/>
      <c r="AY250" s="38"/>
      <c r="AZ250" s="51"/>
      <c r="BA250" s="51"/>
      <c r="BB250" s="47"/>
      <c r="BC250" s="47"/>
      <c r="BD250" s="47"/>
      <c r="BE250" s="38"/>
      <c r="BF250" s="38"/>
      <c r="BG250" s="38"/>
      <c r="BH250" s="47"/>
      <c r="BI250" s="38"/>
      <c r="BJ250" s="38"/>
      <c r="BK250" s="47"/>
      <c r="BL250" s="38"/>
      <c r="BM250" s="38"/>
      <c r="BO250" s="38"/>
      <c r="BS250" s="38"/>
      <c r="BT250" s="38"/>
      <c r="BU250" s="38"/>
      <c r="CA250" s="38"/>
      <c r="CE250" s="38"/>
      <c r="CF250" s="38"/>
      <c r="CG250" s="38"/>
      <c r="CJ250" s="38"/>
      <c r="CL250" s="38"/>
      <c r="CN250" s="38"/>
      <c r="CQ250" s="38"/>
      <c r="CR250" s="38"/>
      <c r="CU250" s="38"/>
      <c r="CV250" s="38"/>
      <c r="CX250" s="38"/>
      <c r="DA250" s="38"/>
      <c r="DB250" s="38"/>
      <c r="DE250" s="38"/>
      <c r="DI250" s="38"/>
      <c r="DL250" s="38"/>
      <c r="DO250" s="38"/>
      <c r="DS250" s="38"/>
      <c r="DV250" s="38"/>
    </row>
    <row r="251" spans="1:126" s="48" customFormat="1" x14ac:dyDescent="0.3">
      <c r="A251" s="57" t="s">
        <v>122</v>
      </c>
      <c r="B251" s="47">
        <v>1</v>
      </c>
      <c r="C251" s="41" t="s">
        <v>37</v>
      </c>
      <c r="D251" s="50">
        <v>746.66700000000003</v>
      </c>
      <c r="E251" s="38" t="s">
        <v>96</v>
      </c>
      <c r="F251" s="49">
        <f>D251/D201</f>
        <v>6.6666696428571433</v>
      </c>
      <c r="G251" s="38" t="s">
        <v>101</v>
      </c>
      <c r="H251" s="49">
        <f>F251/D193</f>
        <v>0.33333348214285718</v>
      </c>
      <c r="I251" s="38" t="s">
        <v>28</v>
      </c>
      <c r="J251" s="38"/>
      <c r="K251" s="38"/>
      <c r="P251" s="38"/>
      <c r="Q251" s="38"/>
      <c r="R251" s="38"/>
      <c r="S251" s="38"/>
      <c r="T251" s="38"/>
      <c r="V251" s="54"/>
      <c r="W251" s="54"/>
      <c r="X251" s="54"/>
      <c r="Y251" s="38"/>
      <c r="Z251" s="38"/>
      <c r="AA251" s="38"/>
      <c r="AB251" s="38"/>
      <c r="AC251" s="38"/>
      <c r="AD251" s="54"/>
      <c r="AE251" s="54"/>
      <c r="AF251" s="54"/>
      <c r="AG251" s="51"/>
      <c r="AH251" s="51"/>
      <c r="AI251" s="51"/>
      <c r="AJ251" s="38"/>
      <c r="AK251" s="38"/>
      <c r="AL251" s="38"/>
      <c r="AM251" s="51"/>
      <c r="AN251" s="55"/>
      <c r="AO251" s="55"/>
      <c r="AP251" s="38"/>
      <c r="AQ251" s="38"/>
      <c r="AR251" s="38"/>
      <c r="AS251" s="55"/>
      <c r="AT251" s="38"/>
      <c r="AU251" s="38"/>
      <c r="AV251" s="55"/>
      <c r="AW251" s="38"/>
      <c r="AX251" s="38"/>
      <c r="AY251" s="38"/>
      <c r="AZ251" s="51"/>
      <c r="BA251" s="51"/>
      <c r="BB251" s="47"/>
      <c r="BC251" s="47"/>
      <c r="BD251" s="47"/>
      <c r="BE251" s="38"/>
      <c r="BF251" s="38"/>
      <c r="BG251" s="38"/>
      <c r="BH251" s="47"/>
      <c r="BI251" s="38"/>
      <c r="BJ251" s="38"/>
      <c r="BK251" s="47"/>
      <c r="BL251" s="38"/>
      <c r="BM251" s="38"/>
      <c r="BO251" s="38"/>
      <c r="BS251" s="38"/>
      <c r="BT251" s="38"/>
      <c r="BU251" s="38"/>
      <c r="CA251" s="38"/>
      <c r="CE251" s="38"/>
      <c r="CF251" s="38"/>
      <c r="CG251" s="38"/>
      <c r="CJ251" s="38"/>
      <c r="CL251" s="38"/>
      <c r="CN251" s="38"/>
      <c r="CQ251" s="38"/>
      <c r="CR251" s="38"/>
      <c r="CU251" s="38"/>
      <c r="CV251" s="38"/>
      <c r="CX251" s="38"/>
      <c r="DA251" s="38"/>
      <c r="DB251" s="38"/>
      <c r="DE251" s="38"/>
      <c r="DI251" s="38"/>
      <c r="DL251" s="38"/>
      <c r="DO251" s="38"/>
      <c r="DS251" s="38"/>
      <c r="DV251" s="38"/>
    </row>
    <row r="252" spans="1:126" s="48" customFormat="1" x14ac:dyDescent="0.3">
      <c r="A252" s="154" t="s">
        <v>6</v>
      </c>
      <c r="B252" s="47">
        <v>1</v>
      </c>
      <c r="C252" s="41" t="s">
        <v>119</v>
      </c>
      <c r="D252" s="50">
        <v>260</v>
      </c>
      <c r="E252" s="38" t="s">
        <v>96</v>
      </c>
      <c r="F252" s="49">
        <f>D252/D201</f>
        <v>2.3214285714285716</v>
      </c>
      <c r="G252" s="38" t="s">
        <v>101</v>
      </c>
      <c r="I252" s="38"/>
      <c r="J252" s="38"/>
      <c r="K252" s="38"/>
      <c r="P252" s="38"/>
      <c r="Q252" s="38"/>
      <c r="R252" s="38"/>
      <c r="S252" s="38"/>
      <c r="T252" s="38"/>
      <c r="Y252" s="38"/>
      <c r="Z252" s="38"/>
      <c r="AA252" s="38"/>
      <c r="AB252" s="38"/>
      <c r="AC252" s="38"/>
      <c r="AG252" s="51"/>
      <c r="AH252" s="51"/>
      <c r="AI252" s="51"/>
      <c r="AJ252" s="38"/>
      <c r="AK252" s="38"/>
      <c r="AL252" s="38"/>
      <c r="AM252" s="51"/>
      <c r="AN252" s="47"/>
      <c r="AO252" s="47"/>
      <c r="AP252" s="38"/>
      <c r="AQ252" s="38"/>
      <c r="AR252" s="38"/>
      <c r="AS252" s="47"/>
      <c r="AT252" s="38"/>
      <c r="AU252" s="38"/>
      <c r="AV252" s="47"/>
      <c r="AW252" s="38"/>
      <c r="AX252" s="38"/>
      <c r="AY252" s="38"/>
      <c r="AZ252" s="51"/>
      <c r="BA252" s="51"/>
      <c r="BB252" s="47"/>
      <c r="BC252" s="47"/>
      <c r="BD252" s="47"/>
      <c r="BE252" s="38"/>
      <c r="BF252" s="38"/>
      <c r="BG252" s="38"/>
      <c r="BH252" s="47"/>
      <c r="BI252" s="38"/>
      <c r="BJ252" s="38"/>
      <c r="BK252" s="47"/>
      <c r="BL252" s="38"/>
      <c r="BM252" s="38"/>
      <c r="BO252" s="38"/>
      <c r="BS252" s="38"/>
      <c r="BT252" s="38"/>
      <c r="BU252" s="38"/>
      <c r="CA252" s="38"/>
      <c r="CE252" s="38"/>
      <c r="CF252" s="38"/>
      <c r="CG252" s="38"/>
      <c r="CJ252" s="38"/>
      <c r="CL252" s="38"/>
      <c r="CN252" s="38"/>
      <c r="CQ252" s="38"/>
      <c r="CR252" s="38"/>
      <c r="CU252" s="38"/>
      <c r="CV252" s="38"/>
      <c r="CX252" s="38"/>
      <c r="DA252" s="38"/>
      <c r="DB252" s="38"/>
      <c r="DE252" s="38"/>
      <c r="DI252" s="38"/>
      <c r="DL252" s="38"/>
      <c r="DO252" s="38"/>
      <c r="DS252" s="38"/>
      <c r="DV252" s="38"/>
    </row>
    <row r="253" spans="1:126" s="48" customFormat="1" x14ac:dyDescent="0.3">
      <c r="A253" s="154"/>
      <c r="B253" s="47">
        <v>1</v>
      </c>
      <c r="C253" s="41" t="s">
        <v>37</v>
      </c>
      <c r="D253" s="50">
        <v>1.5662799999999999</v>
      </c>
      <c r="E253" s="38" t="s">
        <v>101</v>
      </c>
      <c r="F253" s="49">
        <f>D253/D193</f>
        <v>7.8313999999999995E-2</v>
      </c>
      <c r="G253" s="38" t="s">
        <v>28</v>
      </c>
      <c r="I253" s="38"/>
      <c r="J253" s="38"/>
      <c r="K253" s="38"/>
      <c r="P253" s="38"/>
      <c r="Q253" s="38"/>
      <c r="R253" s="38"/>
      <c r="S253" s="38"/>
      <c r="T253" s="38"/>
      <c r="Y253" s="38"/>
      <c r="Z253" s="38"/>
      <c r="AA253" s="38"/>
      <c r="AB253" s="38"/>
      <c r="AC253" s="38"/>
      <c r="AG253" s="51"/>
      <c r="AH253" s="51"/>
      <c r="AI253" s="51"/>
      <c r="AJ253" s="38"/>
      <c r="AK253" s="38"/>
      <c r="AL253" s="38"/>
      <c r="AM253" s="51"/>
      <c r="AN253" s="47"/>
      <c r="AO253" s="47"/>
      <c r="AP253" s="38"/>
      <c r="AQ253" s="38"/>
      <c r="AR253" s="38"/>
      <c r="AS253" s="47"/>
      <c r="AT253" s="38"/>
      <c r="AU253" s="38"/>
      <c r="AV253" s="47"/>
      <c r="AW253" s="38"/>
      <c r="AX253" s="38"/>
      <c r="AY253" s="38"/>
      <c r="AZ253" s="51"/>
      <c r="BA253" s="51"/>
      <c r="BB253" s="47"/>
      <c r="BC253" s="47"/>
      <c r="BD253" s="47"/>
      <c r="BE253" s="38"/>
      <c r="BF253" s="38"/>
      <c r="BG253" s="38"/>
      <c r="BH253" s="47"/>
      <c r="BI253" s="38"/>
      <c r="BJ253" s="38"/>
      <c r="BK253" s="47"/>
      <c r="BL253" s="38"/>
      <c r="BM253" s="38"/>
      <c r="BO253" s="38"/>
      <c r="BS253" s="38"/>
      <c r="BT253" s="38"/>
      <c r="BU253" s="38"/>
      <c r="CA253" s="38"/>
      <c r="CE253" s="38"/>
      <c r="CF253" s="38"/>
      <c r="CG253" s="38"/>
      <c r="CJ253" s="38"/>
      <c r="CL253" s="38"/>
      <c r="CN253" s="38"/>
      <c r="CQ253" s="38"/>
      <c r="CR253" s="38"/>
      <c r="CU253" s="38"/>
      <c r="CV253" s="38"/>
      <c r="CX253" s="38"/>
      <c r="DA253" s="38"/>
      <c r="DB253" s="38"/>
      <c r="DE253" s="38"/>
      <c r="DI253" s="38"/>
      <c r="DL253" s="38"/>
      <c r="DO253" s="38"/>
      <c r="DS253" s="38"/>
      <c r="DV253" s="38"/>
    </row>
    <row r="254" spans="1:126" s="48" customFormat="1" x14ac:dyDescent="0.3">
      <c r="A254" s="154"/>
      <c r="B254" s="47">
        <v>1</v>
      </c>
      <c r="C254" s="41" t="s">
        <v>23</v>
      </c>
      <c r="D254" s="50">
        <v>560</v>
      </c>
      <c r="E254" s="38" t="s">
        <v>96</v>
      </c>
      <c r="F254" s="49">
        <f>D254/D201</f>
        <v>5</v>
      </c>
      <c r="G254" s="38" t="s">
        <v>101</v>
      </c>
      <c r="H254" s="51"/>
      <c r="I254" s="38"/>
      <c r="J254" s="38"/>
      <c r="K254" s="38"/>
      <c r="M254" s="51"/>
      <c r="N254" s="51"/>
      <c r="O254" s="51"/>
      <c r="P254" s="38"/>
      <c r="Q254" s="38"/>
      <c r="R254" s="38"/>
      <c r="S254" s="38"/>
      <c r="T254" s="38"/>
      <c r="Y254" s="38"/>
      <c r="Z254" s="38"/>
      <c r="AA254" s="38"/>
      <c r="AB254" s="38"/>
      <c r="AC254" s="38"/>
      <c r="AJ254" s="38"/>
      <c r="AK254" s="38"/>
      <c r="AL254" s="38"/>
      <c r="AP254" s="38"/>
      <c r="AQ254" s="38"/>
      <c r="AR254" s="38"/>
      <c r="AS254" s="47"/>
      <c r="AT254" s="38"/>
      <c r="AU254" s="38"/>
      <c r="AW254" s="38"/>
      <c r="AX254" s="38"/>
      <c r="AY254" s="38"/>
      <c r="BB254" s="51"/>
      <c r="BC254" s="51"/>
      <c r="BD254" s="51"/>
      <c r="BE254" s="38"/>
      <c r="BF254" s="38"/>
      <c r="BG254" s="38"/>
      <c r="BI254" s="38"/>
      <c r="BJ254" s="38"/>
      <c r="BL254" s="38"/>
      <c r="BM254" s="38"/>
      <c r="BO254" s="38"/>
      <c r="BS254" s="38"/>
      <c r="BT254" s="38"/>
      <c r="BU254" s="38"/>
      <c r="CA254" s="38"/>
      <c r="CE254" s="38"/>
      <c r="CF254" s="38"/>
      <c r="CG254" s="38"/>
      <c r="CI254" s="51"/>
      <c r="CJ254" s="38"/>
      <c r="CL254" s="38"/>
      <c r="CN254" s="38"/>
      <c r="CQ254" s="38"/>
      <c r="CR254" s="38"/>
      <c r="CU254" s="38"/>
      <c r="CV254" s="38"/>
      <c r="CX254" s="38"/>
      <c r="DA254" s="38"/>
      <c r="DB254" s="38"/>
      <c r="DE254" s="38"/>
      <c r="DI254" s="38"/>
      <c r="DL254" s="38"/>
      <c r="DO254" s="38"/>
      <c r="DS254" s="38"/>
      <c r="DV254" s="38"/>
    </row>
    <row r="255" spans="1:126" s="47" customFormat="1" x14ac:dyDescent="0.3">
      <c r="A255" s="154" t="s">
        <v>82</v>
      </c>
      <c r="B255" s="47">
        <v>1</v>
      </c>
      <c r="C255" s="38" t="s">
        <v>40</v>
      </c>
      <c r="D255" s="58">
        <v>80</v>
      </c>
      <c r="E255" s="38" t="s">
        <v>96</v>
      </c>
      <c r="F255" s="59">
        <f>D255/D256</f>
        <v>0.7142857142857143</v>
      </c>
      <c r="G255" s="38" t="s">
        <v>101</v>
      </c>
      <c r="H255" s="58"/>
      <c r="I255" s="38"/>
      <c r="J255" s="38"/>
      <c r="K255" s="38"/>
      <c r="L255" s="58"/>
      <c r="M255" s="58"/>
      <c r="N255" s="58"/>
      <c r="O255" s="58"/>
      <c r="P255" s="38"/>
      <c r="Q255" s="38"/>
      <c r="R255" s="38"/>
      <c r="S255" s="38"/>
      <c r="T255" s="38"/>
      <c r="U255" s="58"/>
      <c r="V255" s="58"/>
      <c r="W255" s="58"/>
      <c r="Y255" s="38"/>
      <c r="Z255" s="38"/>
      <c r="AA255" s="38"/>
      <c r="AB255" s="38"/>
      <c r="AC255" s="38"/>
      <c r="AJ255" s="38"/>
      <c r="AK255" s="38"/>
      <c r="AL255" s="38"/>
      <c r="AP255" s="38"/>
      <c r="AQ255" s="38"/>
      <c r="AR255" s="38"/>
      <c r="AT255" s="38"/>
      <c r="AU255" s="38"/>
      <c r="AW255" s="38"/>
      <c r="AX255" s="38"/>
      <c r="AY255" s="38"/>
      <c r="BE255" s="38"/>
      <c r="BF255" s="38"/>
      <c r="BG255" s="38"/>
      <c r="BI255" s="38"/>
      <c r="BJ255" s="38"/>
      <c r="BL255" s="38"/>
      <c r="BM255" s="38"/>
      <c r="BO255" s="38"/>
      <c r="BS255" s="38"/>
      <c r="BT255" s="38"/>
      <c r="BU255" s="38"/>
      <c r="CA255" s="38"/>
      <c r="CE255" s="38"/>
      <c r="CF255" s="38"/>
      <c r="CG255" s="38"/>
      <c r="CJ255" s="38"/>
      <c r="CL255" s="38"/>
      <c r="CN255" s="38"/>
      <c r="CQ255" s="38"/>
      <c r="CR255" s="38"/>
      <c r="CU255" s="38"/>
      <c r="CV255" s="38"/>
      <c r="CX255" s="38"/>
      <c r="DA255" s="38"/>
      <c r="DB255" s="38"/>
      <c r="DE255" s="38"/>
      <c r="DI255" s="38"/>
      <c r="DL255" s="38"/>
      <c r="DO255" s="38"/>
      <c r="DS255" s="38"/>
      <c r="DV255" s="38"/>
    </row>
    <row r="256" spans="1:126" s="47" customFormat="1" x14ac:dyDescent="0.3">
      <c r="A256" s="154"/>
      <c r="B256" s="47">
        <v>1</v>
      </c>
      <c r="C256" s="38" t="s">
        <v>101</v>
      </c>
      <c r="D256" s="58">
        <v>112</v>
      </c>
      <c r="E256" s="38" t="s">
        <v>96</v>
      </c>
      <c r="F256" s="58"/>
      <c r="G256" s="58"/>
      <c r="H256" s="58"/>
      <c r="I256" s="38"/>
      <c r="J256" s="38"/>
      <c r="K256" s="38"/>
      <c r="L256" s="58"/>
      <c r="M256" s="58"/>
      <c r="N256" s="58"/>
      <c r="O256" s="58"/>
      <c r="P256" s="38"/>
      <c r="Q256" s="38"/>
      <c r="R256" s="38"/>
      <c r="S256" s="38"/>
      <c r="T256" s="38"/>
      <c r="U256" s="58"/>
      <c r="V256" s="58"/>
      <c r="W256" s="58"/>
      <c r="Y256" s="38"/>
      <c r="Z256" s="38"/>
      <c r="AA256" s="38"/>
      <c r="AB256" s="38"/>
      <c r="AC256" s="38"/>
      <c r="AJ256" s="38"/>
      <c r="AK256" s="38"/>
      <c r="AL256" s="38"/>
      <c r="AP256" s="38"/>
      <c r="AQ256" s="38"/>
      <c r="AR256" s="38"/>
      <c r="AT256" s="38"/>
      <c r="AU256" s="38"/>
      <c r="AW256" s="38"/>
      <c r="AX256" s="38"/>
      <c r="AY256" s="38"/>
      <c r="BE256" s="38"/>
      <c r="BF256" s="38"/>
      <c r="BG256" s="38"/>
      <c r="BI256" s="38"/>
      <c r="BJ256" s="38"/>
      <c r="BL256" s="38"/>
      <c r="BM256" s="38"/>
      <c r="BO256" s="38"/>
      <c r="BS256" s="38"/>
      <c r="BT256" s="38"/>
      <c r="BU256" s="38"/>
      <c r="CA256" s="38"/>
      <c r="CE256" s="38"/>
      <c r="CF256" s="38"/>
      <c r="CG256" s="38"/>
      <c r="CJ256" s="38"/>
      <c r="CL256" s="38"/>
      <c r="CN256" s="38"/>
      <c r="CQ256" s="38"/>
      <c r="CR256" s="38"/>
      <c r="CU256" s="38"/>
      <c r="CV256" s="38"/>
      <c r="CX256" s="38"/>
      <c r="DA256" s="38"/>
      <c r="DB256" s="38"/>
      <c r="DE256" s="38"/>
      <c r="DI256" s="38"/>
      <c r="DL256" s="38"/>
      <c r="DO256" s="38"/>
      <c r="DS256" s="38"/>
      <c r="DV256" s="38"/>
    </row>
    <row r="257" spans="1:126" s="47" customFormat="1" x14ac:dyDescent="0.3">
      <c r="A257" s="57" t="s">
        <v>123</v>
      </c>
      <c r="B257" s="47">
        <v>1</v>
      </c>
      <c r="C257" s="41" t="s">
        <v>40</v>
      </c>
      <c r="D257" s="50">
        <v>336</v>
      </c>
      <c r="E257" s="38" t="s">
        <v>96</v>
      </c>
      <c r="F257" s="49">
        <f>D257/D256</f>
        <v>3</v>
      </c>
      <c r="G257" s="38" t="s">
        <v>101</v>
      </c>
      <c r="H257" s="58"/>
      <c r="I257" s="38"/>
      <c r="J257" s="38"/>
      <c r="K257" s="38"/>
      <c r="L257" s="58"/>
      <c r="M257" s="58"/>
      <c r="N257" s="58"/>
      <c r="O257" s="58"/>
      <c r="P257" s="38"/>
      <c r="Q257" s="38"/>
      <c r="R257" s="38"/>
      <c r="S257" s="38"/>
      <c r="T257" s="38"/>
      <c r="U257" s="58"/>
      <c r="V257" s="58"/>
      <c r="W257" s="58"/>
      <c r="Y257" s="38"/>
      <c r="Z257" s="38"/>
      <c r="AA257" s="38"/>
      <c r="AB257" s="38"/>
      <c r="AC257" s="38"/>
      <c r="AJ257" s="38"/>
      <c r="AK257" s="38"/>
      <c r="AL257" s="38"/>
      <c r="AP257" s="38"/>
      <c r="AQ257" s="38"/>
      <c r="AR257" s="38"/>
      <c r="AT257" s="38"/>
      <c r="AU257" s="38"/>
      <c r="AW257" s="38"/>
      <c r="AX257" s="38"/>
      <c r="AY257" s="38"/>
      <c r="BE257" s="38"/>
      <c r="BF257" s="38"/>
      <c r="BG257" s="38"/>
      <c r="BI257" s="38"/>
      <c r="BJ257" s="38"/>
      <c r="BL257" s="38"/>
      <c r="BM257" s="38"/>
      <c r="BO257" s="38"/>
      <c r="BS257" s="38"/>
      <c r="BT257" s="38"/>
      <c r="BU257" s="38"/>
      <c r="CA257" s="38"/>
      <c r="CE257" s="38"/>
      <c r="CF257" s="38"/>
      <c r="CG257" s="38"/>
      <c r="CJ257" s="38"/>
      <c r="CL257" s="38"/>
      <c r="CN257" s="38"/>
      <c r="CQ257" s="38"/>
      <c r="CR257" s="38"/>
      <c r="CU257" s="38"/>
      <c r="CV257" s="38"/>
      <c r="CX257" s="38"/>
      <c r="DA257" s="38"/>
      <c r="DB257" s="38"/>
      <c r="DE257" s="38"/>
      <c r="DI257" s="38"/>
      <c r="DL257" s="38"/>
      <c r="DO257" s="38"/>
      <c r="DS257" s="38"/>
      <c r="DV257" s="38"/>
    </row>
    <row r="258" spans="1:126" s="47" customFormat="1" x14ac:dyDescent="0.3">
      <c r="A258" s="47" t="s">
        <v>124</v>
      </c>
      <c r="B258" s="47">
        <v>1</v>
      </c>
      <c r="C258" s="41" t="s">
        <v>125</v>
      </c>
      <c r="D258" s="50">
        <v>9</v>
      </c>
      <c r="E258" s="38" t="s">
        <v>15</v>
      </c>
      <c r="F258" s="58"/>
      <c r="G258" s="58"/>
      <c r="H258" s="58"/>
      <c r="I258" s="38"/>
      <c r="J258" s="38"/>
      <c r="K258" s="38"/>
      <c r="L258" s="58"/>
      <c r="M258" s="58"/>
      <c r="N258" s="58"/>
      <c r="O258" s="58"/>
      <c r="P258" s="38"/>
      <c r="Q258" s="38"/>
      <c r="R258" s="38"/>
      <c r="S258" s="38"/>
      <c r="T258" s="38"/>
      <c r="U258" s="58"/>
      <c r="V258" s="58"/>
      <c r="W258" s="58"/>
      <c r="Y258" s="38"/>
      <c r="Z258" s="38"/>
      <c r="AA258" s="38"/>
      <c r="AB258" s="38"/>
      <c r="AC258" s="38"/>
      <c r="AJ258" s="38"/>
      <c r="AK258" s="38"/>
      <c r="AL258" s="38"/>
      <c r="AP258" s="38"/>
      <c r="AQ258" s="38"/>
      <c r="AR258" s="38"/>
      <c r="AT258" s="38"/>
      <c r="AU258" s="38"/>
      <c r="AW258" s="38"/>
      <c r="AX258" s="38"/>
      <c r="AY258" s="38"/>
      <c r="BE258" s="38"/>
      <c r="BF258" s="38"/>
      <c r="BG258" s="38"/>
      <c r="BI258" s="38"/>
      <c r="BJ258" s="38"/>
      <c r="BL258" s="38"/>
      <c r="BM258" s="38"/>
      <c r="BO258" s="38"/>
      <c r="BS258" s="38"/>
      <c r="BT258" s="38"/>
      <c r="BU258" s="38"/>
      <c r="CA258" s="38"/>
      <c r="CE258" s="38"/>
      <c r="CF258" s="38"/>
      <c r="CG258" s="38"/>
      <c r="CJ258" s="38"/>
      <c r="CL258" s="38"/>
      <c r="CN258" s="38"/>
      <c r="CQ258" s="38"/>
      <c r="CR258" s="38"/>
      <c r="CU258" s="38"/>
      <c r="CV258" s="38"/>
      <c r="CX258" s="38"/>
      <c r="DA258" s="38"/>
      <c r="DB258" s="38"/>
      <c r="DE258" s="38"/>
      <c r="DI258" s="38"/>
      <c r="DL258" s="38"/>
      <c r="DO258" s="38"/>
      <c r="DS258" s="38"/>
      <c r="DV258" s="38"/>
    </row>
    <row r="259" spans="1:126" s="47" customFormat="1" x14ac:dyDescent="0.3">
      <c r="A259" s="47" t="s">
        <v>83</v>
      </c>
      <c r="B259" s="47">
        <v>1</v>
      </c>
      <c r="C259" s="41" t="s">
        <v>37</v>
      </c>
      <c r="D259" s="50">
        <f>756/3720</f>
        <v>0.20322580645161289</v>
      </c>
      <c r="E259" s="38" t="s">
        <v>101</v>
      </c>
      <c r="F259" s="59">
        <f>D259/D193</f>
        <v>1.0161290322580644E-2</v>
      </c>
      <c r="G259" s="44" t="s">
        <v>28</v>
      </c>
      <c r="H259" s="58"/>
      <c r="I259" s="38"/>
      <c r="J259" s="38"/>
      <c r="K259" s="38"/>
      <c r="L259" s="58"/>
      <c r="M259" s="58"/>
      <c r="N259" s="58"/>
      <c r="O259" s="58"/>
      <c r="P259" s="38"/>
      <c r="Q259" s="38"/>
      <c r="R259" s="38"/>
      <c r="S259" s="38"/>
      <c r="T259" s="38"/>
      <c r="U259" s="58"/>
      <c r="V259" s="58"/>
      <c r="W259" s="58"/>
      <c r="Y259" s="38"/>
      <c r="Z259" s="38"/>
      <c r="AA259" s="38"/>
      <c r="AB259" s="38"/>
      <c r="AC259" s="38"/>
      <c r="AJ259" s="38"/>
      <c r="AK259" s="38"/>
      <c r="AL259" s="38"/>
      <c r="AP259" s="38"/>
      <c r="AQ259" s="38"/>
      <c r="AR259" s="38"/>
      <c r="AT259" s="38"/>
      <c r="AU259" s="38"/>
      <c r="AW259" s="38"/>
      <c r="AX259" s="38"/>
      <c r="AY259" s="38"/>
      <c r="BE259" s="38"/>
      <c r="BF259" s="38"/>
      <c r="BG259" s="38"/>
      <c r="BI259" s="38"/>
      <c r="BJ259" s="38"/>
      <c r="BL259" s="38"/>
      <c r="BM259" s="38"/>
      <c r="BO259" s="38"/>
      <c r="BS259" s="38"/>
      <c r="BT259" s="38"/>
      <c r="BU259" s="38"/>
      <c r="CA259" s="38"/>
      <c r="CE259" s="38"/>
      <c r="CF259" s="38"/>
      <c r="CG259" s="38"/>
      <c r="CJ259" s="38"/>
      <c r="CL259" s="38"/>
      <c r="CN259" s="38"/>
      <c r="CQ259" s="38"/>
      <c r="CR259" s="38"/>
      <c r="CU259" s="38"/>
      <c r="CV259" s="38"/>
      <c r="CX259" s="38"/>
      <c r="DA259" s="38"/>
      <c r="DB259" s="38"/>
      <c r="DE259" s="38"/>
      <c r="DI259" s="38"/>
      <c r="DL259" s="38"/>
      <c r="DO259" s="38"/>
      <c r="DS259" s="38"/>
      <c r="DV259" s="38"/>
    </row>
    <row r="260" spans="1:126" s="47" customFormat="1" x14ac:dyDescent="0.3">
      <c r="A260" s="47" t="s">
        <v>10</v>
      </c>
      <c r="B260" s="47">
        <v>1</v>
      </c>
      <c r="C260" s="41" t="s">
        <v>107</v>
      </c>
      <c r="D260" s="50">
        <f>600/400</f>
        <v>1.5</v>
      </c>
      <c r="E260" s="38" t="s">
        <v>101</v>
      </c>
      <c r="F260" s="58"/>
      <c r="G260" s="58"/>
      <c r="H260" s="58"/>
      <c r="I260" s="38"/>
      <c r="J260" s="38"/>
      <c r="K260" s="38"/>
      <c r="L260" s="58"/>
      <c r="M260" s="58"/>
      <c r="N260" s="58"/>
      <c r="O260" s="58"/>
      <c r="P260" s="38"/>
      <c r="Q260" s="38"/>
      <c r="R260" s="38"/>
      <c r="S260" s="38"/>
      <c r="T260" s="38"/>
      <c r="U260" s="58"/>
      <c r="V260" s="58"/>
      <c r="W260" s="58"/>
      <c r="Y260" s="38"/>
      <c r="Z260" s="38"/>
      <c r="AA260" s="38"/>
      <c r="AB260" s="38"/>
      <c r="AC260" s="38"/>
      <c r="AJ260" s="38"/>
      <c r="AK260" s="38"/>
      <c r="AL260" s="38"/>
      <c r="AP260" s="38"/>
      <c r="AQ260" s="38"/>
      <c r="AR260" s="38"/>
      <c r="AT260" s="38"/>
      <c r="AU260" s="38"/>
      <c r="AW260" s="38"/>
      <c r="AX260" s="38"/>
      <c r="AY260" s="38"/>
      <c r="BE260" s="38"/>
      <c r="BF260" s="38"/>
      <c r="BG260" s="38"/>
      <c r="BI260" s="38"/>
      <c r="BJ260" s="38"/>
      <c r="BL260" s="38"/>
      <c r="BM260" s="38"/>
      <c r="BO260" s="38"/>
      <c r="BS260" s="38"/>
      <c r="BT260" s="38"/>
      <c r="BU260" s="38"/>
      <c r="CA260" s="38"/>
      <c r="CE260" s="38"/>
      <c r="CF260" s="38"/>
      <c r="CG260" s="38"/>
      <c r="CJ260" s="38"/>
      <c r="CL260" s="38"/>
      <c r="CN260" s="38"/>
      <c r="CQ260" s="38"/>
      <c r="CR260" s="38"/>
      <c r="CU260" s="38"/>
      <c r="CV260" s="38"/>
      <c r="CX260" s="38"/>
      <c r="DA260" s="38"/>
      <c r="DB260" s="38"/>
      <c r="DE260" s="38"/>
      <c r="DI260" s="38"/>
      <c r="DL260" s="38"/>
      <c r="DO260" s="38"/>
      <c r="DS260" s="38"/>
      <c r="DV260" s="38"/>
    </row>
    <row r="261" spans="1:126" s="47" customFormat="1" x14ac:dyDescent="0.3">
      <c r="A261" s="47" t="s">
        <v>126</v>
      </c>
      <c r="B261" s="47">
        <v>1</v>
      </c>
      <c r="C261" s="41" t="s">
        <v>40</v>
      </c>
      <c r="D261" s="50">
        <f>600/400</f>
        <v>1.5</v>
      </c>
      <c r="E261" s="38" t="s">
        <v>101</v>
      </c>
      <c r="F261" s="58"/>
      <c r="G261" s="58"/>
      <c r="H261" s="58"/>
      <c r="I261" s="38"/>
      <c r="J261" s="38"/>
      <c r="K261" s="38"/>
      <c r="L261" s="58"/>
      <c r="M261" s="58"/>
      <c r="N261" s="58"/>
      <c r="O261" s="58"/>
      <c r="P261" s="38"/>
      <c r="Q261" s="38"/>
      <c r="R261" s="38"/>
      <c r="S261" s="38"/>
      <c r="T261" s="38"/>
      <c r="U261" s="58"/>
      <c r="V261" s="58"/>
      <c r="W261" s="58"/>
      <c r="Y261" s="38"/>
      <c r="Z261" s="38"/>
      <c r="AA261" s="38"/>
      <c r="AB261" s="38"/>
      <c r="AC261" s="38"/>
      <c r="AJ261" s="38"/>
      <c r="AK261" s="38"/>
      <c r="AL261" s="38"/>
      <c r="AP261" s="38"/>
      <c r="AQ261" s="38"/>
      <c r="AR261" s="38"/>
      <c r="AT261" s="38"/>
      <c r="AU261" s="38"/>
      <c r="AW261" s="38"/>
      <c r="AX261" s="38"/>
      <c r="AY261" s="38"/>
      <c r="BE261" s="38"/>
      <c r="BF261" s="38"/>
      <c r="BG261" s="38"/>
      <c r="BI261" s="38"/>
      <c r="BJ261" s="38"/>
      <c r="BL261" s="38"/>
      <c r="BM261" s="38"/>
      <c r="BO261" s="38"/>
      <c r="BS261" s="38"/>
      <c r="BT261" s="38"/>
      <c r="BU261" s="38"/>
      <c r="CA261" s="38"/>
      <c r="CE261" s="38"/>
      <c r="CF261" s="38"/>
      <c r="CG261" s="38"/>
      <c r="CJ261" s="38"/>
      <c r="CL261" s="38"/>
      <c r="CN261" s="38"/>
      <c r="CQ261" s="38"/>
      <c r="CR261" s="38"/>
      <c r="CU261" s="38"/>
      <c r="CV261" s="38"/>
      <c r="CX261" s="38"/>
      <c r="DA261" s="38"/>
      <c r="DB261" s="38"/>
      <c r="DE261" s="38"/>
      <c r="DI261" s="38"/>
      <c r="DL261" s="38"/>
      <c r="DO261" s="38"/>
      <c r="DS261" s="38"/>
      <c r="DV261" s="38"/>
    </row>
    <row r="262" spans="1:126" s="47" customFormat="1" x14ac:dyDescent="0.3">
      <c r="A262" s="47" t="s">
        <v>32</v>
      </c>
      <c r="B262" s="47">
        <v>1</v>
      </c>
      <c r="C262" s="41" t="s">
        <v>37</v>
      </c>
      <c r="D262" s="50">
        <f>3600/2400</f>
        <v>1.5</v>
      </c>
      <c r="E262" s="38" t="s">
        <v>101</v>
      </c>
      <c r="F262" s="59">
        <f>D262/D193</f>
        <v>7.4999999999999997E-2</v>
      </c>
      <c r="G262" s="44" t="s">
        <v>28</v>
      </c>
      <c r="H262" s="58"/>
      <c r="I262" s="38"/>
      <c r="J262" s="38"/>
      <c r="K262" s="38"/>
      <c r="L262" s="58"/>
      <c r="M262" s="58"/>
      <c r="N262" s="58"/>
      <c r="O262" s="58"/>
      <c r="P262" s="38"/>
      <c r="Q262" s="38"/>
      <c r="R262" s="38"/>
      <c r="S262" s="38"/>
      <c r="T262" s="38"/>
      <c r="U262" s="58"/>
      <c r="V262" s="58"/>
      <c r="W262" s="58"/>
      <c r="Y262" s="38"/>
      <c r="Z262" s="38"/>
      <c r="AA262" s="38"/>
      <c r="AB262" s="38"/>
      <c r="AC262" s="38"/>
      <c r="AJ262" s="38"/>
      <c r="AK262" s="38"/>
      <c r="AL262" s="38"/>
      <c r="AP262" s="38"/>
      <c r="AQ262" s="38"/>
      <c r="AR262" s="38"/>
      <c r="AT262" s="38"/>
      <c r="AU262" s="38"/>
      <c r="AW262" s="38"/>
      <c r="AX262" s="38"/>
      <c r="AY262" s="38"/>
      <c r="BE262" s="38"/>
      <c r="BF262" s="38"/>
      <c r="BG262" s="38"/>
      <c r="BI262" s="38"/>
      <c r="BJ262" s="38"/>
      <c r="BL262" s="38"/>
      <c r="BM262" s="38"/>
      <c r="BO262" s="38"/>
      <c r="BS262" s="38"/>
      <c r="BT262" s="38"/>
      <c r="BU262" s="38"/>
      <c r="CA262" s="38"/>
      <c r="CE262" s="38"/>
      <c r="CF262" s="38"/>
      <c r="CG262" s="38"/>
      <c r="CJ262" s="38"/>
      <c r="CL262" s="38"/>
      <c r="CN262" s="38"/>
      <c r="CQ262" s="38"/>
      <c r="CR262" s="38"/>
      <c r="CU262" s="38"/>
      <c r="CV262" s="38"/>
      <c r="CX262" s="38"/>
      <c r="DA262" s="38"/>
      <c r="DB262" s="38"/>
      <c r="DE262" s="38"/>
      <c r="DI262" s="38"/>
      <c r="DL262" s="38"/>
      <c r="DO262" s="38"/>
      <c r="DS262" s="38"/>
      <c r="DV262" s="38"/>
    </row>
    <row r="263" spans="1:126" s="48" customFormat="1" x14ac:dyDescent="0.3">
      <c r="A263" s="47" t="s">
        <v>22</v>
      </c>
      <c r="B263" s="47">
        <v>1</v>
      </c>
      <c r="C263" s="41" t="s">
        <v>37</v>
      </c>
      <c r="D263" s="48">
        <v>153.125</v>
      </c>
      <c r="E263" s="38" t="s">
        <v>96</v>
      </c>
      <c r="F263" s="49">
        <f>D263/D201</f>
        <v>1.3671875</v>
      </c>
      <c r="G263" s="38" t="s">
        <v>101</v>
      </c>
      <c r="H263" s="51"/>
      <c r="K263" s="38"/>
      <c r="M263" s="51"/>
      <c r="N263" s="51"/>
      <c r="O263" s="51"/>
      <c r="S263" s="38"/>
      <c r="T263" s="38"/>
      <c r="AB263" s="38"/>
      <c r="AC263" s="38"/>
      <c r="AJ263" s="38"/>
      <c r="AP263" s="38"/>
      <c r="AS263" s="47"/>
      <c r="AT263" s="38"/>
      <c r="AU263" s="38"/>
      <c r="AY263" s="38"/>
      <c r="BB263" s="51"/>
      <c r="BC263" s="51"/>
      <c r="BD263" s="51"/>
      <c r="BE263" s="38"/>
      <c r="BI263" s="38"/>
      <c r="BJ263" s="38"/>
      <c r="BO263" s="38"/>
      <c r="BU263" s="38"/>
      <c r="CA263" s="38"/>
      <c r="CG263" s="38"/>
      <c r="CI263" s="51"/>
      <c r="CJ263" s="38"/>
      <c r="CN263" s="38"/>
      <c r="CQ263" s="38"/>
      <c r="CU263" s="38"/>
      <c r="CX263" s="38"/>
      <c r="DA263" s="38"/>
    </row>
    <row r="264" spans="1:126" s="47" customFormat="1" x14ac:dyDescent="0.3">
      <c r="A264" s="154" t="s">
        <v>30</v>
      </c>
      <c r="B264" s="47">
        <v>1</v>
      </c>
      <c r="C264" s="38" t="s">
        <v>25</v>
      </c>
      <c r="D264" s="50">
        <v>1</v>
      </c>
      <c r="E264" s="38" t="s">
        <v>40</v>
      </c>
      <c r="F264" s="49">
        <f>F265</f>
        <v>3.0446428571428572</v>
      </c>
      <c r="G264" s="38" t="s">
        <v>101</v>
      </c>
      <c r="I264" s="48"/>
      <c r="J264" s="48"/>
      <c r="K264" s="38"/>
      <c r="P264" s="48"/>
      <c r="Q264" s="48"/>
      <c r="R264" s="48"/>
      <c r="S264" s="38"/>
      <c r="T264" s="38"/>
      <c r="Y264" s="48"/>
      <c r="Z264" s="48"/>
      <c r="AA264" s="48"/>
      <c r="AB264" s="38"/>
      <c r="AC264" s="38"/>
      <c r="AJ264" s="38"/>
      <c r="AK264" s="48"/>
      <c r="AL264" s="48"/>
      <c r="AP264" s="38"/>
      <c r="AQ264" s="48"/>
      <c r="AR264" s="48"/>
      <c r="AT264" s="38"/>
      <c r="AU264" s="38"/>
      <c r="AW264" s="48"/>
      <c r="AX264" s="48"/>
      <c r="AY264" s="38"/>
      <c r="BE264" s="38"/>
      <c r="BF264" s="48"/>
      <c r="BG264" s="48"/>
      <c r="BI264" s="38"/>
      <c r="BJ264" s="38"/>
      <c r="BL264" s="48"/>
      <c r="BM264" s="48"/>
      <c r="BO264" s="38"/>
      <c r="BS264" s="48"/>
      <c r="BT264" s="48"/>
      <c r="BU264" s="38"/>
      <c r="CA264" s="38"/>
      <c r="CE264" s="48"/>
      <c r="CF264" s="48"/>
      <c r="CG264" s="38"/>
      <c r="CJ264" s="38"/>
      <c r="CL264" s="48"/>
      <c r="CN264" s="38"/>
      <c r="CQ264" s="38"/>
      <c r="CR264" s="48"/>
      <c r="CU264" s="38"/>
      <c r="CV264" s="48"/>
      <c r="CX264" s="38"/>
      <c r="DA264" s="38"/>
      <c r="DB264" s="48"/>
      <c r="DE264" s="48"/>
      <c r="DI264" s="48"/>
      <c r="DL264" s="48"/>
      <c r="DO264" s="48"/>
      <c r="DS264" s="48"/>
      <c r="DV264" s="48"/>
    </row>
    <row r="265" spans="1:126" s="47" customFormat="1" x14ac:dyDescent="0.3">
      <c r="A265" s="154"/>
      <c r="B265" s="47">
        <v>1</v>
      </c>
      <c r="C265" s="38" t="s">
        <v>40</v>
      </c>
      <c r="D265" s="50">
        <f>(355+327)/2</f>
        <v>341</v>
      </c>
      <c r="E265" s="38" t="s">
        <v>96</v>
      </c>
      <c r="F265" s="49">
        <f>D265/D201</f>
        <v>3.0446428571428572</v>
      </c>
      <c r="G265" s="38" t="s">
        <v>101</v>
      </c>
      <c r="I265" s="48"/>
      <c r="J265" s="48"/>
      <c r="K265" s="38"/>
      <c r="P265" s="48"/>
      <c r="Q265" s="48"/>
      <c r="R265" s="48"/>
      <c r="S265" s="38"/>
      <c r="T265" s="38"/>
      <c r="Y265" s="48"/>
      <c r="Z265" s="48"/>
      <c r="AA265" s="48"/>
      <c r="AB265" s="38"/>
      <c r="AC265" s="38"/>
      <c r="AJ265" s="38"/>
      <c r="AK265" s="48"/>
      <c r="AL265" s="48"/>
      <c r="AP265" s="38"/>
      <c r="AQ265" s="48"/>
      <c r="AR265" s="48"/>
      <c r="AT265" s="38"/>
      <c r="AU265" s="38"/>
      <c r="AW265" s="48"/>
      <c r="AX265" s="48"/>
      <c r="AY265" s="38"/>
      <c r="BE265" s="38"/>
      <c r="BF265" s="48"/>
      <c r="BG265" s="48"/>
      <c r="BI265" s="38"/>
      <c r="BJ265" s="38"/>
      <c r="BL265" s="48"/>
      <c r="BM265" s="48"/>
      <c r="BO265" s="38"/>
      <c r="BS265" s="48"/>
      <c r="BT265" s="48"/>
      <c r="BU265" s="38"/>
      <c r="CA265" s="38"/>
      <c r="CE265" s="48"/>
      <c r="CF265" s="48"/>
      <c r="CG265" s="38"/>
      <c r="CJ265" s="38"/>
      <c r="CL265" s="48"/>
      <c r="CN265" s="38"/>
      <c r="CQ265" s="38"/>
      <c r="CR265" s="48"/>
      <c r="CU265" s="38"/>
      <c r="CV265" s="48"/>
      <c r="CX265" s="38"/>
      <c r="DA265" s="38"/>
      <c r="DB265" s="48"/>
      <c r="DE265" s="48"/>
      <c r="DI265" s="48"/>
      <c r="DL265" s="48"/>
      <c r="DO265" s="48"/>
      <c r="DS265" s="48"/>
      <c r="DV265" s="48"/>
    </row>
    <row r="266" spans="1:126" s="47" customFormat="1" x14ac:dyDescent="0.3">
      <c r="A266" s="154"/>
      <c r="B266" s="47">
        <v>1</v>
      </c>
      <c r="C266" s="41" t="s">
        <v>16</v>
      </c>
      <c r="D266" s="50">
        <f>(2.2+2.5)/2</f>
        <v>2.35</v>
      </c>
      <c r="E266" s="38" t="s">
        <v>96</v>
      </c>
      <c r="F266" s="49">
        <f>D266/D201</f>
        <v>2.0982142857142859E-2</v>
      </c>
      <c r="G266" s="38" t="s">
        <v>101</v>
      </c>
      <c r="I266" s="48"/>
      <c r="J266" s="48"/>
      <c r="K266" s="38"/>
      <c r="P266" s="48"/>
      <c r="Q266" s="48"/>
      <c r="R266" s="48"/>
      <c r="S266" s="38"/>
      <c r="T266" s="38"/>
      <c r="Y266" s="48"/>
      <c r="Z266" s="48"/>
      <c r="AA266" s="48"/>
      <c r="AB266" s="38"/>
      <c r="AC266" s="38"/>
      <c r="AJ266" s="38"/>
      <c r="AK266" s="48"/>
      <c r="AL266" s="48"/>
      <c r="AP266" s="38"/>
      <c r="AQ266" s="48"/>
      <c r="AR266" s="48"/>
      <c r="AT266" s="38"/>
      <c r="AU266" s="38"/>
      <c r="AW266" s="48"/>
      <c r="AX266" s="48"/>
      <c r="AY266" s="38"/>
      <c r="BE266" s="38"/>
      <c r="BF266" s="48"/>
      <c r="BG266" s="48"/>
      <c r="BI266" s="38"/>
      <c r="BJ266" s="38"/>
      <c r="BL266" s="48"/>
      <c r="BM266" s="48"/>
      <c r="BO266" s="38"/>
      <c r="BS266" s="48"/>
      <c r="BT266" s="48"/>
      <c r="BU266" s="38"/>
      <c r="CA266" s="38"/>
      <c r="CE266" s="48"/>
      <c r="CF266" s="48"/>
      <c r="CG266" s="38"/>
      <c r="CJ266" s="38"/>
      <c r="CL266" s="48"/>
      <c r="CN266" s="38"/>
      <c r="CQ266" s="38"/>
      <c r="CR266" s="48"/>
      <c r="CU266" s="38"/>
      <c r="CV266" s="48"/>
      <c r="CX266" s="38"/>
      <c r="DA266" s="38"/>
      <c r="DB266" s="48"/>
      <c r="DE266" s="48"/>
      <c r="DI266" s="48"/>
      <c r="DL266" s="48"/>
      <c r="DO266" s="48"/>
      <c r="DS266" s="48"/>
      <c r="DV266" s="48"/>
    </row>
    <row r="267" spans="1:126" s="64" customFormat="1" x14ac:dyDescent="0.3">
      <c r="A267" s="47" t="s">
        <v>92</v>
      </c>
      <c r="B267" s="47">
        <v>1</v>
      </c>
      <c r="C267" s="41" t="s">
        <v>25</v>
      </c>
      <c r="D267" s="50">
        <v>640</v>
      </c>
      <c r="E267" s="38" t="s">
        <v>96</v>
      </c>
      <c r="F267" s="49">
        <f>D267/D201</f>
        <v>5.7142857142857144</v>
      </c>
      <c r="G267" s="38" t="s">
        <v>101</v>
      </c>
      <c r="H267" s="60"/>
      <c r="I267" s="48"/>
      <c r="J267" s="48"/>
      <c r="K267" s="38"/>
      <c r="L267" s="61"/>
      <c r="M267" s="60"/>
      <c r="N267" s="60"/>
      <c r="O267" s="60"/>
      <c r="P267" s="48"/>
      <c r="Q267" s="48"/>
      <c r="R267" s="48"/>
      <c r="S267" s="38"/>
      <c r="T267" s="38"/>
      <c r="U267" s="61"/>
      <c r="V267" s="60"/>
      <c r="W267" s="60"/>
      <c r="X267" s="60"/>
      <c r="Y267" s="48"/>
      <c r="Z267" s="48"/>
      <c r="AA267" s="48"/>
      <c r="AB267" s="38"/>
      <c r="AC267" s="38"/>
      <c r="AD267" s="60"/>
      <c r="AE267" s="61"/>
      <c r="AF267" s="61"/>
      <c r="AG267" s="60"/>
      <c r="AH267" s="60"/>
      <c r="AI267" s="60"/>
      <c r="AJ267" s="38"/>
      <c r="AK267" s="48"/>
      <c r="AL267" s="48"/>
      <c r="AM267" s="60"/>
      <c r="AN267" s="60"/>
      <c r="AO267" s="60"/>
      <c r="AP267" s="38"/>
      <c r="AQ267" s="48"/>
      <c r="AR267" s="48"/>
      <c r="AS267" s="61"/>
      <c r="AT267" s="38"/>
      <c r="AU267" s="38"/>
      <c r="AV267" s="60"/>
      <c r="AW267" s="48"/>
      <c r="AX267" s="48"/>
      <c r="AY267" s="38"/>
      <c r="AZ267" s="62"/>
      <c r="BA267" s="62"/>
      <c r="BB267" s="60"/>
      <c r="BC267" s="63"/>
      <c r="BD267" s="63"/>
      <c r="BE267" s="38"/>
      <c r="BF267" s="48"/>
      <c r="BG267" s="48"/>
      <c r="BH267" s="60"/>
      <c r="BI267" s="38"/>
      <c r="BJ267" s="38"/>
      <c r="BK267" s="61"/>
      <c r="BL267" s="48"/>
      <c r="BM267" s="48"/>
      <c r="BN267" s="60"/>
      <c r="BO267" s="38"/>
      <c r="BP267" s="60"/>
      <c r="BQ267" s="60"/>
      <c r="BR267" s="60"/>
      <c r="BS267" s="48"/>
      <c r="BT267" s="48"/>
      <c r="BU267" s="38"/>
      <c r="BV267" s="61"/>
      <c r="BW267" s="61"/>
      <c r="BX267" s="60"/>
      <c r="BY267" s="60"/>
      <c r="BZ267" s="60"/>
      <c r="CA267" s="38"/>
      <c r="CB267" s="61"/>
      <c r="CC267" s="61"/>
      <c r="CD267" s="60"/>
      <c r="CE267" s="48"/>
      <c r="CF267" s="48"/>
      <c r="CG267" s="38"/>
      <c r="CH267" s="61"/>
      <c r="CI267" s="60"/>
      <c r="CJ267" s="38"/>
      <c r="CK267" s="61"/>
      <c r="CL267" s="48"/>
      <c r="CM267" s="60"/>
      <c r="CN267" s="38"/>
      <c r="CO267" s="63"/>
      <c r="CP267" s="60"/>
      <c r="CQ267" s="38"/>
      <c r="CR267" s="48"/>
      <c r="CU267" s="38"/>
      <c r="CV267" s="48"/>
      <c r="CX267" s="38"/>
      <c r="DA267" s="38"/>
      <c r="DB267" s="48"/>
      <c r="DE267" s="48"/>
      <c r="DI267" s="48"/>
      <c r="DL267" s="48"/>
      <c r="DO267" s="48"/>
      <c r="DS267" s="48"/>
      <c r="DV267" s="48"/>
    </row>
    <row r="268" spans="1:126" s="64" customFormat="1" x14ac:dyDescent="0.3">
      <c r="A268" s="154" t="s">
        <v>5</v>
      </c>
      <c r="B268" s="47">
        <v>1</v>
      </c>
      <c r="C268" s="41" t="s">
        <v>18</v>
      </c>
      <c r="D268" s="50">
        <v>196</v>
      </c>
      <c r="E268" s="38" t="s">
        <v>96</v>
      </c>
      <c r="F268" s="49">
        <f>D268/D201</f>
        <v>1.75</v>
      </c>
      <c r="G268" s="38" t="s">
        <v>101</v>
      </c>
      <c r="H268" s="60"/>
      <c r="I268" s="48"/>
      <c r="J268" s="48"/>
      <c r="K268" s="38"/>
      <c r="L268" s="60"/>
      <c r="M268" s="63"/>
      <c r="N268" s="63"/>
      <c r="O268" s="60"/>
      <c r="P268" s="48"/>
      <c r="Q268" s="48"/>
      <c r="R268" s="48"/>
      <c r="S268" s="38"/>
      <c r="T268" s="38"/>
      <c r="U268" s="60"/>
      <c r="V268" s="63"/>
      <c r="W268" s="63"/>
      <c r="X268" s="60"/>
      <c r="Y268" s="48"/>
      <c r="Z268" s="48"/>
      <c r="AA268" s="48"/>
      <c r="AB268" s="38"/>
      <c r="AC268" s="38"/>
      <c r="AD268" s="60"/>
      <c r="AE268" s="60"/>
      <c r="AF268" s="60"/>
      <c r="AG268" s="63"/>
      <c r="AH268" s="63"/>
      <c r="AI268" s="63"/>
      <c r="AJ268" s="38"/>
      <c r="AK268" s="48"/>
      <c r="AL268" s="48"/>
      <c r="AM268" s="60"/>
      <c r="AN268" s="60"/>
      <c r="AO268" s="60"/>
      <c r="AP268" s="38"/>
      <c r="AQ268" s="48"/>
      <c r="AR268" s="48"/>
      <c r="AS268" s="60"/>
      <c r="AT268" s="38"/>
      <c r="AU268" s="38"/>
      <c r="AV268" s="63"/>
      <c r="AW268" s="48"/>
      <c r="AX268" s="48"/>
      <c r="AY268" s="38"/>
      <c r="AZ268" s="60"/>
      <c r="BA268" s="60"/>
      <c r="BC268" s="60"/>
      <c r="BD268" s="60"/>
      <c r="BE268" s="38"/>
      <c r="BF268" s="48"/>
      <c r="BG268" s="48"/>
      <c r="BH268" s="63"/>
      <c r="BI268" s="38"/>
      <c r="BJ268" s="38"/>
      <c r="BK268" s="60"/>
      <c r="BL268" s="48"/>
      <c r="BM268" s="48"/>
      <c r="BN268" s="63"/>
      <c r="BO268" s="38"/>
      <c r="BP268" s="60"/>
      <c r="BQ268" s="60"/>
      <c r="BR268" s="60"/>
      <c r="BS268" s="48"/>
      <c r="BT268" s="48"/>
      <c r="BU268" s="38"/>
      <c r="BV268" s="60"/>
      <c r="BW268" s="60"/>
      <c r="BX268" s="63"/>
      <c r="BY268" s="63"/>
      <c r="BZ268" s="63"/>
      <c r="CA268" s="38"/>
      <c r="CB268" s="60"/>
      <c r="CC268" s="60"/>
      <c r="CD268" s="63"/>
      <c r="CE268" s="48"/>
      <c r="CF268" s="48"/>
      <c r="CG268" s="38"/>
      <c r="CH268" s="60"/>
      <c r="CI268" s="61"/>
      <c r="CJ268" s="38"/>
      <c r="CK268" s="60"/>
      <c r="CL268" s="48"/>
      <c r="CM268" s="63"/>
      <c r="CN268" s="38"/>
      <c r="CO268" s="60"/>
      <c r="CP268" s="63"/>
      <c r="CQ268" s="38"/>
      <c r="CR268" s="48"/>
      <c r="CS268" s="60"/>
      <c r="CU268" s="38"/>
      <c r="CV268" s="48"/>
      <c r="CX268" s="38"/>
      <c r="DA268" s="38"/>
      <c r="DB268" s="48"/>
      <c r="DE268" s="48"/>
      <c r="DI268" s="48"/>
      <c r="DL268" s="48"/>
      <c r="DO268" s="48"/>
      <c r="DS268" s="48"/>
      <c r="DV268" s="48"/>
    </row>
    <row r="269" spans="1:126" s="48" customFormat="1" ht="13.8" customHeight="1" x14ac:dyDescent="0.3">
      <c r="A269" s="154"/>
      <c r="B269" s="47">
        <v>1</v>
      </c>
      <c r="C269" s="41" t="s">
        <v>127</v>
      </c>
      <c r="D269" s="50">
        <v>280</v>
      </c>
      <c r="E269" s="38" t="s">
        <v>96</v>
      </c>
      <c r="F269" s="49">
        <f>D269/D201</f>
        <v>2.5</v>
      </c>
      <c r="G269" s="38" t="s">
        <v>101</v>
      </c>
      <c r="K269" s="38"/>
      <c r="S269" s="38"/>
      <c r="T269" s="38"/>
      <c r="AB269" s="38"/>
      <c r="AC269" s="38"/>
      <c r="AJ269" s="38"/>
      <c r="AP269" s="38"/>
      <c r="AT269" s="38"/>
      <c r="AU269" s="38"/>
      <c r="AY269" s="38"/>
      <c r="BE269" s="38"/>
      <c r="BI269" s="38"/>
      <c r="BJ269" s="38"/>
      <c r="BO269" s="38"/>
      <c r="BU269" s="38"/>
      <c r="CA269" s="38"/>
      <c r="CG269" s="38"/>
      <c r="CJ269" s="38"/>
      <c r="CN269" s="38"/>
      <c r="CQ269" s="38"/>
      <c r="CU269" s="38"/>
      <c r="CX269" s="38"/>
      <c r="DA269" s="38"/>
    </row>
    <row r="270" spans="1:126" s="48" customFormat="1" x14ac:dyDescent="0.3">
      <c r="A270" s="53" t="s">
        <v>20</v>
      </c>
      <c r="B270" s="47">
        <v>1</v>
      </c>
      <c r="C270" s="41" t="s">
        <v>107</v>
      </c>
      <c r="D270" s="50">
        <v>112</v>
      </c>
      <c r="E270" s="38" t="s">
        <v>96</v>
      </c>
      <c r="F270" s="49">
        <f>D270/D201</f>
        <v>1</v>
      </c>
      <c r="G270" s="38" t="s">
        <v>101</v>
      </c>
      <c r="K270" s="38"/>
      <c r="S270" s="38"/>
      <c r="T270" s="38"/>
      <c r="AB270" s="38"/>
      <c r="AC270" s="38"/>
      <c r="AJ270" s="38"/>
      <c r="AP270" s="38"/>
      <c r="AT270" s="38"/>
      <c r="AU270" s="38"/>
      <c r="AY270" s="38"/>
      <c r="BE270" s="38"/>
      <c r="BI270" s="38"/>
      <c r="BJ270" s="38"/>
      <c r="BO270" s="38"/>
      <c r="BU270" s="38"/>
      <c r="CA270" s="38"/>
      <c r="CG270" s="38"/>
      <c r="CJ270" s="38"/>
      <c r="CN270" s="38"/>
      <c r="CQ270" s="38"/>
      <c r="CU270" s="38"/>
      <c r="CX270" s="38"/>
      <c r="DA270" s="38"/>
    </row>
    <row r="271" spans="1:126" s="48" customFormat="1" x14ac:dyDescent="0.3">
      <c r="A271" s="53" t="s">
        <v>79</v>
      </c>
      <c r="B271" s="47">
        <v>1</v>
      </c>
      <c r="C271" s="41" t="s">
        <v>40</v>
      </c>
      <c r="D271" s="50">
        <v>0.67513000000000001</v>
      </c>
      <c r="E271" s="38" t="s">
        <v>101</v>
      </c>
      <c r="F271" s="49">
        <f>D271/D193</f>
        <v>3.3756500000000002E-2</v>
      </c>
      <c r="G271" s="38" t="s">
        <v>28</v>
      </c>
      <c r="K271" s="38"/>
      <c r="S271" s="38"/>
      <c r="T271" s="38"/>
      <c r="AB271" s="38"/>
      <c r="AC271" s="38"/>
      <c r="AJ271" s="38"/>
      <c r="AP271" s="38"/>
      <c r="AT271" s="38"/>
      <c r="AU271" s="38"/>
      <c r="AY271" s="38"/>
      <c r="BE271" s="38"/>
      <c r="BI271" s="38"/>
      <c r="BJ271" s="38"/>
      <c r="BO271" s="38"/>
      <c r="BU271" s="38"/>
      <c r="CA271" s="38"/>
      <c r="CG271" s="38"/>
      <c r="CJ271" s="38"/>
      <c r="CN271" s="38"/>
      <c r="CQ271" s="38"/>
      <c r="CU271" s="38"/>
      <c r="CX271" s="38"/>
      <c r="DA271" s="38"/>
    </row>
    <row r="272" spans="1:126" s="48" customFormat="1" x14ac:dyDescent="0.3">
      <c r="A272" s="56" t="s">
        <v>81</v>
      </c>
      <c r="B272" s="47">
        <v>1</v>
      </c>
      <c r="C272" s="41" t="s">
        <v>121</v>
      </c>
      <c r="D272" s="50">
        <v>2.39975</v>
      </c>
      <c r="E272" s="38" t="s">
        <v>101</v>
      </c>
      <c r="F272" s="49"/>
      <c r="G272" s="38"/>
      <c r="K272" s="38"/>
      <c r="S272" s="38"/>
      <c r="T272" s="38"/>
      <c r="AB272" s="38"/>
      <c r="AC272" s="38"/>
      <c r="AJ272" s="38"/>
      <c r="AP272" s="38"/>
      <c r="AT272" s="38"/>
      <c r="AU272" s="38"/>
      <c r="AY272" s="38"/>
      <c r="BE272" s="38"/>
      <c r="BI272" s="38"/>
      <c r="BJ272" s="38"/>
      <c r="BO272" s="38"/>
      <c r="BU272" s="38"/>
      <c r="CA272" s="38"/>
      <c r="CG272" s="38"/>
      <c r="CJ272" s="38"/>
      <c r="CN272" s="38"/>
      <c r="CQ272" s="38"/>
      <c r="CU272" s="38"/>
      <c r="CX272" s="38"/>
      <c r="DA272" s="38"/>
    </row>
    <row r="273" spans="1:105" s="48" customFormat="1" x14ac:dyDescent="0.3">
      <c r="A273" s="53" t="s">
        <v>80</v>
      </c>
      <c r="B273" s="47">
        <v>1</v>
      </c>
      <c r="C273" s="41" t="s">
        <v>37</v>
      </c>
      <c r="D273" s="50">
        <v>746.66600000000005</v>
      </c>
      <c r="E273" s="38" t="s">
        <v>96</v>
      </c>
      <c r="F273" s="49">
        <f>D273/D201</f>
        <v>6.6666607142857144</v>
      </c>
      <c r="G273" s="38" t="s">
        <v>101</v>
      </c>
      <c r="K273" s="38"/>
      <c r="S273" s="38"/>
      <c r="T273" s="38"/>
      <c r="AB273" s="38"/>
      <c r="AC273" s="38"/>
      <c r="AJ273" s="38"/>
      <c r="AP273" s="38"/>
      <c r="AT273" s="38"/>
      <c r="AU273" s="38"/>
      <c r="AY273" s="38"/>
      <c r="BE273" s="38"/>
      <c r="BI273" s="38"/>
      <c r="BJ273" s="38"/>
      <c r="BO273" s="38"/>
      <c r="BU273" s="38"/>
      <c r="CA273" s="38"/>
      <c r="CG273" s="38"/>
      <c r="CJ273" s="38"/>
      <c r="CN273" s="38"/>
      <c r="CQ273" s="38"/>
      <c r="CU273" s="38"/>
      <c r="CX273" s="38"/>
      <c r="DA273" s="38"/>
    </row>
    <row r="274" spans="1:105" s="48" customFormat="1" x14ac:dyDescent="0.3">
      <c r="A274" s="53" t="s">
        <v>128</v>
      </c>
      <c r="B274" s="47">
        <v>1</v>
      </c>
      <c r="C274" s="41" t="s">
        <v>40</v>
      </c>
      <c r="D274" s="50">
        <v>250</v>
      </c>
      <c r="E274" s="38" t="s">
        <v>96</v>
      </c>
      <c r="F274" s="49">
        <f>D274/D201</f>
        <v>2.2321428571428572</v>
      </c>
      <c r="G274" s="38" t="s">
        <v>101</v>
      </c>
      <c r="K274" s="38"/>
      <c r="S274" s="38"/>
      <c r="T274" s="38"/>
      <c r="AB274" s="38"/>
      <c r="AC274" s="38"/>
      <c r="AJ274" s="38"/>
      <c r="AP274" s="38"/>
      <c r="AT274" s="38"/>
      <c r="AU274" s="38"/>
      <c r="AY274" s="38"/>
      <c r="BE274" s="38"/>
      <c r="BI274" s="38"/>
      <c r="BJ274" s="38"/>
      <c r="BO274" s="38"/>
      <c r="BU274" s="38"/>
      <c r="CA274" s="38"/>
      <c r="CG274" s="38"/>
      <c r="CJ274" s="38"/>
      <c r="CN274" s="38"/>
      <c r="CQ274" s="38"/>
      <c r="CU274" s="38"/>
      <c r="CX274" s="38"/>
      <c r="DA274" s="38"/>
    </row>
    <row r="275" spans="1:105" s="48" customFormat="1" x14ac:dyDescent="0.3">
      <c r="A275" s="53" t="s">
        <v>20</v>
      </c>
      <c r="B275" s="47">
        <v>1</v>
      </c>
      <c r="C275" s="41" t="s">
        <v>107</v>
      </c>
      <c r="D275" s="50">
        <v>112</v>
      </c>
      <c r="E275" s="38" t="s">
        <v>96</v>
      </c>
      <c r="F275" s="49">
        <f>D275/D201</f>
        <v>1</v>
      </c>
      <c r="G275" s="38" t="s">
        <v>101</v>
      </c>
      <c r="K275" s="38"/>
      <c r="S275" s="38"/>
      <c r="T275" s="38"/>
      <c r="AB275" s="38"/>
      <c r="AC275" s="38"/>
      <c r="AJ275" s="38"/>
      <c r="AP275" s="38"/>
      <c r="AT275" s="38"/>
      <c r="AU275" s="38"/>
      <c r="AY275" s="38"/>
      <c r="BE275" s="38"/>
      <c r="BI275" s="38"/>
      <c r="BJ275" s="38"/>
      <c r="BO275" s="38"/>
      <c r="BU275" s="38"/>
      <c r="CA275" s="38"/>
      <c r="CG275" s="38"/>
      <c r="CJ275" s="38"/>
      <c r="CN275" s="38"/>
      <c r="CQ275" s="38"/>
      <c r="CU275" s="38"/>
      <c r="CX275" s="38"/>
      <c r="DA275" s="38"/>
    </row>
    <row r="276" spans="1:105" s="48" customFormat="1" x14ac:dyDescent="0.3">
      <c r="A276" s="153" t="s">
        <v>129</v>
      </c>
      <c r="B276" s="47">
        <v>1</v>
      </c>
      <c r="C276" s="41" t="s">
        <v>40</v>
      </c>
      <c r="D276" s="50">
        <v>227</v>
      </c>
      <c r="E276" s="38" t="s">
        <v>96</v>
      </c>
      <c r="F276" s="49">
        <f>D276/D201</f>
        <v>2.0267857142857144</v>
      </c>
      <c r="G276" s="38" t="s">
        <v>101</v>
      </c>
      <c r="K276" s="38"/>
      <c r="S276" s="38"/>
      <c r="T276" s="38"/>
      <c r="AB276" s="38"/>
      <c r="AC276" s="38"/>
      <c r="AJ276" s="38"/>
      <c r="AP276" s="38"/>
      <c r="AT276" s="38"/>
      <c r="AU276" s="38"/>
      <c r="AY276" s="38"/>
      <c r="BE276" s="38"/>
      <c r="BI276" s="38"/>
      <c r="BJ276" s="38"/>
      <c r="BO276" s="38"/>
      <c r="BU276" s="38"/>
      <c r="CA276" s="38"/>
      <c r="CG276" s="38"/>
      <c r="CJ276" s="38"/>
      <c r="CN276" s="38"/>
      <c r="CQ276" s="38"/>
      <c r="CU276" s="38"/>
      <c r="CX276" s="38"/>
      <c r="DA276" s="38"/>
    </row>
    <row r="277" spans="1:105" s="48" customFormat="1" x14ac:dyDescent="0.3">
      <c r="A277" s="153"/>
      <c r="B277" s="47">
        <v>1</v>
      </c>
      <c r="C277" s="38" t="s">
        <v>121</v>
      </c>
      <c r="D277" s="48">
        <v>746.66700000000003</v>
      </c>
      <c r="E277" s="38" t="s">
        <v>96</v>
      </c>
      <c r="F277" s="50">
        <f>D277/D201</f>
        <v>6.6666696428571433</v>
      </c>
      <c r="G277" s="38" t="s">
        <v>101</v>
      </c>
      <c r="H277" s="47"/>
      <c r="K277" s="51"/>
      <c r="L277" s="47"/>
      <c r="M277" s="47"/>
      <c r="N277" s="47"/>
      <c r="O277" s="47"/>
      <c r="S277" s="51"/>
      <c r="T277" s="51"/>
      <c r="AB277" s="51"/>
      <c r="AC277" s="51"/>
      <c r="AJ277" s="51"/>
      <c r="AP277" s="51"/>
      <c r="AT277" s="51"/>
      <c r="AU277" s="51"/>
      <c r="AY277" s="51"/>
      <c r="BE277" s="51"/>
      <c r="BI277" s="51"/>
      <c r="BJ277" s="51"/>
      <c r="BO277" s="51"/>
      <c r="BU277" s="51"/>
      <c r="CA277" s="51"/>
      <c r="CG277" s="51"/>
      <c r="CJ277" s="51"/>
      <c r="CN277" s="51"/>
      <c r="CQ277" s="51"/>
      <c r="CU277" s="51"/>
      <c r="CX277" s="51"/>
      <c r="DA277" s="51"/>
    </row>
    <row r="278" spans="1:105" s="48" customFormat="1" x14ac:dyDescent="0.3">
      <c r="A278" s="153"/>
      <c r="B278" s="47">
        <v>1</v>
      </c>
      <c r="C278" s="38" t="s">
        <v>37</v>
      </c>
      <c r="D278" s="50">
        <v>0.75087000000000004</v>
      </c>
      <c r="E278" s="38" t="s">
        <v>29</v>
      </c>
      <c r="F278" s="50">
        <f>D278*F276</f>
        <v>1.5218525892857144</v>
      </c>
      <c r="G278" s="38" t="s">
        <v>101</v>
      </c>
      <c r="H278" s="47"/>
      <c r="K278" s="51"/>
      <c r="L278" s="47"/>
      <c r="M278" s="47"/>
      <c r="N278" s="47"/>
      <c r="O278" s="47"/>
      <c r="S278" s="51"/>
      <c r="T278" s="51"/>
      <c r="AB278" s="51"/>
      <c r="AC278" s="51"/>
      <c r="AJ278" s="51"/>
      <c r="AP278" s="51"/>
      <c r="AT278" s="51"/>
      <c r="AU278" s="51"/>
      <c r="AY278" s="51"/>
      <c r="BE278" s="51"/>
      <c r="BI278" s="51"/>
      <c r="BJ278" s="51"/>
      <c r="BO278" s="51"/>
      <c r="BU278" s="51"/>
      <c r="CA278" s="51"/>
      <c r="CG278" s="51"/>
      <c r="CJ278" s="51"/>
      <c r="CN278" s="51"/>
      <c r="CQ278" s="51"/>
      <c r="CU278" s="51"/>
      <c r="CX278" s="51"/>
      <c r="DA278" s="51"/>
    </row>
    <row r="279" spans="1:105" x14ac:dyDescent="0.3">
      <c r="F279" s="1"/>
      <c r="H279" s="31"/>
      <c r="J279" s="1"/>
    </row>
    <row r="280" spans="1:105" x14ac:dyDescent="0.3">
      <c r="F280" s="1"/>
      <c r="H280" s="31"/>
      <c r="J280" s="1"/>
    </row>
    <row r="281" spans="1:105" x14ac:dyDescent="0.3">
      <c r="F281" s="1"/>
      <c r="H281" s="31"/>
      <c r="J281" s="1"/>
    </row>
  </sheetData>
  <mergeCells count="53">
    <mergeCell ref="CF1:CH1"/>
    <mergeCell ref="CI1:CK1"/>
    <mergeCell ref="CL1:CN1"/>
    <mergeCell ref="CO1:CQ1"/>
    <mergeCell ref="AL1:AN1"/>
    <mergeCell ref="AO1:AQ1"/>
    <mergeCell ref="AR1:AT1"/>
    <mergeCell ref="AU1:AW1"/>
    <mergeCell ref="AX1:AZ1"/>
    <mergeCell ref="BA1:BC1"/>
    <mergeCell ref="BD1:BF1"/>
    <mergeCell ref="BG1:BI1"/>
    <mergeCell ref="BJ1:BL1"/>
    <mergeCell ref="BM1:BO1"/>
    <mergeCell ref="BP1:BR1"/>
    <mergeCell ref="BS1:BU1"/>
    <mergeCell ref="E1:G1"/>
    <mergeCell ref="H1:J1"/>
    <mergeCell ref="K1:M1"/>
    <mergeCell ref="N1:P1"/>
    <mergeCell ref="Q1:S1"/>
    <mergeCell ref="A216:A217"/>
    <mergeCell ref="A219:A220"/>
    <mergeCell ref="A230:A231"/>
    <mergeCell ref="A232:A233"/>
    <mergeCell ref="A234:A235"/>
    <mergeCell ref="A236:A237"/>
    <mergeCell ref="A238:A239"/>
    <mergeCell ref="A240:A241"/>
    <mergeCell ref="A242:A244"/>
    <mergeCell ref="A249:A250"/>
    <mergeCell ref="A276:A278"/>
    <mergeCell ref="A252:A254"/>
    <mergeCell ref="A255:A256"/>
    <mergeCell ref="A264:A266"/>
    <mergeCell ref="A268:A269"/>
    <mergeCell ref="C188:C189"/>
    <mergeCell ref="D188:D189"/>
    <mergeCell ref="E188:E189"/>
    <mergeCell ref="B188:B189"/>
    <mergeCell ref="B202:B203"/>
    <mergeCell ref="C202:C203"/>
    <mergeCell ref="D202:D203"/>
    <mergeCell ref="E202:E203"/>
    <mergeCell ref="BW1:BY1"/>
    <mergeCell ref="BZ1:CB1"/>
    <mergeCell ref="CC1:CE1"/>
    <mergeCell ref="AI1:AK1"/>
    <mergeCell ref="T1:V1"/>
    <mergeCell ref="W1:Y1"/>
    <mergeCell ref="Z1:AB1"/>
    <mergeCell ref="AC1:AE1"/>
    <mergeCell ref="AF1:AH1"/>
  </mergeCells>
  <pageMargins left="0.75" right="0.75" top="1" bottom="1" header="0.5" footer="0.5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U211"/>
  <sheetViews>
    <sheetView topLeftCell="A2" zoomScale="60" zoomScaleNormal="60" workbookViewId="0">
      <pane xSplit="2" ySplit="2" topLeftCell="C4" activePane="bottomRight" state="frozen"/>
      <selection activeCell="A2" sqref="A2"/>
      <selection pane="topRight" activeCell="C2" sqref="C2"/>
      <selection pane="bottomLeft" activeCell="A4" sqref="A4"/>
      <selection pane="bottomRight" activeCell="N28" sqref="N28"/>
    </sheetView>
  </sheetViews>
  <sheetFormatPr defaultRowHeight="14.4" x14ac:dyDescent="0.3"/>
  <cols>
    <col min="1" max="1" width="53.6640625" style="30" customWidth="1"/>
    <col min="2" max="5" width="14.109375" style="30" customWidth="1"/>
    <col min="6" max="18" width="14.109375" style="70" customWidth="1"/>
    <col min="19" max="20" width="14.109375" style="90" customWidth="1"/>
    <col min="21" max="21" width="14.109375" style="70" customWidth="1"/>
    <col min="22" max="23" width="14.109375" style="90" customWidth="1"/>
    <col min="24" max="28" width="14.109375" style="70" customWidth="1"/>
    <col min="29" max="30" width="14.109375" style="90" customWidth="1"/>
    <col min="31" max="32" width="14.109375" style="70" customWidth="1"/>
    <col min="33" max="34" width="14.109375" style="90" customWidth="1"/>
    <col min="35" max="40" width="14.109375" style="70" customWidth="1"/>
    <col min="41" max="42" width="14.109375" style="90" customWidth="1"/>
    <col min="43" max="44" width="14.109375" style="70" customWidth="1"/>
    <col min="45" max="46" width="14.109375" style="90" customWidth="1"/>
    <col min="47" max="48" width="14.109375" style="70" customWidth="1"/>
    <col min="49" max="50" width="14.109375" style="90" customWidth="1"/>
    <col min="51" max="52" width="14.109375" style="70" customWidth="1"/>
    <col min="53" max="54" width="14.109375" style="90" customWidth="1"/>
    <col min="55" max="56" width="14.109375" style="70" customWidth="1"/>
    <col min="57" max="58" width="14.109375" style="90" customWidth="1"/>
    <col min="59" max="60" width="14.109375" style="70" customWidth="1"/>
    <col min="61" max="62" width="14.109375" style="90" customWidth="1"/>
    <col min="63" max="64" width="14.109375" style="70" customWidth="1"/>
    <col min="65" max="66" width="14.109375" style="90" customWidth="1"/>
    <col min="67" max="68" width="14.109375" style="70" customWidth="1"/>
    <col min="69" max="70" width="14.109375" style="90" customWidth="1"/>
    <col min="71" max="72" width="14.109375" style="70" customWidth="1"/>
    <col min="73" max="74" width="14.109375" style="90" customWidth="1"/>
    <col min="75" max="76" width="14.109375" style="70" customWidth="1"/>
    <col min="77" max="78" width="14.109375" style="90" customWidth="1"/>
    <col min="79" max="80" width="14.109375" style="70" customWidth="1"/>
    <col min="81" max="82" width="14.109375" style="90" customWidth="1"/>
    <col min="83" max="84" width="14.109375" style="70" customWidth="1"/>
    <col min="85" max="86" width="14.109375" style="90" customWidth="1"/>
    <col min="87" max="88" width="14.109375" style="70" customWidth="1"/>
    <col min="89" max="90" width="14.109375" style="90" customWidth="1"/>
    <col min="91" max="92" width="14.109375" style="70" customWidth="1"/>
    <col min="93" max="94" width="14.109375" style="90" customWidth="1"/>
    <col min="95" max="96" width="14.109375" style="70" customWidth="1"/>
    <col min="97" max="98" width="14.109375" style="90" customWidth="1"/>
    <col min="99" max="100" width="14.109375" style="70" customWidth="1"/>
    <col min="101" max="102" width="14.109375" style="90" customWidth="1"/>
    <col min="103" max="104" width="14.109375" style="70" customWidth="1"/>
    <col min="105" max="105" width="8.5546875" style="90" customWidth="1"/>
    <col min="106" max="106" width="17.44140625" style="90" customWidth="1"/>
    <col min="107" max="107" width="15" style="70" customWidth="1"/>
    <col min="108" max="108" width="16.88671875" style="70" customWidth="1"/>
    <col min="109" max="16384" width="8.88671875" style="70"/>
  </cols>
  <sheetData>
    <row r="1" spans="1:108" x14ac:dyDescent="0.3">
      <c r="BU1" s="157" t="s">
        <v>273</v>
      </c>
      <c r="BV1" s="157"/>
      <c r="BW1" s="157"/>
      <c r="BX1" s="157"/>
    </row>
    <row r="2" spans="1:108" x14ac:dyDescent="0.3">
      <c r="A2" s="87"/>
      <c r="C2" s="157" t="s">
        <v>339</v>
      </c>
      <c r="D2" s="157"/>
      <c r="E2" s="157"/>
      <c r="F2" s="157"/>
      <c r="G2" s="157" t="s">
        <v>340</v>
      </c>
      <c r="H2" s="157"/>
      <c r="I2" s="157"/>
      <c r="J2" s="157"/>
      <c r="K2" s="157" t="s">
        <v>329</v>
      </c>
      <c r="L2" s="157"/>
      <c r="M2" s="157"/>
      <c r="N2" s="157"/>
      <c r="O2" s="157" t="s">
        <v>330</v>
      </c>
      <c r="P2" s="157"/>
      <c r="Q2" s="157"/>
      <c r="R2" s="157"/>
      <c r="S2" s="157" t="s">
        <v>322</v>
      </c>
      <c r="T2" s="157"/>
      <c r="U2" s="157"/>
      <c r="V2" s="157"/>
      <c r="W2" s="157" t="s">
        <v>321</v>
      </c>
      <c r="X2" s="157"/>
      <c r="Y2" s="157"/>
      <c r="Z2" s="157" t="s">
        <v>320</v>
      </c>
      <c r="AA2" s="157"/>
      <c r="AB2" s="157"/>
      <c r="AC2" s="157" t="s">
        <v>315</v>
      </c>
      <c r="AD2" s="157"/>
      <c r="AE2" s="157"/>
      <c r="AF2" s="157"/>
      <c r="AG2" s="157" t="s">
        <v>314</v>
      </c>
      <c r="AH2" s="157"/>
      <c r="AI2" s="157"/>
      <c r="AJ2" s="157"/>
      <c r="AK2" s="157" t="s">
        <v>335</v>
      </c>
      <c r="AL2" s="157"/>
      <c r="AM2" s="157"/>
      <c r="AN2" s="157"/>
      <c r="AO2" s="157" t="s">
        <v>331</v>
      </c>
      <c r="AP2" s="157"/>
      <c r="AQ2" s="157"/>
      <c r="AR2" s="157"/>
      <c r="AS2" s="157" t="s">
        <v>332</v>
      </c>
      <c r="AT2" s="157"/>
      <c r="AU2" s="157"/>
      <c r="AV2" s="157"/>
      <c r="AW2" s="157" t="s">
        <v>311</v>
      </c>
      <c r="AX2" s="157"/>
      <c r="AY2" s="157"/>
      <c r="AZ2" s="157"/>
      <c r="BA2" s="157" t="s">
        <v>310</v>
      </c>
      <c r="BB2" s="157"/>
      <c r="BC2" s="157"/>
      <c r="BD2" s="157"/>
      <c r="BE2" s="157" t="s">
        <v>304</v>
      </c>
      <c r="BF2" s="157"/>
      <c r="BG2" s="157"/>
      <c r="BH2" s="157"/>
      <c r="BI2" s="157" t="s">
        <v>292</v>
      </c>
      <c r="BJ2" s="157"/>
      <c r="BK2" s="157"/>
      <c r="BL2" s="157"/>
      <c r="BM2" s="157" t="s">
        <v>291</v>
      </c>
      <c r="BN2" s="157"/>
      <c r="BO2" s="157"/>
      <c r="BP2" s="157"/>
      <c r="BQ2" s="157" t="s">
        <v>287</v>
      </c>
      <c r="BR2" s="157"/>
      <c r="BS2" s="157"/>
      <c r="BT2" s="157"/>
      <c r="BU2" s="157"/>
      <c r="BV2" s="157"/>
      <c r="BW2" s="157"/>
      <c r="BX2" s="157"/>
      <c r="BY2" s="157" t="s">
        <v>271</v>
      </c>
      <c r="BZ2" s="157"/>
      <c r="CA2" s="157"/>
      <c r="CB2" s="157"/>
      <c r="CC2" s="157" t="s">
        <v>272</v>
      </c>
      <c r="CD2" s="157"/>
      <c r="CE2" s="157"/>
      <c r="CF2" s="157"/>
      <c r="CG2" s="157" t="s">
        <v>270</v>
      </c>
      <c r="CH2" s="157"/>
      <c r="CI2" s="157"/>
      <c r="CJ2" s="157"/>
      <c r="CK2" s="157" t="s">
        <v>266</v>
      </c>
      <c r="CL2" s="157"/>
      <c r="CM2" s="157"/>
      <c r="CN2" s="157"/>
      <c r="CO2" s="157" t="s">
        <v>263</v>
      </c>
      <c r="CP2" s="157"/>
      <c r="CQ2" s="157"/>
      <c r="CR2" s="157"/>
      <c r="CS2" s="157" t="s">
        <v>264</v>
      </c>
      <c r="CT2" s="157"/>
      <c r="CU2" s="157"/>
      <c r="CV2" s="157"/>
      <c r="CW2" s="157" t="s">
        <v>218</v>
      </c>
      <c r="CX2" s="157"/>
      <c r="CY2" s="157"/>
      <c r="CZ2" s="157"/>
      <c r="DA2" s="157" t="s">
        <v>217</v>
      </c>
      <c r="DB2" s="157"/>
      <c r="DC2" s="157"/>
      <c r="DD2" s="157"/>
    </row>
    <row r="3" spans="1:108" s="89" customFormat="1" ht="28.8" customHeight="1" x14ac:dyDescent="0.3">
      <c r="A3" s="34" t="s">
        <v>0</v>
      </c>
      <c r="B3" s="45" t="s">
        <v>94</v>
      </c>
      <c r="C3" s="88" t="s">
        <v>27</v>
      </c>
      <c r="D3" s="88" t="s">
        <v>26</v>
      </c>
      <c r="E3" s="88" t="s">
        <v>2</v>
      </c>
      <c r="F3" s="88" t="s">
        <v>86</v>
      </c>
      <c r="G3" s="88" t="s">
        <v>27</v>
      </c>
      <c r="H3" s="88" t="s">
        <v>26</v>
      </c>
      <c r="I3" s="88" t="s">
        <v>2</v>
      </c>
      <c r="J3" s="88" t="s">
        <v>86</v>
      </c>
      <c r="K3" s="88" t="s">
        <v>27</v>
      </c>
      <c r="L3" s="88" t="s">
        <v>26</v>
      </c>
      <c r="M3" s="88" t="s">
        <v>2</v>
      </c>
      <c r="N3" s="88" t="s">
        <v>86</v>
      </c>
      <c r="O3" s="88" t="s">
        <v>27</v>
      </c>
      <c r="P3" s="88" t="s">
        <v>26</v>
      </c>
      <c r="Q3" s="88" t="s">
        <v>2</v>
      </c>
      <c r="R3" s="88" t="s">
        <v>86</v>
      </c>
      <c r="S3" s="88" t="s">
        <v>27</v>
      </c>
      <c r="T3" s="123" t="s">
        <v>26</v>
      </c>
      <c r="U3" s="123" t="s">
        <v>2</v>
      </c>
      <c r="V3" s="88" t="s">
        <v>86</v>
      </c>
      <c r="W3" s="123" t="s">
        <v>26</v>
      </c>
      <c r="X3" s="123" t="s">
        <v>2</v>
      </c>
      <c r="Y3" s="88" t="s">
        <v>86</v>
      </c>
      <c r="Z3" s="88" t="s">
        <v>26</v>
      </c>
      <c r="AA3" s="88" t="s">
        <v>2</v>
      </c>
      <c r="AB3" s="88" t="s">
        <v>86</v>
      </c>
      <c r="AC3" s="88" t="s">
        <v>27</v>
      </c>
      <c r="AD3" s="123" t="s">
        <v>26</v>
      </c>
      <c r="AE3" s="123" t="s">
        <v>2</v>
      </c>
      <c r="AF3" s="88" t="s">
        <v>86</v>
      </c>
      <c r="AG3" s="88" t="s">
        <v>27</v>
      </c>
      <c r="AH3" s="123" t="s">
        <v>26</v>
      </c>
      <c r="AI3" s="123" t="s">
        <v>2</v>
      </c>
      <c r="AJ3" s="88" t="s">
        <v>86</v>
      </c>
      <c r="AK3" s="88" t="s">
        <v>27</v>
      </c>
      <c r="AL3" s="88" t="s">
        <v>26</v>
      </c>
      <c r="AM3" s="88" t="s">
        <v>2</v>
      </c>
      <c r="AN3" s="88" t="s">
        <v>86</v>
      </c>
      <c r="AO3" s="88" t="s">
        <v>27</v>
      </c>
      <c r="AP3" s="123" t="s">
        <v>26</v>
      </c>
      <c r="AQ3" s="123" t="s">
        <v>2</v>
      </c>
      <c r="AR3" s="88" t="s">
        <v>86</v>
      </c>
      <c r="AS3" s="88" t="s">
        <v>27</v>
      </c>
      <c r="AT3" s="123" t="s">
        <v>26</v>
      </c>
      <c r="AU3" s="123" t="s">
        <v>2</v>
      </c>
      <c r="AV3" s="88" t="s">
        <v>86</v>
      </c>
      <c r="AW3" s="88" t="s">
        <v>27</v>
      </c>
      <c r="AX3" s="123" t="s">
        <v>26</v>
      </c>
      <c r="AY3" s="123" t="s">
        <v>2</v>
      </c>
      <c r="AZ3" s="88" t="s">
        <v>86</v>
      </c>
      <c r="BA3" s="88" t="s">
        <v>27</v>
      </c>
      <c r="BB3" s="123" t="s">
        <v>26</v>
      </c>
      <c r="BC3" s="123" t="s">
        <v>2</v>
      </c>
      <c r="BD3" s="88" t="s">
        <v>86</v>
      </c>
      <c r="BE3" s="88" t="s">
        <v>27</v>
      </c>
      <c r="BF3" s="123" t="s">
        <v>26</v>
      </c>
      <c r="BG3" s="123" t="s">
        <v>2</v>
      </c>
      <c r="BH3" s="88" t="s">
        <v>86</v>
      </c>
      <c r="BI3" s="88" t="s">
        <v>27</v>
      </c>
      <c r="BJ3" s="123" t="s">
        <v>26</v>
      </c>
      <c r="BK3" s="123" t="s">
        <v>2</v>
      </c>
      <c r="BL3" s="88" t="s">
        <v>86</v>
      </c>
      <c r="BM3" s="88" t="s">
        <v>27</v>
      </c>
      <c r="BN3" s="123" t="s">
        <v>26</v>
      </c>
      <c r="BO3" s="123" t="s">
        <v>2</v>
      </c>
      <c r="BP3" s="88" t="s">
        <v>86</v>
      </c>
      <c r="BQ3" s="88" t="s">
        <v>27</v>
      </c>
      <c r="BR3" s="123" t="s">
        <v>26</v>
      </c>
      <c r="BS3" s="123" t="s">
        <v>2</v>
      </c>
      <c r="BT3" s="88" t="s">
        <v>86</v>
      </c>
      <c r="BU3" s="88" t="s">
        <v>27</v>
      </c>
      <c r="BV3" s="123" t="s">
        <v>26</v>
      </c>
      <c r="BW3" s="123" t="s">
        <v>2</v>
      </c>
      <c r="BX3" s="88" t="s">
        <v>86</v>
      </c>
      <c r="BY3" s="88" t="s">
        <v>27</v>
      </c>
      <c r="BZ3" s="123" t="s">
        <v>26</v>
      </c>
      <c r="CA3" s="123" t="s">
        <v>2</v>
      </c>
      <c r="CB3" s="88" t="s">
        <v>86</v>
      </c>
      <c r="CC3" s="88" t="s">
        <v>27</v>
      </c>
      <c r="CD3" s="123" t="s">
        <v>26</v>
      </c>
      <c r="CE3" s="123" t="s">
        <v>2</v>
      </c>
      <c r="CF3" s="88" t="s">
        <v>86</v>
      </c>
      <c r="CG3" s="88" t="s">
        <v>27</v>
      </c>
      <c r="CH3" s="123" t="s">
        <v>26</v>
      </c>
      <c r="CI3" s="123" t="s">
        <v>2</v>
      </c>
      <c r="CJ3" s="88" t="s">
        <v>86</v>
      </c>
      <c r="CK3" s="88" t="s">
        <v>27</v>
      </c>
      <c r="CL3" s="123" t="s">
        <v>26</v>
      </c>
      <c r="CM3" s="123" t="s">
        <v>2</v>
      </c>
      <c r="CN3" s="88" t="s">
        <v>86</v>
      </c>
      <c r="CO3" s="88" t="s">
        <v>27</v>
      </c>
      <c r="CP3" s="123" t="s">
        <v>26</v>
      </c>
      <c r="CQ3" s="123" t="s">
        <v>2</v>
      </c>
      <c r="CR3" s="88" t="s">
        <v>86</v>
      </c>
      <c r="CS3" s="88" t="s">
        <v>27</v>
      </c>
      <c r="CT3" s="123" t="s">
        <v>26</v>
      </c>
      <c r="CU3" s="123" t="s">
        <v>2</v>
      </c>
      <c r="CV3" s="88" t="s">
        <v>86</v>
      </c>
      <c r="CW3" s="88" t="s">
        <v>27</v>
      </c>
      <c r="CX3" s="123" t="s">
        <v>26</v>
      </c>
      <c r="CY3" s="123" t="s">
        <v>2</v>
      </c>
      <c r="CZ3" s="88" t="s">
        <v>86</v>
      </c>
      <c r="DA3" s="88" t="s">
        <v>27</v>
      </c>
      <c r="DB3" s="123" t="s">
        <v>26</v>
      </c>
      <c r="DC3" s="123" t="s">
        <v>2</v>
      </c>
      <c r="DD3" s="88" t="s">
        <v>86</v>
      </c>
    </row>
    <row r="4" spans="1:108" x14ac:dyDescent="0.3">
      <c r="A4" s="30" t="s">
        <v>225</v>
      </c>
      <c r="B4" s="30" t="s">
        <v>75</v>
      </c>
      <c r="F4" s="86" t="str">
        <f t="shared" ref="F4:F68" si="0">IFERROR(E4/D4,"")</f>
        <v/>
      </c>
      <c r="G4" s="30"/>
      <c r="H4" s="30"/>
      <c r="I4" s="30"/>
      <c r="J4" s="86" t="str">
        <f t="shared" ref="J4:J67" si="1">IFERROR(I4/H4,"")</f>
        <v/>
      </c>
      <c r="K4" s="30"/>
      <c r="L4" s="30"/>
      <c r="M4" s="30"/>
      <c r="N4" s="86" t="str">
        <f t="shared" ref="N4:N67" si="2">IFERROR(M4/L4,"")</f>
        <v/>
      </c>
      <c r="O4" s="30"/>
      <c r="P4" s="30"/>
      <c r="Q4" s="30"/>
      <c r="R4" s="86" t="str">
        <f t="shared" ref="R4:R67" si="3">IFERROR(Q4/P4,"")</f>
        <v/>
      </c>
      <c r="S4" s="30"/>
      <c r="T4" s="124"/>
      <c r="U4" s="124"/>
      <c r="V4" s="86" t="str">
        <f t="shared" ref="V4:V67" si="4">IFERROR(U4/T4,"")</f>
        <v/>
      </c>
      <c r="W4" s="124"/>
      <c r="X4" s="124"/>
      <c r="Y4" s="86" t="str">
        <f t="shared" ref="Y4:Y67" si="5">IFERROR(X4/W4,"")</f>
        <v/>
      </c>
      <c r="Z4" s="30"/>
      <c r="AA4" s="30"/>
      <c r="AB4" s="30"/>
      <c r="AC4" s="30"/>
      <c r="AD4" s="124"/>
      <c r="AE4" s="124"/>
      <c r="AF4" s="86" t="str">
        <f t="shared" ref="AF4:AF67" si="6">IFERROR(AE4/AD4,"")</f>
        <v/>
      </c>
      <c r="AG4" s="30"/>
      <c r="AH4" s="124"/>
      <c r="AI4" s="124"/>
      <c r="AJ4" s="86" t="str">
        <f t="shared" ref="AJ4:AJ67" si="7">IFERROR(AI4/AH4,"")</f>
        <v/>
      </c>
      <c r="AK4" s="30"/>
      <c r="AL4" s="30"/>
      <c r="AM4" s="30"/>
      <c r="AN4" s="86" t="str">
        <f t="shared" ref="AN4:AN67" si="8">IFERROR(AM4/AL4,"")</f>
        <v/>
      </c>
      <c r="AO4" s="30"/>
      <c r="AP4" s="124"/>
      <c r="AQ4" s="124"/>
      <c r="AR4" s="86" t="str">
        <f t="shared" ref="AR4:AR67" si="9">IFERROR(AQ4/AP4,"")</f>
        <v/>
      </c>
      <c r="AS4" s="30"/>
      <c r="AT4" s="124"/>
      <c r="AU4" s="124"/>
      <c r="AV4" s="86" t="str">
        <f t="shared" ref="AV4:AV67" si="10">IFERROR(AU4/AT4,"")</f>
        <v/>
      </c>
      <c r="AW4" s="30"/>
      <c r="AX4" s="124"/>
      <c r="AY4" s="124"/>
      <c r="AZ4" s="86" t="str">
        <f t="shared" ref="AZ4:AZ67" si="11">IFERROR(AY4/AX4,"")</f>
        <v/>
      </c>
      <c r="BA4" s="30"/>
      <c r="BB4" s="124"/>
      <c r="BC4" s="124"/>
      <c r="BD4" s="86" t="str">
        <f t="shared" ref="BD4:BD67" si="12">IFERROR(BC4/BB4,"")</f>
        <v/>
      </c>
      <c r="BE4" s="30"/>
      <c r="BF4" s="124"/>
      <c r="BG4" s="124"/>
      <c r="BH4" s="86" t="str">
        <f t="shared" ref="BH4:BH67" si="13">IFERROR(BG4/BF4,"")</f>
        <v/>
      </c>
      <c r="BI4" s="30"/>
      <c r="BJ4" s="124"/>
      <c r="BK4" s="124"/>
      <c r="BL4" s="86" t="str">
        <f t="shared" ref="BL4:BL67" si="14">IFERROR(BK4/BJ4,"")</f>
        <v/>
      </c>
      <c r="BM4" s="30"/>
      <c r="BN4" s="124"/>
      <c r="BO4" s="124"/>
      <c r="BP4" s="86" t="str">
        <f t="shared" ref="BP4:BP67" si="15">IFERROR(BO4/BN4,"")</f>
        <v/>
      </c>
      <c r="BQ4" s="30"/>
      <c r="BR4" s="124"/>
      <c r="BS4" s="124"/>
      <c r="BT4" s="86" t="str">
        <f t="shared" ref="BT4:BT67" si="16">IFERROR(BS4/BR4,"")</f>
        <v/>
      </c>
      <c r="BU4" s="30"/>
      <c r="BV4" s="124"/>
      <c r="BW4" s="124"/>
      <c r="BX4" s="86" t="str">
        <f t="shared" ref="BX4:BX67" si="17">IFERROR(BW4/BV4,"")</f>
        <v/>
      </c>
      <c r="BY4" s="30"/>
      <c r="BZ4" s="124"/>
      <c r="CA4" s="124"/>
      <c r="CB4" s="86" t="str">
        <f t="shared" ref="CB4:CB67" si="18">IFERROR(CA4/BZ4,"")</f>
        <v/>
      </c>
      <c r="CC4" s="30"/>
      <c r="CD4" s="124"/>
      <c r="CE4" s="124"/>
      <c r="CF4" s="86" t="str">
        <f t="shared" ref="CF4:CF67" si="19">IFERROR(CE4/CD4,"")</f>
        <v/>
      </c>
      <c r="CG4" s="30"/>
      <c r="CH4" s="124"/>
      <c r="CI4" s="124"/>
      <c r="CJ4" s="86" t="str">
        <f t="shared" ref="CJ4:CJ67" si="20">IFERROR(CI4/CH4,"")</f>
        <v/>
      </c>
      <c r="CK4" s="30"/>
      <c r="CL4" s="124"/>
      <c r="CM4" s="124"/>
      <c r="CN4" s="86" t="str">
        <f t="shared" ref="CN4:CN67" si="21">IFERROR(CM4/CL4,"")</f>
        <v/>
      </c>
      <c r="CO4" s="30"/>
      <c r="CP4" s="124"/>
      <c r="CQ4" s="124"/>
      <c r="CR4" s="86" t="str">
        <f t="shared" ref="CR4:CR67" si="22">IFERROR(CQ4/CP4,"")</f>
        <v/>
      </c>
      <c r="CS4" s="30"/>
      <c r="CT4" s="124"/>
      <c r="CU4" s="124"/>
      <c r="CV4" s="86" t="str">
        <f t="shared" ref="CV4:CV67" si="23">IFERROR(CU4/CT4,"")</f>
        <v/>
      </c>
      <c r="CW4" s="30"/>
      <c r="CX4" s="124"/>
      <c r="CY4" s="124"/>
      <c r="CZ4" s="86" t="str">
        <f t="shared" ref="CZ4:CZ67" si="24">IFERROR(CY4/CX4,"")</f>
        <v/>
      </c>
      <c r="DA4" s="30"/>
      <c r="DC4" s="90">
        <v>39000</v>
      </c>
      <c r="DD4" s="86" t="str">
        <f t="shared" ref="DD4:DD67" si="25">IFERROR(DC4/DB4,"")</f>
        <v/>
      </c>
    </row>
    <row r="5" spans="1:108" x14ac:dyDescent="0.3">
      <c r="A5" s="30" t="s">
        <v>55</v>
      </c>
      <c r="B5" s="30" t="s">
        <v>75</v>
      </c>
      <c r="F5" s="86" t="str">
        <f t="shared" si="0"/>
        <v/>
      </c>
      <c r="G5" s="30"/>
      <c r="H5" s="30"/>
      <c r="I5" s="30"/>
      <c r="J5" s="86" t="str">
        <f t="shared" si="1"/>
        <v/>
      </c>
      <c r="K5" s="142" t="s">
        <v>1</v>
      </c>
      <c r="L5" s="142">
        <f>2370962*$D$174/$F$88</f>
        <v>64566.375892857141</v>
      </c>
      <c r="M5" s="142">
        <v>901643</v>
      </c>
      <c r="N5" s="143">
        <f t="shared" si="2"/>
        <v>13.964590509094178</v>
      </c>
      <c r="O5" s="144"/>
      <c r="P5" s="142">
        <f>2132370*$D$174/$F$88</f>
        <v>58069.004464285717</v>
      </c>
      <c r="Q5" s="142">
        <v>774667</v>
      </c>
      <c r="R5" s="143">
        <f t="shared" si="3"/>
        <v>13.340456016883238</v>
      </c>
      <c r="S5" s="30" t="s">
        <v>417</v>
      </c>
      <c r="T5" s="124">
        <f>33007455*$D$174/$F$88</f>
        <v>898863.72991071432</v>
      </c>
      <c r="U5" s="124">
        <v>683435</v>
      </c>
      <c r="V5" s="86">
        <f t="shared" si="4"/>
        <v>0.76033215854408409</v>
      </c>
      <c r="W5" s="124">
        <f>20175447*$D$174/$F$88</f>
        <v>549420.65491071425</v>
      </c>
      <c r="X5" s="124">
        <v>391986</v>
      </c>
      <c r="Y5" s="86">
        <f t="shared" si="5"/>
        <v>0.71345333761378382</v>
      </c>
      <c r="Z5" s="30"/>
      <c r="AA5" s="30"/>
      <c r="AB5" s="30"/>
      <c r="AC5" s="30"/>
      <c r="AD5" s="124"/>
      <c r="AE5" s="124"/>
      <c r="AF5" s="86" t="str">
        <f t="shared" si="6"/>
        <v/>
      </c>
      <c r="AG5" s="30"/>
      <c r="AH5" s="124"/>
      <c r="AI5" s="124"/>
      <c r="AJ5" s="86" t="str">
        <f t="shared" si="7"/>
        <v/>
      </c>
      <c r="AK5" s="30"/>
      <c r="AL5" s="30"/>
      <c r="AM5" s="30"/>
      <c r="AN5" s="86" t="str">
        <f t="shared" si="8"/>
        <v/>
      </c>
      <c r="AO5" s="30" t="s">
        <v>1</v>
      </c>
      <c r="AP5" s="90">
        <f>(1/$D$88)*103552</f>
        <v>5177.6000000000004</v>
      </c>
      <c r="AQ5" s="90">
        <v>29524</v>
      </c>
      <c r="AR5" s="86">
        <f t="shared" si="9"/>
        <v>5.7022558714462299</v>
      </c>
      <c r="AS5" s="70"/>
      <c r="AT5" s="90">
        <f>(1/$D$88)*339577</f>
        <v>16978.850000000002</v>
      </c>
      <c r="AU5" s="90">
        <v>84854</v>
      </c>
      <c r="AV5" s="86">
        <f t="shared" si="10"/>
        <v>4.9976294036404108</v>
      </c>
      <c r="AW5" s="70"/>
      <c r="AX5" s="90">
        <f>(1/$D$88)*1300230</f>
        <v>65011.5</v>
      </c>
      <c r="AY5" s="134">
        <v>331675</v>
      </c>
      <c r="AZ5" s="86">
        <f t="shared" si="11"/>
        <v>5.1017896833637124</v>
      </c>
      <c r="BA5" s="70"/>
      <c r="BB5" s="90">
        <f>(1/$D$88)*1930400</f>
        <v>96520</v>
      </c>
      <c r="BC5" s="90">
        <v>604485</v>
      </c>
      <c r="BD5" s="86">
        <f t="shared" si="12"/>
        <v>6.2627952755905509</v>
      </c>
      <c r="BE5" s="90" t="s">
        <v>1</v>
      </c>
      <c r="BF5" s="90">
        <f>(1/$D$88)*131200</f>
        <v>6560</v>
      </c>
      <c r="BG5" s="90">
        <v>42563</v>
      </c>
      <c r="BH5" s="86">
        <f t="shared" si="13"/>
        <v>6.4882621951219512</v>
      </c>
      <c r="BI5" s="90" t="s">
        <v>1</v>
      </c>
      <c r="BJ5" s="90">
        <f>(1/$D$88)*406400</f>
        <v>20320</v>
      </c>
      <c r="BK5" s="90">
        <v>119366</v>
      </c>
      <c r="BL5" s="86">
        <f t="shared" si="14"/>
        <v>5.874311023622047</v>
      </c>
      <c r="BM5" s="90" t="s">
        <v>1</v>
      </c>
      <c r="BN5" s="90">
        <f>(1/$D$88)*345525</f>
        <v>17276.25</v>
      </c>
      <c r="BO5" s="90">
        <v>104537</v>
      </c>
      <c r="BP5" s="86">
        <f t="shared" si="15"/>
        <v>6.0509080384921496</v>
      </c>
      <c r="BQ5" s="30"/>
      <c r="BR5" s="124"/>
      <c r="BS5" s="124"/>
      <c r="BT5" s="86" t="str">
        <f t="shared" si="16"/>
        <v/>
      </c>
      <c r="BU5" s="30"/>
      <c r="BV5" s="124"/>
      <c r="BW5" s="124"/>
      <c r="BX5" s="86" t="str">
        <f t="shared" si="17"/>
        <v/>
      </c>
      <c r="BY5" s="30"/>
      <c r="BZ5" s="124"/>
      <c r="CA5" s="124"/>
      <c r="CB5" s="86" t="str">
        <f t="shared" si="18"/>
        <v/>
      </c>
      <c r="CC5" s="30"/>
      <c r="CD5" s="124"/>
      <c r="CE5" s="124"/>
      <c r="CF5" s="86" t="str">
        <f t="shared" si="19"/>
        <v/>
      </c>
      <c r="CG5" s="30"/>
      <c r="CH5" s="124"/>
      <c r="CI5" s="124"/>
      <c r="CJ5" s="86" t="str">
        <f t="shared" si="20"/>
        <v/>
      </c>
      <c r="CK5" s="30"/>
      <c r="CL5" s="124"/>
      <c r="CM5" s="124"/>
      <c r="CN5" s="86" t="str">
        <f t="shared" si="21"/>
        <v/>
      </c>
      <c r="CO5" s="30"/>
      <c r="CP5" s="124"/>
      <c r="CQ5" s="124"/>
      <c r="CR5" s="86" t="str">
        <f t="shared" si="22"/>
        <v/>
      </c>
      <c r="CS5" s="30"/>
      <c r="CT5" s="124"/>
      <c r="CU5" s="124"/>
      <c r="CV5" s="86" t="str">
        <f t="shared" si="23"/>
        <v/>
      </c>
      <c r="CW5" s="30"/>
      <c r="CX5" s="124"/>
      <c r="CY5" s="124"/>
      <c r="CZ5" s="86" t="str">
        <f t="shared" si="24"/>
        <v/>
      </c>
      <c r="DA5" s="30" t="s">
        <v>1</v>
      </c>
      <c r="DB5" s="90">
        <v>38602</v>
      </c>
      <c r="DC5" s="90">
        <v>280000</v>
      </c>
      <c r="DD5" s="86">
        <f t="shared" si="25"/>
        <v>7.2535101808196467</v>
      </c>
    </row>
    <row r="6" spans="1:108" x14ac:dyDescent="0.3">
      <c r="A6" s="30" t="s">
        <v>33</v>
      </c>
      <c r="B6" s="30" t="s">
        <v>75</v>
      </c>
      <c r="F6" s="86" t="str">
        <f t="shared" si="0"/>
        <v/>
      </c>
      <c r="G6" s="30"/>
      <c r="H6" s="30"/>
      <c r="I6" s="30"/>
      <c r="J6" s="86" t="str">
        <f t="shared" si="1"/>
        <v/>
      </c>
      <c r="K6" s="142" t="s">
        <v>1</v>
      </c>
      <c r="L6" s="142">
        <f>2563584*$D$175/$F$88</f>
        <v>50928.342857142859</v>
      </c>
      <c r="M6" s="142">
        <v>332377</v>
      </c>
      <c r="N6" s="143">
        <f t="shared" si="2"/>
        <v>6.5263658967333367</v>
      </c>
      <c r="O6" s="144"/>
      <c r="P6" s="142">
        <f>1115161*$D$175/$F$88</f>
        <v>22153.868080357144</v>
      </c>
      <c r="Q6" s="142">
        <v>155752</v>
      </c>
      <c r="R6" s="143">
        <f t="shared" si="3"/>
        <v>7.0304652639011795</v>
      </c>
      <c r="S6" s="30" t="s">
        <v>417</v>
      </c>
      <c r="T6" s="124">
        <f>5676716</f>
        <v>5676716</v>
      </c>
      <c r="U6" s="124">
        <v>102270</v>
      </c>
      <c r="V6" s="86">
        <f t="shared" si="4"/>
        <v>1.8015697808380762E-2</v>
      </c>
      <c r="W6" s="124">
        <f>5329371</f>
        <v>5329371</v>
      </c>
      <c r="X6" s="124">
        <v>47809</v>
      </c>
      <c r="Y6" s="86">
        <f t="shared" si="5"/>
        <v>8.9708522825676807E-3</v>
      </c>
      <c r="Z6" s="30"/>
      <c r="AA6" s="30"/>
      <c r="AB6" s="30"/>
      <c r="AC6" s="30"/>
      <c r="AD6" s="124"/>
      <c r="AE6" s="124"/>
      <c r="AF6" s="86" t="str">
        <f t="shared" si="6"/>
        <v/>
      </c>
      <c r="AG6" s="30"/>
      <c r="AH6" s="124"/>
      <c r="AI6" s="124"/>
      <c r="AJ6" s="86" t="str">
        <f t="shared" si="7"/>
        <v/>
      </c>
      <c r="AK6" s="30"/>
      <c r="AL6" s="30"/>
      <c r="AM6" s="30"/>
      <c r="AN6" s="86" t="str">
        <f t="shared" si="8"/>
        <v/>
      </c>
      <c r="AO6" s="30" t="s">
        <v>1</v>
      </c>
      <c r="AP6" s="90">
        <f>(1/$D$88)*3501401</f>
        <v>175070.05000000002</v>
      </c>
      <c r="AQ6" s="90">
        <v>1052655</v>
      </c>
      <c r="AR6" s="86">
        <f t="shared" si="9"/>
        <v>6.0127646047967653</v>
      </c>
      <c r="AS6" s="70"/>
      <c r="AT6" s="90">
        <f>(1/$D$88)*2972697</f>
        <v>148634.85</v>
      </c>
      <c r="AU6" s="90">
        <v>861784</v>
      </c>
      <c r="AV6" s="86">
        <f t="shared" si="10"/>
        <v>5.7979942119899874</v>
      </c>
      <c r="AW6" s="70"/>
      <c r="AX6" s="90">
        <f>(1/$D$88)*3920690</f>
        <v>196034.5</v>
      </c>
      <c r="AY6" s="134">
        <v>1014102</v>
      </c>
      <c r="AZ6" s="86">
        <f t="shared" si="11"/>
        <v>5.1730792284011233</v>
      </c>
      <c r="BA6" s="70"/>
      <c r="BB6" s="90">
        <f>(1/$D$88)*3680760</f>
        <v>184038</v>
      </c>
      <c r="BC6" s="90">
        <v>994714</v>
      </c>
      <c r="BD6" s="86">
        <f t="shared" si="12"/>
        <v>5.404938110607592</v>
      </c>
      <c r="BE6" s="90" t="s">
        <v>1</v>
      </c>
      <c r="BF6" s="90">
        <f>(1/$D$88)*4203270</f>
        <v>210163.5</v>
      </c>
      <c r="BG6" s="90">
        <v>1295378</v>
      </c>
      <c r="BH6" s="86">
        <f t="shared" si="13"/>
        <v>6.1636678110138057</v>
      </c>
      <c r="BI6" s="90" t="s">
        <v>1</v>
      </c>
      <c r="BJ6" s="90">
        <f>(1/$D$88)*4635400</f>
        <v>231770</v>
      </c>
      <c r="BK6" s="90">
        <v>1360876</v>
      </c>
      <c r="BL6" s="86">
        <f t="shared" si="14"/>
        <v>5.871665875652587</v>
      </c>
      <c r="BM6" s="90" t="s">
        <v>1</v>
      </c>
      <c r="BN6" s="90">
        <f>(1/$D$88)*3864461</f>
        <v>193223.05000000002</v>
      </c>
      <c r="BO6" s="90">
        <v>1229066</v>
      </c>
      <c r="BP6" s="86">
        <f t="shared" si="15"/>
        <v>6.3608663666161975</v>
      </c>
      <c r="BQ6" s="30"/>
      <c r="BR6" s="124"/>
      <c r="BS6" s="124"/>
      <c r="BT6" s="86" t="str">
        <f t="shared" si="16"/>
        <v/>
      </c>
      <c r="BU6" s="30"/>
      <c r="BV6" s="124"/>
      <c r="BW6" s="124"/>
      <c r="BX6" s="86" t="str">
        <f t="shared" si="17"/>
        <v/>
      </c>
      <c r="BY6" s="30"/>
      <c r="BZ6" s="124"/>
      <c r="CA6" s="124"/>
      <c r="CB6" s="86" t="str">
        <f t="shared" si="18"/>
        <v/>
      </c>
      <c r="CC6" s="30"/>
      <c r="CD6" s="124"/>
      <c r="CE6" s="124"/>
      <c r="CF6" s="86" t="str">
        <f t="shared" si="19"/>
        <v/>
      </c>
      <c r="CG6" s="30"/>
      <c r="CH6" s="124"/>
      <c r="CI6" s="124"/>
      <c r="CJ6" s="86" t="str">
        <f t="shared" si="20"/>
        <v/>
      </c>
      <c r="CK6" s="30"/>
      <c r="CL6" s="124"/>
      <c r="CM6" s="124"/>
      <c r="CN6" s="86" t="str">
        <f t="shared" si="21"/>
        <v/>
      </c>
      <c r="CO6" s="30"/>
      <c r="CP6" s="124"/>
      <c r="CQ6" s="124"/>
      <c r="CR6" s="86" t="str">
        <f t="shared" si="22"/>
        <v/>
      </c>
      <c r="CS6" s="30"/>
      <c r="CT6" s="124"/>
      <c r="CU6" s="124"/>
      <c r="CV6" s="86" t="str">
        <f t="shared" si="23"/>
        <v/>
      </c>
      <c r="CW6" s="30"/>
      <c r="CX6" s="124"/>
      <c r="CY6" s="124"/>
      <c r="CZ6" s="86" t="str">
        <f t="shared" si="24"/>
        <v/>
      </c>
      <c r="DA6" s="30" t="s">
        <v>1</v>
      </c>
      <c r="DB6" s="90">
        <v>259193</v>
      </c>
      <c r="DC6" s="90">
        <v>1396000</v>
      </c>
      <c r="DD6" s="86">
        <f t="shared" si="25"/>
        <v>5.3859479229763148</v>
      </c>
    </row>
    <row r="7" spans="1:108" x14ac:dyDescent="0.3">
      <c r="A7" s="30" t="s">
        <v>199</v>
      </c>
      <c r="B7" s="30" t="s">
        <v>75</v>
      </c>
      <c r="F7" s="86" t="str">
        <f t="shared" si="0"/>
        <v/>
      </c>
      <c r="G7" s="30"/>
      <c r="H7" s="30"/>
      <c r="I7" s="30"/>
      <c r="J7" s="86" t="str">
        <f t="shared" si="1"/>
        <v/>
      </c>
      <c r="K7" s="30"/>
      <c r="L7" s="30"/>
      <c r="M7" s="30"/>
      <c r="N7" s="86" t="str">
        <f t="shared" si="2"/>
        <v/>
      </c>
      <c r="O7" s="30"/>
      <c r="P7" s="30"/>
      <c r="Q7" s="30"/>
      <c r="R7" s="86" t="str">
        <f t="shared" si="3"/>
        <v/>
      </c>
      <c r="S7" s="30" t="s">
        <v>417</v>
      </c>
      <c r="T7" s="124">
        <f>14589615</f>
        <v>14589615</v>
      </c>
      <c r="U7" s="124">
        <v>68017</v>
      </c>
      <c r="V7" s="86">
        <f t="shared" si="4"/>
        <v>4.6620147275990486E-3</v>
      </c>
      <c r="W7" s="124">
        <f>11416246</f>
        <v>11416246</v>
      </c>
      <c r="X7" s="124">
        <v>58965</v>
      </c>
      <c r="Y7" s="86">
        <f t="shared" si="5"/>
        <v>5.1650078318214235E-3</v>
      </c>
      <c r="Z7" s="30"/>
      <c r="AA7" s="30"/>
      <c r="AB7" s="30"/>
      <c r="AC7" s="30"/>
      <c r="AD7" s="124"/>
      <c r="AE7" s="124"/>
      <c r="AF7" s="86" t="str">
        <f t="shared" si="6"/>
        <v/>
      </c>
      <c r="AG7" s="30"/>
      <c r="AH7" s="124"/>
      <c r="AI7" s="124"/>
      <c r="AJ7" s="86" t="str">
        <f t="shared" si="7"/>
        <v/>
      </c>
      <c r="AK7" s="30"/>
      <c r="AL7" s="30"/>
      <c r="AM7" s="30"/>
      <c r="AN7" s="86" t="str">
        <f t="shared" si="8"/>
        <v/>
      </c>
      <c r="AO7" s="30" t="s">
        <v>1</v>
      </c>
      <c r="AP7" s="90">
        <f>(1/$D$88)*182311</f>
        <v>9115.5500000000011</v>
      </c>
      <c r="AQ7" s="90">
        <v>52022</v>
      </c>
      <c r="AR7" s="86">
        <f t="shared" si="9"/>
        <v>5.7069513084783683</v>
      </c>
      <c r="AS7" s="70"/>
      <c r="AT7" s="90">
        <f>(1/$D$88)*194806</f>
        <v>9740.3000000000011</v>
      </c>
      <c r="AU7" s="90">
        <v>44480</v>
      </c>
      <c r="AV7" s="86">
        <f t="shared" si="10"/>
        <v>4.5665944580762394</v>
      </c>
      <c r="AW7" s="70"/>
      <c r="AX7" s="90">
        <f>(1/$D$88)*460910</f>
        <v>23045.5</v>
      </c>
      <c r="AY7" s="134">
        <v>101722</v>
      </c>
      <c r="AZ7" s="86">
        <f t="shared" si="11"/>
        <v>4.4139636805450086</v>
      </c>
      <c r="BA7" s="70"/>
      <c r="BB7" s="90">
        <f>(1/$D$88)*433340</f>
        <v>21667</v>
      </c>
      <c r="BC7" s="90">
        <v>98059</v>
      </c>
      <c r="BD7" s="86">
        <f t="shared" si="12"/>
        <v>4.5257303733788712</v>
      </c>
      <c r="BE7" s="90" t="s">
        <v>1</v>
      </c>
      <c r="BF7" s="90">
        <f>(1/$D$88)*127900</f>
        <v>6395</v>
      </c>
      <c r="BG7" s="90">
        <v>31700</v>
      </c>
      <c r="BH7" s="86">
        <f t="shared" si="13"/>
        <v>4.9569976544175134</v>
      </c>
      <c r="BI7" s="90" t="s">
        <v>1</v>
      </c>
      <c r="BJ7" s="90">
        <f>(1/$D$88)*623000</f>
        <v>31150</v>
      </c>
      <c r="BK7" s="90">
        <v>168000</v>
      </c>
      <c r="BL7" s="86">
        <f t="shared" si="14"/>
        <v>5.393258426966292</v>
      </c>
      <c r="BO7" s="90"/>
      <c r="BP7" s="86" t="str">
        <f t="shared" si="15"/>
        <v/>
      </c>
      <c r="BQ7" s="30"/>
      <c r="BR7" s="124"/>
      <c r="BS7" s="124"/>
      <c r="BT7" s="86" t="str">
        <f t="shared" si="16"/>
        <v/>
      </c>
      <c r="BU7" s="30"/>
      <c r="BV7" s="124"/>
      <c r="BW7" s="124"/>
      <c r="BX7" s="86" t="str">
        <f t="shared" si="17"/>
        <v/>
      </c>
      <c r="BY7" s="30"/>
      <c r="BZ7" s="124"/>
      <c r="CA7" s="124"/>
      <c r="CB7" s="86" t="str">
        <f t="shared" si="18"/>
        <v/>
      </c>
      <c r="CC7" s="30"/>
      <c r="CD7" s="124"/>
      <c r="CE7" s="124"/>
      <c r="CF7" s="86" t="str">
        <f t="shared" si="19"/>
        <v/>
      </c>
      <c r="CG7" s="30"/>
      <c r="CH7" s="124"/>
      <c r="CI7" s="124"/>
      <c r="CJ7" s="86" t="str">
        <f t="shared" si="20"/>
        <v/>
      </c>
      <c r="CK7" s="30"/>
      <c r="CL7" s="124"/>
      <c r="CM7" s="124"/>
      <c r="CN7" s="86" t="str">
        <f t="shared" si="21"/>
        <v/>
      </c>
      <c r="CO7" s="30"/>
      <c r="CP7" s="124"/>
      <c r="CQ7" s="124"/>
      <c r="CR7" s="86" t="str">
        <f t="shared" si="22"/>
        <v/>
      </c>
      <c r="CS7" s="30"/>
      <c r="CT7" s="124"/>
      <c r="CU7" s="124"/>
      <c r="CV7" s="86" t="str">
        <f t="shared" si="23"/>
        <v/>
      </c>
      <c r="CW7" s="30"/>
      <c r="CX7" s="124"/>
      <c r="CY7" s="124"/>
      <c r="CZ7" s="86" t="str">
        <f t="shared" si="24"/>
        <v/>
      </c>
      <c r="DA7" s="30" t="s">
        <v>1</v>
      </c>
      <c r="DB7" s="90">
        <v>35949</v>
      </c>
      <c r="DC7" s="90">
        <v>177000</v>
      </c>
      <c r="DD7" s="86">
        <f t="shared" si="25"/>
        <v>4.9236418259200532</v>
      </c>
    </row>
    <row r="8" spans="1:108" x14ac:dyDescent="0.3">
      <c r="A8" s="30" t="s">
        <v>203</v>
      </c>
      <c r="B8" s="30" t="s">
        <v>75</v>
      </c>
      <c r="F8" s="86" t="str">
        <f t="shared" si="0"/>
        <v/>
      </c>
      <c r="G8" s="30"/>
      <c r="H8" s="30"/>
      <c r="I8" s="30"/>
      <c r="J8" s="86" t="str">
        <f t="shared" si="1"/>
        <v/>
      </c>
      <c r="K8" s="30"/>
      <c r="L8" s="30"/>
      <c r="M8" s="30"/>
      <c r="N8" s="86" t="str">
        <f t="shared" si="2"/>
        <v/>
      </c>
      <c r="O8" s="30"/>
      <c r="P8" s="30"/>
      <c r="Q8" s="30"/>
      <c r="R8" s="86" t="str">
        <f t="shared" si="3"/>
        <v/>
      </c>
      <c r="S8" s="30" t="s">
        <v>417</v>
      </c>
      <c r="T8" s="124">
        <f>3686166</f>
        <v>3686166</v>
      </c>
      <c r="U8" s="124">
        <v>171077</v>
      </c>
      <c r="V8" s="86">
        <f t="shared" si="4"/>
        <v>4.6410552319130501E-2</v>
      </c>
      <c r="W8" s="124">
        <f>7450041</f>
        <v>7450041</v>
      </c>
      <c r="X8" s="124">
        <v>102210</v>
      </c>
      <c r="Y8" s="86">
        <f t="shared" si="5"/>
        <v>1.3719387584578394E-2</v>
      </c>
      <c r="Z8" s="30"/>
      <c r="AA8" s="30"/>
      <c r="AB8" s="30"/>
      <c r="AC8" s="30"/>
      <c r="AD8" s="124"/>
      <c r="AE8" s="124"/>
      <c r="AF8" s="86" t="str">
        <f t="shared" si="6"/>
        <v/>
      </c>
      <c r="AG8" s="30"/>
      <c r="AH8" s="124"/>
      <c r="AI8" s="124"/>
      <c r="AJ8" s="86" t="str">
        <f t="shared" si="7"/>
        <v/>
      </c>
      <c r="AK8" s="30"/>
      <c r="AL8" s="30"/>
      <c r="AM8" s="30"/>
      <c r="AN8" s="86" t="str">
        <f t="shared" si="8"/>
        <v/>
      </c>
      <c r="AO8" s="30" t="s">
        <v>1</v>
      </c>
      <c r="AP8" s="90">
        <f>(1/$D$88)*578189</f>
        <v>28909.45</v>
      </c>
      <c r="AQ8" s="90">
        <v>155123</v>
      </c>
      <c r="AR8" s="86">
        <f t="shared" si="9"/>
        <v>5.3658232861572941</v>
      </c>
      <c r="AS8" s="70"/>
      <c r="AT8" s="90">
        <f>(1/$D$88)*699454</f>
        <v>34972.700000000004</v>
      </c>
      <c r="AU8" s="90">
        <v>167206</v>
      </c>
      <c r="AV8" s="86">
        <f t="shared" si="10"/>
        <v>4.7810434996440074</v>
      </c>
      <c r="AW8" s="70"/>
      <c r="AX8" s="90">
        <f>(1/$D$88)*981138</f>
        <v>49056.9</v>
      </c>
      <c r="AY8" s="134">
        <v>226210</v>
      </c>
      <c r="AZ8" s="86">
        <f t="shared" si="11"/>
        <v>4.6111760017449122</v>
      </c>
      <c r="BA8" s="70"/>
      <c r="BB8" s="90">
        <f>(1/$D$88)*932660</f>
        <v>46633</v>
      </c>
      <c r="BC8" s="90">
        <v>228055</v>
      </c>
      <c r="BD8" s="86">
        <f t="shared" si="12"/>
        <v>4.8904209465400035</v>
      </c>
      <c r="BE8" s="90" t="s">
        <v>1</v>
      </c>
      <c r="BF8" s="90">
        <f>(1/$D$88)*401100</f>
        <v>20055</v>
      </c>
      <c r="BG8" s="90">
        <v>125159</v>
      </c>
      <c r="BH8" s="86">
        <f t="shared" si="13"/>
        <v>6.2407878334579907</v>
      </c>
      <c r="BI8" s="90" t="s">
        <v>1</v>
      </c>
      <c r="BJ8" s="90">
        <f>(1/$D$88)*471000</f>
        <v>23550</v>
      </c>
      <c r="BK8" s="90">
        <v>156893</v>
      </c>
      <c r="BL8" s="86">
        <f t="shared" si="14"/>
        <v>6.6621231422505307</v>
      </c>
      <c r="BM8" s="90" t="s">
        <v>1</v>
      </c>
      <c r="BN8" s="90">
        <f>(1/$D$88)*542331</f>
        <v>27116.550000000003</v>
      </c>
      <c r="BO8" s="90">
        <v>180235</v>
      </c>
      <c r="BP8" s="86">
        <f t="shared" si="15"/>
        <v>6.6466788732342419</v>
      </c>
      <c r="BQ8" s="30"/>
      <c r="BR8" s="124"/>
      <c r="BS8" s="124"/>
      <c r="BT8" s="86" t="str">
        <f t="shared" si="16"/>
        <v/>
      </c>
      <c r="BU8" s="30"/>
      <c r="BV8" s="124"/>
      <c r="BW8" s="124"/>
      <c r="BX8" s="86" t="str">
        <f t="shared" si="17"/>
        <v/>
      </c>
      <c r="BY8" s="30"/>
      <c r="BZ8" s="124"/>
      <c r="CA8" s="124"/>
      <c r="CB8" s="86" t="str">
        <f t="shared" si="18"/>
        <v/>
      </c>
      <c r="CC8" s="30"/>
      <c r="CD8" s="124"/>
      <c r="CE8" s="124"/>
      <c r="CF8" s="86" t="str">
        <f t="shared" si="19"/>
        <v/>
      </c>
      <c r="CG8" s="30"/>
      <c r="CH8" s="124"/>
      <c r="CI8" s="124"/>
      <c r="CJ8" s="86" t="str">
        <f t="shared" si="20"/>
        <v/>
      </c>
      <c r="CK8" s="30"/>
      <c r="CL8" s="124"/>
      <c r="CM8" s="124"/>
      <c r="CN8" s="86" t="str">
        <f t="shared" si="21"/>
        <v/>
      </c>
      <c r="CO8" s="30"/>
      <c r="CP8" s="124"/>
      <c r="CQ8" s="124"/>
      <c r="CR8" s="86" t="str">
        <f t="shared" si="22"/>
        <v/>
      </c>
      <c r="CS8" s="30"/>
      <c r="CT8" s="124"/>
      <c r="CU8" s="124"/>
      <c r="CV8" s="86" t="str">
        <f t="shared" si="23"/>
        <v/>
      </c>
      <c r="CW8" s="30"/>
      <c r="CX8" s="124"/>
      <c r="CY8" s="124"/>
      <c r="CZ8" s="86" t="str">
        <f t="shared" si="24"/>
        <v/>
      </c>
      <c r="DA8" s="30" t="s">
        <v>1</v>
      </c>
      <c r="DB8" s="90">
        <v>50965</v>
      </c>
      <c r="DC8" s="90">
        <v>355000</v>
      </c>
      <c r="DD8" s="86">
        <f t="shared" si="25"/>
        <v>6.9655646031590308</v>
      </c>
    </row>
    <row r="9" spans="1:108" x14ac:dyDescent="0.3">
      <c r="A9" s="30" t="s">
        <v>47</v>
      </c>
      <c r="B9" s="30" t="s">
        <v>75</v>
      </c>
      <c r="F9" s="86" t="str">
        <f t="shared" si="0"/>
        <v/>
      </c>
      <c r="G9" s="30"/>
      <c r="H9" s="30"/>
      <c r="I9" s="30"/>
      <c r="J9" s="86" t="str">
        <f t="shared" si="1"/>
        <v/>
      </c>
      <c r="K9" s="142" t="s">
        <v>1</v>
      </c>
      <c r="L9" s="142">
        <f>1812675*$D$176/$F$88</f>
        <v>49363.024553571428</v>
      </c>
      <c r="M9" s="142">
        <v>194540</v>
      </c>
      <c r="N9" s="143">
        <f t="shared" si="2"/>
        <v>3.941006487332936</v>
      </c>
      <c r="O9" s="144"/>
      <c r="P9" s="142">
        <f>701593*$D$176/$F$88</f>
        <v>19105.880803571428</v>
      </c>
      <c r="Q9" s="142">
        <v>124444</v>
      </c>
      <c r="R9" s="143">
        <f t="shared" si="3"/>
        <v>6.5133872277031006</v>
      </c>
      <c r="S9" s="30" t="s">
        <v>417</v>
      </c>
      <c r="T9" s="124">
        <f>9434789</f>
        <v>9434789</v>
      </c>
      <c r="U9" s="124">
        <v>89555</v>
      </c>
      <c r="V9" s="86">
        <f t="shared" si="4"/>
        <v>9.4919981782316497E-3</v>
      </c>
      <c r="W9" s="124">
        <f>6651223</f>
        <v>6651223</v>
      </c>
      <c r="X9" s="124">
        <v>69002</v>
      </c>
      <c r="Y9" s="86">
        <f t="shared" si="5"/>
        <v>1.0374332660324274E-2</v>
      </c>
      <c r="Z9" s="30"/>
      <c r="AA9" s="30"/>
      <c r="AB9" s="30"/>
      <c r="AC9" s="30"/>
      <c r="AD9" s="124"/>
      <c r="AE9" s="124"/>
      <c r="AF9" s="86" t="str">
        <f t="shared" si="6"/>
        <v/>
      </c>
      <c r="AG9" s="30"/>
      <c r="AH9" s="124"/>
      <c r="AI9" s="124"/>
      <c r="AJ9" s="86" t="str">
        <f t="shared" si="7"/>
        <v/>
      </c>
      <c r="AK9" s="30"/>
      <c r="AL9" s="30"/>
      <c r="AM9" s="30"/>
      <c r="AN9" s="86" t="str">
        <f t="shared" si="8"/>
        <v/>
      </c>
      <c r="AO9" s="30" t="s">
        <v>1</v>
      </c>
      <c r="AP9" s="90">
        <f>(1/$D$88)*949355</f>
        <v>47467.75</v>
      </c>
      <c r="AQ9" s="90">
        <v>226718</v>
      </c>
      <c r="AR9" s="86">
        <f t="shared" si="9"/>
        <v>4.7762533509593359</v>
      </c>
      <c r="AS9" s="70"/>
      <c r="AT9" s="90">
        <f>(1/$D$88)*954311</f>
        <v>47715.55</v>
      </c>
      <c r="AU9" s="90">
        <v>220032</v>
      </c>
      <c r="AV9" s="86">
        <f t="shared" si="10"/>
        <v>4.6113269154395153</v>
      </c>
      <c r="AW9" s="70"/>
      <c r="AX9" s="90">
        <f>(1/$D$88)*294490</f>
        <v>14724.5</v>
      </c>
      <c r="AY9" s="134">
        <v>72896</v>
      </c>
      <c r="AZ9" s="86">
        <f t="shared" si="11"/>
        <v>4.9506604638527625</v>
      </c>
      <c r="BA9" s="70"/>
      <c r="BB9" s="90">
        <f>(1/$D$88)*6300</f>
        <v>315</v>
      </c>
      <c r="BC9" s="90">
        <v>1373</v>
      </c>
      <c r="BD9" s="86">
        <f t="shared" si="12"/>
        <v>4.3587301587301583</v>
      </c>
      <c r="BE9" s="90" t="s">
        <v>1</v>
      </c>
      <c r="BF9" s="90">
        <f>(1/$D$88)*115000</f>
        <v>5750</v>
      </c>
      <c r="BG9" s="90">
        <v>29000</v>
      </c>
      <c r="BH9" s="86">
        <f t="shared" si="13"/>
        <v>5.0434782608695654</v>
      </c>
      <c r="BI9" s="90" t="s">
        <v>1</v>
      </c>
      <c r="BJ9" s="90">
        <f>(1/$D$88)*1073000</f>
        <v>53650</v>
      </c>
      <c r="BK9" s="90">
        <v>288000</v>
      </c>
      <c r="BL9" s="86">
        <f t="shared" si="14"/>
        <v>5.368126747437092</v>
      </c>
      <c r="BO9" s="90"/>
      <c r="BP9" s="86" t="str">
        <f t="shared" si="15"/>
        <v/>
      </c>
      <c r="BQ9" s="30"/>
      <c r="BR9" s="124"/>
      <c r="BS9" s="124"/>
      <c r="BT9" s="86" t="str">
        <f t="shared" si="16"/>
        <v/>
      </c>
      <c r="BU9" s="30"/>
      <c r="BV9" s="124"/>
      <c r="BW9" s="124"/>
      <c r="BX9" s="86" t="str">
        <f t="shared" si="17"/>
        <v/>
      </c>
      <c r="BY9" s="30"/>
      <c r="BZ9" s="124"/>
      <c r="CA9" s="124"/>
      <c r="CB9" s="86" t="str">
        <f t="shared" si="18"/>
        <v/>
      </c>
      <c r="CC9" s="30"/>
      <c r="CD9" s="124"/>
      <c r="CE9" s="124"/>
      <c r="CF9" s="86" t="str">
        <f t="shared" si="19"/>
        <v/>
      </c>
      <c r="CG9" s="30"/>
      <c r="CH9" s="124"/>
      <c r="CI9" s="124"/>
      <c r="CJ9" s="86" t="str">
        <f t="shared" si="20"/>
        <v/>
      </c>
      <c r="CK9" s="30"/>
      <c r="CL9" s="124"/>
      <c r="CM9" s="124"/>
      <c r="CN9" s="86" t="str">
        <f t="shared" si="21"/>
        <v/>
      </c>
      <c r="CO9" s="30"/>
      <c r="CP9" s="124"/>
      <c r="CQ9" s="124"/>
      <c r="CR9" s="86" t="str">
        <f t="shared" si="22"/>
        <v/>
      </c>
      <c r="CS9" s="30"/>
      <c r="CT9" s="124"/>
      <c r="CU9" s="124"/>
      <c r="CV9" s="86" t="str">
        <f t="shared" si="23"/>
        <v/>
      </c>
      <c r="CW9" s="30"/>
      <c r="CX9" s="124"/>
      <c r="CY9" s="124"/>
      <c r="CZ9" s="86" t="str">
        <f t="shared" si="24"/>
        <v/>
      </c>
      <c r="DA9" s="30" t="s">
        <v>1</v>
      </c>
      <c r="DB9" s="90">
        <v>54468</v>
      </c>
      <c r="DC9" s="90">
        <v>310000</v>
      </c>
      <c r="DD9" s="86">
        <f t="shared" si="25"/>
        <v>5.6914151428361608</v>
      </c>
    </row>
    <row r="10" spans="1:108" x14ac:dyDescent="0.3">
      <c r="A10" s="30" t="s">
        <v>305</v>
      </c>
      <c r="B10" s="30" t="s">
        <v>75</v>
      </c>
      <c r="F10" s="86" t="str">
        <f t="shared" si="0"/>
        <v/>
      </c>
      <c r="G10" s="30"/>
      <c r="H10" s="30"/>
      <c r="I10" s="30"/>
      <c r="J10" s="86" t="str">
        <f t="shared" si="1"/>
        <v/>
      </c>
      <c r="K10" s="30"/>
      <c r="L10" s="30"/>
      <c r="M10" s="30"/>
      <c r="N10" s="86" t="str">
        <f t="shared" si="2"/>
        <v/>
      </c>
      <c r="O10" s="30"/>
      <c r="P10" s="30"/>
      <c r="Q10" s="30"/>
      <c r="R10" s="86" t="str">
        <f t="shared" si="3"/>
        <v/>
      </c>
      <c r="S10" s="30"/>
      <c r="T10" s="124"/>
      <c r="U10" s="124"/>
      <c r="V10" s="86" t="str">
        <f t="shared" si="4"/>
        <v/>
      </c>
      <c r="W10" s="124"/>
      <c r="X10" s="124"/>
      <c r="Y10" s="86" t="str">
        <f t="shared" si="5"/>
        <v/>
      </c>
      <c r="Z10" s="30"/>
      <c r="AA10" s="30"/>
      <c r="AB10" s="30"/>
      <c r="AC10" s="30"/>
      <c r="AD10" s="124"/>
      <c r="AE10" s="124"/>
      <c r="AF10" s="86" t="str">
        <f t="shared" si="6"/>
        <v/>
      </c>
      <c r="AG10" s="30"/>
      <c r="AH10" s="124"/>
      <c r="AI10" s="124"/>
      <c r="AJ10" s="86" t="str">
        <f t="shared" si="7"/>
        <v/>
      </c>
      <c r="AK10" s="30"/>
      <c r="AL10" s="30"/>
      <c r="AM10" s="30"/>
      <c r="AN10" s="86" t="str">
        <f t="shared" si="8"/>
        <v/>
      </c>
      <c r="AO10" s="30"/>
      <c r="AQ10" s="90"/>
      <c r="AR10" s="86" t="str">
        <f t="shared" si="9"/>
        <v/>
      </c>
      <c r="AS10" s="30"/>
      <c r="AU10" s="90"/>
      <c r="AV10" s="86" t="str">
        <f t="shared" si="10"/>
        <v/>
      </c>
      <c r="AW10" s="30"/>
      <c r="AX10" s="124"/>
      <c r="AY10" s="124"/>
      <c r="AZ10" s="86" t="str">
        <f t="shared" si="11"/>
        <v/>
      </c>
      <c r="BA10" s="30"/>
      <c r="BB10" s="124"/>
      <c r="BC10" s="124"/>
      <c r="BD10" s="86" t="str">
        <f t="shared" si="12"/>
        <v/>
      </c>
      <c r="BE10" s="90" t="s">
        <v>1</v>
      </c>
      <c r="BF10" s="90">
        <f>(1/$D$88)*323000</f>
        <v>16150</v>
      </c>
      <c r="BG10" s="90">
        <v>76000</v>
      </c>
      <c r="BH10" s="86">
        <f t="shared" si="13"/>
        <v>4.7058823529411766</v>
      </c>
      <c r="BI10" s="90" t="s">
        <v>1</v>
      </c>
      <c r="BJ10" s="90">
        <f>(1/$D$88)*436000</f>
        <v>21800</v>
      </c>
      <c r="BK10" s="90">
        <v>98000</v>
      </c>
      <c r="BL10" s="86">
        <f t="shared" si="14"/>
        <v>4.4954128440366974</v>
      </c>
      <c r="BO10" s="90"/>
      <c r="BP10" s="86" t="str">
        <f t="shared" si="15"/>
        <v/>
      </c>
      <c r="BQ10" s="30"/>
      <c r="BR10" s="124"/>
      <c r="BS10" s="124"/>
      <c r="BT10" s="86" t="str">
        <f t="shared" si="16"/>
        <v/>
      </c>
      <c r="BU10" s="30"/>
      <c r="BV10" s="124"/>
      <c r="BW10" s="124"/>
      <c r="BX10" s="86" t="str">
        <f t="shared" si="17"/>
        <v/>
      </c>
      <c r="BY10" s="30"/>
      <c r="BZ10" s="124"/>
      <c r="CA10" s="124"/>
      <c r="CB10" s="86" t="str">
        <f t="shared" si="18"/>
        <v/>
      </c>
      <c r="CC10" s="30"/>
      <c r="CD10" s="124"/>
      <c r="CE10" s="124"/>
      <c r="CF10" s="86" t="str">
        <f t="shared" si="19"/>
        <v/>
      </c>
      <c r="CG10" s="30"/>
      <c r="CH10" s="124"/>
      <c r="CI10" s="124"/>
      <c r="CJ10" s="86" t="str">
        <f t="shared" si="20"/>
        <v/>
      </c>
      <c r="CK10" s="30"/>
      <c r="CL10" s="124"/>
      <c r="CM10" s="124"/>
      <c r="CN10" s="86" t="str">
        <f t="shared" si="21"/>
        <v/>
      </c>
      <c r="CO10" s="30"/>
      <c r="CP10" s="124"/>
      <c r="CQ10" s="124"/>
      <c r="CR10" s="86" t="str">
        <f t="shared" si="22"/>
        <v/>
      </c>
      <c r="CS10" s="30"/>
      <c r="CT10" s="124"/>
      <c r="CU10" s="124"/>
      <c r="CV10" s="86" t="str">
        <f t="shared" si="23"/>
        <v/>
      </c>
      <c r="CW10" s="30"/>
      <c r="CX10" s="124"/>
      <c r="CY10" s="124"/>
      <c r="CZ10" s="86" t="str">
        <f t="shared" si="24"/>
        <v/>
      </c>
      <c r="DA10" s="30"/>
      <c r="DC10" s="90"/>
      <c r="DD10" s="86" t="str">
        <f t="shared" si="25"/>
        <v/>
      </c>
    </row>
    <row r="11" spans="1:108" x14ac:dyDescent="0.3">
      <c r="A11" s="30" t="s">
        <v>410</v>
      </c>
      <c r="B11" s="30" t="s">
        <v>75</v>
      </c>
      <c r="F11" s="86" t="str">
        <f t="shared" si="0"/>
        <v/>
      </c>
      <c r="G11" s="30"/>
      <c r="H11" s="30"/>
      <c r="I11" s="30"/>
      <c r="J11" s="86" t="str">
        <f t="shared" si="1"/>
        <v/>
      </c>
      <c r="K11" s="30"/>
      <c r="L11" s="30"/>
      <c r="M11" s="30"/>
      <c r="N11" s="86" t="str">
        <f t="shared" si="2"/>
        <v/>
      </c>
      <c r="O11" s="30"/>
      <c r="P11" s="30"/>
      <c r="Q11" s="30"/>
      <c r="R11" s="86" t="str">
        <f t="shared" si="3"/>
        <v/>
      </c>
      <c r="S11" s="30"/>
      <c r="T11" s="124"/>
      <c r="U11" s="124"/>
      <c r="V11" s="86" t="str">
        <f t="shared" si="4"/>
        <v/>
      </c>
      <c r="W11" s="124"/>
      <c r="X11" s="124"/>
      <c r="Y11" s="86" t="str">
        <f t="shared" si="5"/>
        <v/>
      </c>
      <c r="Z11" s="30"/>
      <c r="AA11" s="30"/>
      <c r="AB11" s="30"/>
      <c r="AC11" s="30" t="s">
        <v>417</v>
      </c>
      <c r="AD11" s="124">
        <f>1879486</f>
        <v>1879486</v>
      </c>
      <c r="AE11" s="124">
        <f>48472528/$D$182</f>
        <v>440659.34545454546</v>
      </c>
      <c r="AF11" s="86">
        <f t="shared" si="6"/>
        <v>0.23445737050158685</v>
      </c>
      <c r="AG11" s="70"/>
      <c r="AI11" s="90"/>
      <c r="AJ11" s="86" t="str">
        <f t="shared" si="7"/>
        <v/>
      </c>
      <c r="AN11" s="86" t="str">
        <f t="shared" si="8"/>
        <v/>
      </c>
      <c r="AO11" s="70"/>
      <c r="AQ11" s="90"/>
      <c r="AR11" s="86" t="str">
        <f t="shared" si="9"/>
        <v/>
      </c>
      <c r="AS11" s="70"/>
      <c r="AU11" s="90"/>
      <c r="AV11" s="86" t="str">
        <f t="shared" si="10"/>
        <v/>
      </c>
      <c r="AW11" s="70"/>
      <c r="AY11" s="90"/>
      <c r="AZ11" s="86" t="str">
        <f t="shared" si="11"/>
        <v/>
      </c>
      <c r="BA11" s="70"/>
      <c r="BC11" s="90"/>
      <c r="BD11" s="86" t="str">
        <f t="shared" si="12"/>
        <v/>
      </c>
      <c r="BE11" s="90" t="s">
        <v>1</v>
      </c>
      <c r="BF11" s="90">
        <f>(1/$F$88)*16377630</f>
        <v>7311.4419642857138</v>
      </c>
      <c r="BG11" s="90">
        <v>419905</v>
      </c>
      <c r="BH11" s="86">
        <f t="shared" si="13"/>
        <v>57.431215627657977</v>
      </c>
      <c r="BI11" s="90" t="s">
        <v>1</v>
      </c>
      <c r="BJ11" s="90">
        <f>(1/$F$88)*12420013</f>
        <v>5544.6486607142851</v>
      </c>
      <c r="BK11" s="90">
        <v>304348</v>
      </c>
      <c r="BL11" s="86">
        <f t="shared" si="14"/>
        <v>54.890403093780989</v>
      </c>
      <c r="BM11" s="90" t="s">
        <v>1</v>
      </c>
      <c r="BN11" s="90">
        <f>(1/$F$88)*7766345</f>
        <v>3467.1183035714284</v>
      </c>
      <c r="BO11" s="90">
        <v>220088</v>
      </c>
      <c r="BP11" s="86">
        <f t="shared" si="15"/>
        <v>63.478653085846688</v>
      </c>
      <c r="BQ11" s="30"/>
      <c r="BR11" s="124"/>
      <c r="BS11" s="124"/>
      <c r="BT11" s="86" t="str">
        <f t="shared" si="16"/>
        <v/>
      </c>
      <c r="BU11" s="30"/>
      <c r="BV11" s="124"/>
      <c r="BW11" s="124"/>
      <c r="BX11" s="86" t="str">
        <f t="shared" si="17"/>
        <v/>
      </c>
      <c r="BY11" s="30"/>
      <c r="BZ11" s="124"/>
      <c r="CA11" s="124"/>
      <c r="CB11" s="86" t="str">
        <f t="shared" si="18"/>
        <v/>
      </c>
      <c r="CC11" s="30"/>
      <c r="CD11" s="124"/>
      <c r="CE11" s="124"/>
      <c r="CF11" s="86" t="str">
        <f t="shared" si="19"/>
        <v/>
      </c>
      <c r="CG11" s="30"/>
      <c r="CH11" s="124"/>
      <c r="CI11" s="124"/>
      <c r="CJ11" s="86" t="str">
        <f t="shared" si="20"/>
        <v/>
      </c>
      <c r="CK11" s="30"/>
      <c r="CL11" s="124"/>
      <c r="CM11" s="124"/>
      <c r="CN11" s="86" t="str">
        <f t="shared" si="21"/>
        <v/>
      </c>
      <c r="CO11" s="30"/>
      <c r="CP11" s="124"/>
      <c r="CQ11" s="124"/>
      <c r="CR11" s="86" t="str">
        <f t="shared" si="22"/>
        <v/>
      </c>
      <c r="CS11" s="30"/>
      <c r="CT11" s="124"/>
      <c r="CU11" s="124"/>
      <c r="CV11" s="86" t="str">
        <f t="shared" si="23"/>
        <v/>
      </c>
      <c r="CW11" s="30"/>
      <c r="CX11" s="124"/>
      <c r="CY11" s="124"/>
      <c r="CZ11" s="86" t="str">
        <f t="shared" si="24"/>
        <v/>
      </c>
      <c r="DA11" s="30" t="s">
        <v>1</v>
      </c>
      <c r="DB11" s="90">
        <v>13699</v>
      </c>
      <c r="DC11" s="90">
        <v>761000</v>
      </c>
      <c r="DD11" s="86">
        <f t="shared" si="25"/>
        <v>55.551500109497042</v>
      </c>
    </row>
    <row r="12" spans="1:108" x14ac:dyDescent="0.3">
      <c r="A12" s="30" t="s">
        <v>131</v>
      </c>
      <c r="B12" s="30" t="s">
        <v>75</v>
      </c>
      <c r="F12" s="86" t="str">
        <f t="shared" si="0"/>
        <v/>
      </c>
      <c r="G12" s="30"/>
      <c r="H12" s="30"/>
      <c r="I12" s="30"/>
      <c r="J12" s="86" t="str">
        <f t="shared" si="1"/>
        <v/>
      </c>
      <c r="K12" s="30"/>
      <c r="L12" s="30"/>
      <c r="M12" s="30"/>
      <c r="N12" s="86" t="str">
        <f t="shared" si="2"/>
        <v/>
      </c>
      <c r="O12" s="30"/>
      <c r="P12" s="30"/>
      <c r="Q12" s="30"/>
      <c r="R12" s="86" t="str">
        <f t="shared" si="3"/>
        <v/>
      </c>
      <c r="S12" s="30"/>
      <c r="T12" s="124"/>
      <c r="U12" s="124"/>
      <c r="V12" s="86" t="str">
        <f t="shared" si="4"/>
        <v/>
      </c>
      <c r="W12" s="124"/>
      <c r="X12" s="124"/>
      <c r="Y12" s="86" t="str">
        <f t="shared" si="5"/>
        <v/>
      </c>
      <c r="Z12" s="30"/>
      <c r="AA12" s="30"/>
      <c r="AB12" s="30"/>
      <c r="AC12" s="30"/>
      <c r="AD12" s="124"/>
      <c r="AE12" s="124"/>
      <c r="AF12" s="86" t="str">
        <f t="shared" si="6"/>
        <v/>
      </c>
      <c r="AG12" s="30"/>
      <c r="AH12" s="124"/>
      <c r="AI12" s="124"/>
      <c r="AJ12" s="86" t="str">
        <f t="shared" si="7"/>
        <v/>
      </c>
      <c r="AK12" s="30"/>
      <c r="AL12" s="30"/>
      <c r="AM12" s="30"/>
      <c r="AN12" s="86" t="str">
        <f t="shared" si="8"/>
        <v/>
      </c>
      <c r="AO12" s="30" t="s">
        <v>1</v>
      </c>
      <c r="AP12" s="90">
        <f>(1/$F$88)*8005887</f>
        <v>3574.0566964285713</v>
      </c>
      <c r="AQ12" s="90">
        <v>449876</v>
      </c>
      <c r="AR12" s="86">
        <f t="shared" si="9"/>
        <v>125.87265346113429</v>
      </c>
      <c r="AS12" s="30"/>
      <c r="AT12" s="90">
        <f>(1/$F$88)*6889165</f>
        <v>3075.5200892857142</v>
      </c>
      <c r="AU12" s="90">
        <v>876442</v>
      </c>
      <c r="AV12" s="86">
        <f t="shared" si="10"/>
        <v>284.97358968757464</v>
      </c>
      <c r="AW12" s="70"/>
      <c r="AX12" s="90">
        <f>(1/$F$88)*11875640</f>
        <v>5301.625</v>
      </c>
      <c r="AY12" s="90">
        <v>787964</v>
      </c>
      <c r="AZ12" s="90">
        <f t="shared" si="11"/>
        <v>148.62688326692287</v>
      </c>
      <c r="BB12" s="90">
        <f>(1/$F$88)*4829410</f>
        <v>2155.9866071428569</v>
      </c>
      <c r="BC12" s="90">
        <v>378657</v>
      </c>
      <c r="BD12" s="90">
        <f t="shared" si="12"/>
        <v>175.6304973071245</v>
      </c>
      <c r="BE12" s="90" t="s">
        <v>1</v>
      </c>
      <c r="BF12" s="90">
        <f>(1/$F$88)*8538374</f>
        <v>3811.7741071428572</v>
      </c>
      <c r="BG12" s="90">
        <v>596551</v>
      </c>
      <c r="BH12" s="86">
        <f t="shared" si="13"/>
        <v>156.50219116660853</v>
      </c>
      <c r="BI12" s="90" t="s">
        <v>1</v>
      </c>
      <c r="BJ12" s="90">
        <f>(1/$F$88)*9102352</f>
        <v>4063.5499999999997</v>
      </c>
      <c r="BK12" s="90">
        <v>613077</v>
      </c>
      <c r="BL12" s="86">
        <f t="shared" si="14"/>
        <v>150.87226686025767</v>
      </c>
      <c r="BM12" s="90" t="s">
        <v>1</v>
      </c>
      <c r="BN12" s="90">
        <f>(1/$F$88)*11518629</f>
        <v>5142.2450892857141</v>
      </c>
      <c r="BO12" s="90">
        <v>746818</v>
      </c>
      <c r="BP12" s="86">
        <f t="shared" si="15"/>
        <v>145.23189521947447</v>
      </c>
      <c r="BQ12" s="30"/>
      <c r="BR12" s="124"/>
      <c r="BS12" s="124"/>
      <c r="BT12" s="86" t="str">
        <f t="shared" si="16"/>
        <v/>
      </c>
      <c r="BU12" s="30"/>
      <c r="BV12" s="124"/>
      <c r="BW12" s="124"/>
      <c r="BX12" s="86" t="str">
        <f t="shared" si="17"/>
        <v/>
      </c>
      <c r="BY12" s="30"/>
      <c r="BZ12" s="124"/>
      <c r="CA12" s="124"/>
      <c r="CB12" s="86" t="str">
        <f t="shared" si="18"/>
        <v/>
      </c>
      <c r="CC12" s="30"/>
      <c r="CD12" s="124"/>
      <c r="CE12" s="124"/>
      <c r="CF12" s="86" t="str">
        <f t="shared" si="19"/>
        <v/>
      </c>
      <c r="CG12" s="30"/>
      <c r="CH12" s="124"/>
      <c r="CI12" s="124"/>
      <c r="CJ12" s="86" t="str">
        <f t="shared" si="20"/>
        <v/>
      </c>
      <c r="CK12" s="30"/>
      <c r="CL12" s="124"/>
      <c r="CM12" s="124"/>
      <c r="CN12" s="86" t="str">
        <f t="shared" si="21"/>
        <v/>
      </c>
      <c r="CO12" s="30"/>
      <c r="CP12" s="124"/>
      <c r="CQ12" s="124"/>
      <c r="CR12" s="86" t="str">
        <f t="shared" si="22"/>
        <v/>
      </c>
      <c r="CS12" s="30"/>
      <c r="CT12" s="124"/>
      <c r="CU12" s="124"/>
      <c r="CV12" s="86" t="str">
        <f t="shared" si="23"/>
        <v/>
      </c>
      <c r="CW12" s="30"/>
      <c r="CX12" s="124"/>
      <c r="CY12" s="124"/>
      <c r="CZ12" s="86" t="str">
        <f t="shared" si="24"/>
        <v/>
      </c>
      <c r="DA12" s="30" t="s">
        <v>1</v>
      </c>
      <c r="DB12" s="90">
        <v>4383</v>
      </c>
      <c r="DC12" s="90">
        <v>595000</v>
      </c>
      <c r="DD12" s="86">
        <f t="shared" si="25"/>
        <v>135.75176819530003</v>
      </c>
    </row>
    <row r="13" spans="1:108" x14ac:dyDescent="0.3">
      <c r="A13" s="30" t="s">
        <v>38</v>
      </c>
      <c r="B13" s="30" t="s">
        <v>75</v>
      </c>
      <c r="F13" s="86" t="str">
        <f t="shared" si="0"/>
        <v/>
      </c>
      <c r="G13" s="30"/>
      <c r="H13" s="30"/>
      <c r="I13" s="30"/>
      <c r="J13" s="86" t="str">
        <f t="shared" si="1"/>
        <v/>
      </c>
      <c r="K13" s="30"/>
      <c r="L13" s="30"/>
      <c r="M13" s="30"/>
      <c r="N13" s="86" t="str">
        <f t="shared" si="2"/>
        <v/>
      </c>
      <c r="O13" s="30"/>
      <c r="P13" s="30"/>
      <c r="Q13" s="30"/>
      <c r="R13" s="86" t="str">
        <f t="shared" si="3"/>
        <v/>
      </c>
      <c r="S13" s="30"/>
      <c r="T13" s="124"/>
      <c r="U13" s="124"/>
      <c r="V13" s="86" t="str">
        <f t="shared" si="4"/>
        <v/>
      </c>
      <c r="W13" s="124"/>
      <c r="X13" s="124"/>
      <c r="Y13" s="86" t="str">
        <f t="shared" si="5"/>
        <v/>
      </c>
      <c r="Z13" s="30"/>
      <c r="AA13" s="30"/>
      <c r="AB13" s="30"/>
      <c r="AC13" s="30"/>
      <c r="AD13" s="124"/>
      <c r="AE13" s="124"/>
      <c r="AF13" s="86" t="str">
        <f t="shared" si="6"/>
        <v/>
      </c>
      <c r="AG13" s="30"/>
      <c r="AH13" s="124"/>
      <c r="AI13" s="124"/>
      <c r="AJ13" s="86" t="str">
        <f t="shared" si="7"/>
        <v/>
      </c>
      <c r="AK13" s="30"/>
      <c r="AL13" s="30"/>
      <c r="AM13" s="30"/>
      <c r="AN13" s="86" t="str">
        <f t="shared" si="8"/>
        <v/>
      </c>
      <c r="AO13" s="30" t="s">
        <v>1</v>
      </c>
      <c r="AP13" s="90">
        <f>(1/$F$88)*247071</f>
        <v>110.29955357142858</v>
      </c>
      <c r="AQ13" s="90">
        <v>124360</v>
      </c>
      <c r="AR13" s="86">
        <f t="shared" si="9"/>
        <v>1127.47509825111</v>
      </c>
      <c r="AS13" s="30"/>
      <c r="AT13" s="90">
        <f>(1/$F$88)*363581</f>
        <v>162.31294642857142</v>
      </c>
      <c r="AU13" s="90">
        <v>179763</v>
      </c>
      <c r="AV13" s="86">
        <f t="shared" si="10"/>
        <v>1107.5086981993009</v>
      </c>
      <c r="AW13" s="70"/>
      <c r="AX13" s="90">
        <f>(1/$F$88)*362572</f>
        <v>161.86249999999998</v>
      </c>
      <c r="AY13" s="90">
        <v>183291</v>
      </c>
      <c r="AZ13" s="90">
        <f t="shared" si="11"/>
        <v>1132.387056915592</v>
      </c>
      <c r="BB13" s="90">
        <f>(1/$F$88)*364827</f>
        <v>162.86919642857143</v>
      </c>
      <c r="BC13" s="90">
        <v>185860</v>
      </c>
      <c r="BD13" s="90">
        <f t="shared" si="12"/>
        <v>1141.1611530944804</v>
      </c>
      <c r="BE13" s="90" t="s">
        <v>1</v>
      </c>
      <c r="BF13" s="90">
        <f>(1/$F$88)*619000</f>
        <v>276.33928571428572</v>
      </c>
      <c r="BG13" s="90">
        <v>311762</v>
      </c>
      <c r="BH13" s="86">
        <f t="shared" si="13"/>
        <v>1128.1855896607431</v>
      </c>
      <c r="BI13" s="90" t="s">
        <v>1</v>
      </c>
      <c r="BJ13" s="90">
        <f>(1/$F$88)*452000</f>
        <v>201.78571428571428</v>
      </c>
      <c r="BK13" s="90">
        <v>222000</v>
      </c>
      <c r="BL13" s="86">
        <f t="shared" si="14"/>
        <v>1100.1769911504425</v>
      </c>
      <c r="BO13" s="90"/>
      <c r="BP13" s="86" t="str">
        <f t="shared" si="15"/>
        <v/>
      </c>
      <c r="BQ13" s="30"/>
      <c r="BR13" s="124"/>
      <c r="BS13" s="124"/>
      <c r="BT13" s="86" t="str">
        <f t="shared" si="16"/>
        <v/>
      </c>
      <c r="BU13" s="30"/>
      <c r="BV13" s="124"/>
      <c r="BW13" s="124"/>
      <c r="BX13" s="86" t="str">
        <f t="shared" si="17"/>
        <v/>
      </c>
      <c r="BY13" s="30"/>
      <c r="BZ13" s="124"/>
      <c r="CA13" s="124"/>
      <c r="CB13" s="86" t="str">
        <f t="shared" si="18"/>
        <v/>
      </c>
      <c r="CC13" s="30"/>
      <c r="CD13" s="124"/>
      <c r="CE13" s="124"/>
      <c r="CF13" s="86" t="str">
        <f t="shared" si="19"/>
        <v/>
      </c>
      <c r="CG13" s="30"/>
      <c r="CH13" s="124"/>
      <c r="CI13" s="124"/>
      <c r="CJ13" s="86" t="str">
        <f t="shared" si="20"/>
        <v/>
      </c>
      <c r="CK13" s="30"/>
      <c r="CL13" s="124"/>
      <c r="CM13" s="124"/>
      <c r="CN13" s="86" t="str">
        <f t="shared" si="21"/>
        <v/>
      </c>
      <c r="CO13" s="30"/>
      <c r="CP13" s="124"/>
      <c r="CQ13" s="124"/>
      <c r="CR13" s="86" t="str">
        <f t="shared" si="22"/>
        <v/>
      </c>
      <c r="CS13" s="30"/>
      <c r="CT13" s="124"/>
      <c r="CU13" s="124"/>
      <c r="CV13" s="86" t="str">
        <f t="shared" si="23"/>
        <v/>
      </c>
      <c r="CW13" s="30"/>
      <c r="CX13" s="124"/>
      <c r="CY13" s="124"/>
      <c r="CZ13" s="86" t="str">
        <f t="shared" si="24"/>
        <v/>
      </c>
      <c r="DA13" s="30" t="s">
        <v>1</v>
      </c>
      <c r="DB13" s="90">
        <v>306</v>
      </c>
      <c r="DC13" s="90">
        <v>692000</v>
      </c>
      <c r="DD13" s="86">
        <f t="shared" si="25"/>
        <v>2261.4379084967322</v>
      </c>
    </row>
    <row r="14" spans="1:108" x14ac:dyDescent="0.3">
      <c r="A14" s="30" t="s">
        <v>202</v>
      </c>
      <c r="B14" s="30" t="s">
        <v>75</v>
      </c>
      <c r="F14" s="86" t="str">
        <f t="shared" si="0"/>
        <v/>
      </c>
      <c r="G14" s="30"/>
      <c r="H14" s="30"/>
      <c r="I14" s="30"/>
      <c r="J14" s="86" t="str">
        <f t="shared" si="1"/>
        <v/>
      </c>
      <c r="K14" s="30"/>
      <c r="L14" s="30"/>
      <c r="M14" s="30"/>
      <c r="N14" s="86" t="str">
        <f t="shared" si="2"/>
        <v/>
      </c>
      <c r="O14" s="30"/>
      <c r="P14" s="30"/>
      <c r="Q14" s="30"/>
      <c r="R14" s="86" t="str">
        <f t="shared" si="3"/>
        <v/>
      </c>
      <c r="S14" s="30"/>
      <c r="T14" s="124"/>
      <c r="U14" s="124"/>
      <c r="V14" s="86" t="str">
        <f t="shared" si="4"/>
        <v/>
      </c>
      <c r="W14" s="124"/>
      <c r="X14" s="124"/>
      <c r="Y14" s="86" t="str">
        <f t="shared" si="5"/>
        <v/>
      </c>
      <c r="Z14" s="30"/>
      <c r="AA14" s="30"/>
      <c r="AB14" s="30"/>
      <c r="AC14" s="30" t="s">
        <v>417</v>
      </c>
      <c r="AD14" s="124">
        <f>39882710</f>
        <v>39882710</v>
      </c>
      <c r="AE14" s="124">
        <f>36197735/$D$182</f>
        <v>329070.31818181818</v>
      </c>
      <c r="AF14" s="86">
        <f t="shared" si="6"/>
        <v>8.2509518079844166E-3</v>
      </c>
      <c r="AG14" s="30"/>
      <c r="AH14" s="124"/>
      <c r="AI14" s="124"/>
      <c r="AJ14" s="86" t="str">
        <f t="shared" si="7"/>
        <v/>
      </c>
      <c r="AK14" s="30"/>
      <c r="AL14" s="30"/>
      <c r="AM14" s="30"/>
      <c r="AN14" s="86" t="str">
        <f t="shared" si="8"/>
        <v/>
      </c>
      <c r="AO14" s="30"/>
      <c r="AQ14" s="90"/>
      <c r="AR14" s="86" t="str">
        <f t="shared" si="9"/>
        <v/>
      </c>
      <c r="AS14" s="30"/>
      <c r="AU14" s="90"/>
      <c r="AV14" s="86" t="str">
        <f t="shared" si="10"/>
        <v/>
      </c>
      <c r="AW14" s="70"/>
      <c r="AY14" s="90"/>
      <c r="AZ14" s="90" t="str">
        <f t="shared" si="11"/>
        <v/>
      </c>
      <c r="BC14" s="90"/>
      <c r="BD14" s="90" t="str">
        <f t="shared" si="12"/>
        <v/>
      </c>
      <c r="BE14" s="90" t="s">
        <v>1</v>
      </c>
      <c r="BF14" s="90">
        <v>29000</v>
      </c>
      <c r="BG14" s="90">
        <v>280000</v>
      </c>
      <c r="BH14" s="86">
        <f t="shared" si="13"/>
        <v>9.6551724137931032</v>
      </c>
      <c r="BI14" s="90" t="s">
        <v>1</v>
      </c>
      <c r="BJ14" s="90">
        <v>28000</v>
      </c>
      <c r="BK14" s="90">
        <v>306000</v>
      </c>
      <c r="BL14" s="86">
        <f t="shared" si="14"/>
        <v>10.928571428571429</v>
      </c>
      <c r="BO14" s="90"/>
      <c r="BP14" s="86" t="str">
        <f t="shared" si="15"/>
        <v/>
      </c>
      <c r="BQ14" s="30"/>
      <c r="BR14" s="124"/>
      <c r="BS14" s="124"/>
      <c r="BT14" s="86" t="str">
        <f t="shared" si="16"/>
        <v/>
      </c>
      <c r="BU14" s="30"/>
      <c r="BV14" s="124"/>
      <c r="BW14" s="124"/>
      <c r="BX14" s="86" t="str">
        <f t="shared" si="17"/>
        <v/>
      </c>
      <c r="BY14" s="30"/>
      <c r="BZ14" s="124"/>
      <c r="CA14" s="124"/>
      <c r="CB14" s="86" t="str">
        <f t="shared" si="18"/>
        <v/>
      </c>
      <c r="CC14" s="30"/>
      <c r="CD14" s="124"/>
      <c r="CE14" s="124"/>
      <c r="CF14" s="86" t="str">
        <f t="shared" si="19"/>
        <v/>
      </c>
      <c r="CG14" s="30"/>
      <c r="CH14" s="124"/>
      <c r="CI14" s="124"/>
      <c r="CJ14" s="86" t="str">
        <f t="shared" si="20"/>
        <v/>
      </c>
      <c r="CK14" s="30"/>
      <c r="CL14" s="124"/>
      <c r="CM14" s="124"/>
      <c r="CN14" s="86" t="str">
        <f t="shared" si="21"/>
        <v/>
      </c>
      <c r="CO14" s="30"/>
      <c r="CP14" s="124"/>
      <c r="CQ14" s="124"/>
      <c r="CR14" s="86" t="str">
        <f t="shared" si="22"/>
        <v/>
      </c>
      <c r="CS14" s="30"/>
      <c r="CT14" s="124"/>
      <c r="CU14" s="124"/>
      <c r="CV14" s="86" t="str">
        <f t="shared" si="23"/>
        <v/>
      </c>
      <c r="CW14" s="30"/>
      <c r="CX14" s="124"/>
      <c r="CY14" s="124"/>
      <c r="CZ14" s="86" t="str">
        <f t="shared" si="24"/>
        <v/>
      </c>
      <c r="DA14" s="30" t="s">
        <v>1</v>
      </c>
      <c r="DB14" s="90">
        <v>41137</v>
      </c>
      <c r="DC14" s="90">
        <v>364000</v>
      </c>
      <c r="DD14" s="86">
        <f t="shared" si="25"/>
        <v>8.8484819019374292</v>
      </c>
    </row>
    <row r="15" spans="1:108" x14ac:dyDescent="0.3">
      <c r="A15" s="30" t="s">
        <v>204</v>
      </c>
      <c r="B15" s="30" t="s">
        <v>75</v>
      </c>
      <c r="F15" s="86" t="str">
        <f t="shared" si="0"/>
        <v/>
      </c>
      <c r="G15" s="30"/>
      <c r="H15" s="30"/>
      <c r="I15" s="30"/>
      <c r="J15" s="86" t="str">
        <f t="shared" si="1"/>
        <v/>
      </c>
      <c r="K15" s="30"/>
      <c r="L15" s="30"/>
      <c r="M15" s="30"/>
      <c r="N15" s="86" t="str">
        <f t="shared" si="2"/>
        <v/>
      </c>
      <c r="O15" s="30"/>
      <c r="P15" s="30"/>
      <c r="Q15" s="30"/>
      <c r="R15" s="86" t="str">
        <f t="shared" si="3"/>
        <v/>
      </c>
      <c r="S15" s="30"/>
      <c r="T15" s="124"/>
      <c r="U15" s="124"/>
      <c r="V15" s="86" t="str">
        <f t="shared" si="4"/>
        <v/>
      </c>
      <c r="W15" s="124"/>
      <c r="X15" s="124"/>
      <c r="Y15" s="86" t="str">
        <f t="shared" si="5"/>
        <v/>
      </c>
      <c r="Z15" s="30"/>
      <c r="AA15" s="30"/>
      <c r="AB15" s="30"/>
      <c r="AC15" s="30"/>
      <c r="AD15" s="124"/>
      <c r="AE15" s="124"/>
      <c r="AF15" s="86" t="str">
        <f t="shared" si="6"/>
        <v/>
      </c>
      <c r="AG15" s="30"/>
      <c r="AH15" s="124"/>
      <c r="AI15" s="124"/>
      <c r="AJ15" s="86" t="str">
        <f t="shared" si="7"/>
        <v/>
      </c>
      <c r="AK15" s="30"/>
      <c r="AL15" s="30"/>
      <c r="AM15" s="30"/>
      <c r="AN15" s="86" t="str">
        <f t="shared" si="8"/>
        <v/>
      </c>
      <c r="AO15" s="30"/>
      <c r="AQ15" s="90"/>
      <c r="AR15" s="86" t="str">
        <f t="shared" si="9"/>
        <v/>
      </c>
      <c r="AS15" s="30"/>
      <c r="AU15" s="90"/>
      <c r="AV15" s="86" t="str">
        <f t="shared" si="10"/>
        <v/>
      </c>
      <c r="AW15" s="70"/>
      <c r="AY15" s="90"/>
      <c r="AZ15" s="90" t="str">
        <f t="shared" si="11"/>
        <v/>
      </c>
      <c r="BC15" s="90"/>
      <c r="BD15" s="90" t="str">
        <f t="shared" si="12"/>
        <v/>
      </c>
      <c r="BE15" s="90" t="s">
        <v>1</v>
      </c>
      <c r="BF15" s="90">
        <f>(1/$D$88)*128000</f>
        <v>6400</v>
      </c>
      <c r="BG15" s="90">
        <v>249000</v>
      </c>
      <c r="BH15" s="86">
        <f t="shared" si="13"/>
        <v>38.90625</v>
      </c>
      <c r="BI15" s="90" t="s">
        <v>1</v>
      </c>
      <c r="BJ15" s="90">
        <f>(1/$D$88)*124000</f>
        <v>6200</v>
      </c>
      <c r="BK15" s="90">
        <v>171000</v>
      </c>
      <c r="BL15" s="86">
        <f t="shared" si="14"/>
        <v>27.580645161290324</v>
      </c>
      <c r="BO15" s="90"/>
      <c r="BP15" s="86" t="str">
        <f t="shared" si="15"/>
        <v/>
      </c>
      <c r="BQ15" s="30"/>
      <c r="BR15" s="124"/>
      <c r="BS15" s="124"/>
      <c r="BT15" s="86" t="str">
        <f t="shared" si="16"/>
        <v/>
      </c>
      <c r="BU15" s="30"/>
      <c r="BV15" s="124"/>
      <c r="BW15" s="124"/>
      <c r="BX15" s="86" t="str">
        <f t="shared" si="17"/>
        <v/>
      </c>
      <c r="BY15" s="30"/>
      <c r="BZ15" s="124"/>
      <c r="CA15" s="124"/>
      <c r="CB15" s="86" t="str">
        <f t="shared" si="18"/>
        <v/>
      </c>
      <c r="CC15" s="30"/>
      <c r="CD15" s="124"/>
      <c r="CE15" s="124"/>
      <c r="CF15" s="86" t="str">
        <f t="shared" si="19"/>
        <v/>
      </c>
      <c r="CG15" s="30"/>
      <c r="CH15" s="124"/>
      <c r="CI15" s="124"/>
      <c r="CJ15" s="86" t="str">
        <f t="shared" si="20"/>
        <v/>
      </c>
      <c r="CK15" s="30"/>
      <c r="CL15" s="124"/>
      <c r="CM15" s="124"/>
      <c r="CN15" s="86" t="str">
        <f t="shared" si="21"/>
        <v/>
      </c>
      <c r="CO15" s="30"/>
      <c r="CP15" s="124"/>
      <c r="CQ15" s="124"/>
      <c r="CR15" s="86" t="str">
        <f t="shared" si="22"/>
        <v/>
      </c>
      <c r="CS15" s="30"/>
      <c r="CT15" s="124"/>
      <c r="CU15" s="124"/>
      <c r="CV15" s="86" t="str">
        <f t="shared" si="23"/>
        <v/>
      </c>
      <c r="CW15" s="30"/>
      <c r="CX15" s="124"/>
      <c r="CY15" s="124"/>
      <c r="CZ15" s="86" t="str">
        <f t="shared" si="24"/>
        <v/>
      </c>
      <c r="DA15" s="30" t="s">
        <v>1</v>
      </c>
      <c r="DB15" s="90">
        <v>28314</v>
      </c>
      <c r="DC15" s="90">
        <v>553000</v>
      </c>
      <c r="DD15" s="86">
        <f t="shared" si="25"/>
        <v>19.53097407642862</v>
      </c>
    </row>
    <row r="16" spans="1:108" x14ac:dyDescent="0.3">
      <c r="A16" s="30" t="s">
        <v>51</v>
      </c>
      <c r="B16" s="30" t="s">
        <v>75</v>
      </c>
      <c r="F16" s="86" t="str">
        <f t="shared" si="0"/>
        <v/>
      </c>
      <c r="G16" s="30"/>
      <c r="H16" s="30"/>
      <c r="I16" s="30"/>
      <c r="J16" s="86" t="str">
        <f t="shared" si="1"/>
        <v/>
      </c>
      <c r="K16" s="30"/>
      <c r="L16" s="30"/>
      <c r="M16" s="30"/>
      <c r="N16" s="86" t="str">
        <f t="shared" si="2"/>
        <v/>
      </c>
      <c r="O16" s="30"/>
      <c r="P16" s="30"/>
      <c r="Q16" s="30"/>
      <c r="R16" s="86" t="str">
        <f t="shared" si="3"/>
        <v/>
      </c>
      <c r="S16" s="30"/>
      <c r="T16" s="124"/>
      <c r="U16" s="124"/>
      <c r="V16" s="86" t="str">
        <f t="shared" si="4"/>
        <v/>
      </c>
      <c r="W16" s="124"/>
      <c r="X16" s="124"/>
      <c r="Y16" s="86" t="str">
        <f t="shared" si="5"/>
        <v/>
      </c>
      <c r="Z16" s="30"/>
      <c r="AA16" s="30"/>
      <c r="AB16" s="30"/>
      <c r="AC16" s="30"/>
      <c r="AD16" s="124"/>
      <c r="AE16" s="124"/>
      <c r="AF16" s="86" t="str">
        <f t="shared" si="6"/>
        <v/>
      </c>
      <c r="AG16" s="30"/>
      <c r="AH16" s="124"/>
      <c r="AI16" s="124"/>
      <c r="AJ16" s="86" t="str">
        <f t="shared" si="7"/>
        <v/>
      </c>
      <c r="AK16" s="30"/>
      <c r="AL16" s="30"/>
      <c r="AM16" s="30"/>
      <c r="AN16" s="86" t="str">
        <f t="shared" si="8"/>
        <v/>
      </c>
      <c r="AO16" s="30"/>
      <c r="AQ16" s="90"/>
      <c r="AR16" s="86" t="str">
        <f t="shared" si="9"/>
        <v/>
      </c>
      <c r="AS16" s="30"/>
      <c r="AU16" s="90"/>
      <c r="AV16" s="86" t="str">
        <f t="shared" si="10"/>
        <v/>
      </c>
      <c r="AW16" s="70"/>
      <c r="AY16" s="90"/>
      <c r="AZ16" s="90" t="str">
        <f t="shared" si="11"/>
        <v/>
      </c>
      <c r="BC16" s="90"/>
      <c r="BD16" s="90" t="str">
        <f t="shared" si="12"/>
        <v/>
      </c>
      <c r="BE16" s="90" t="s">
        <v>1</v>
      </c>
      <c r="BF16" s="90">
        <f>(1/$D$88)*219134</f>
        <v>10956.7</v>
      </c>
      <c r="BG16" s="90">
        <v>473000</v>
      </c>
      <c r="BH16" s="86">
        <f t="shared" si="13"/>
        <v>43.169932552684656</v>
      </c>
      <c r="BI16" s="90" t="s">
        <v>1</v>
      </c>
      <c r="BJ16" s="90">
        <f>(1/$D$88)*203667</f>
        <v>10183.35</v>
      </c>
      <c r="BK16" s="90">
        <v>334311</v>
      </c>
      <c r="BL16" s="86">
        <f t="shared" si="14"/>
        <v>32.829177038990117</v>
      </c>
      <c r="BM16" s="90" t="s">
        <v>1</v>
      </c>
      <c r="BN16" s="90">
        <f>(1/$D$88)*315287</f>
        <v>15764.35</v>
      </c>
      <c r="BO16" s="90">
        <v>555716</v>
      </c>
      <c r="BP16" s="86">
        <f t="shared" si="15"/>
        <v>35.251437579094599</v>
      </c>
      <c r="BQ16" s="30"/>
      <c r="BR16" s="124"/>
      <c r="BS16" s="124"/>
      <c r="BT16" s="86" t="str">
        <f t="shared" si="16"/>
        <v/>
      </c>
      <c r="BU16" s="30"/>
      <c r="BV16" s="124"/>
      <c r="BW16" s="124"/>
      <c r="BX16" s="86" t="str">
        <f t="shared" si="17"/>
        <v/>
      </c>
      <c r="BY16" s="30"/>
      <c r="BZ16" s="124"/>
      <c r="CA16" s="124"/>
      <c r="CB16" s="86" t="str">
        <f t="shared" si="18"/>
        <v/>
      </c>
      <c r="CC16" s="30"/>
      <c r="CD16" s="124"/>
      <c r="CE16" s="124"/>
      <c r="CF16" s="86" t="str">
        <f t="shared" si="19"/>
        <v/>
      </c>
      <c r="CG16" s="30"/>
      <c r="CH16" s="124"/>
      <c r="CI16" s="124"/>
      <c r="CJ16" s="86" t="str">
        <f t="shared" si="20"/>
        <v/>
      </c>
      <c r="CK16" s="30"/>
      <c r="CL16" s="124"/>
      <c r="CM16" s="124"/>
      <c r="CN16" s="86" t="str">
        <f t="shared" si="21"/>
        <v/>
      </c>
      <c r="CO16" s="30"/>
      <c r="CP16" s="124"/>
      <c r="CQ16" s="124"/>
      <c r="CR16" s="86" t="str">
        <f t="shared" si="22"/>
        <v/>
      </c>
      <c r="CS16" s="30"/>
      <c r="CT16" s="124"/>
      <c r="CU16" s="124"/>
      <c r="CV16" s="86" t="str">
        <f t="shared" si="23"/>
        <v/>
      </c>
      <c r="CW16" s="30"/>
      <c r="CX16" s="124"/>
      <c r="CY16" s="124"/>
      <c r="CZ16" s="86" t="str">
        <f t="shared" si="24"/>
        <v/>
      </c>
      <c r="DA16" s="30" t="s">
        <v>1</v>
      </c>
      <c r="DB16" s="90">
        <v>40700</v>
      </c>
      <c r="DC16" s="90">
        <v>1740000</v>
      </c>
      <c r="DD16" s="86">
        <f t="shared" si="25"/>
        <v>42.751842751842752</v>
      </c>
    </row>
    <row r="17" spans="1:110" x14ac:dyDescent="0.3">
      <c r="A17" s="30" t="s">
        <v>197</v>
      </c>
      <c r="B17" s="30" t="s">
        <v>75</v>
      </c>
      <c r="F17" s="86" t="str">
        <f t="shared" si="0"/>
        <v/>
      </c>
      <c r="G17" s="30"/>
      <c r="H17" s="30"/>
      <c r="I17" s="30"/>
      <c r="J17" s="86" t="str">
        <f t="shared" si="1"/>
        <v/>
      </c>
      <c r="K17" s="30"/>
      <c r="L17" s="30"/>
      <c r="M17" s="30"/>
      <c r="N17" s="86" t="str">
        <f t="shared" si="2"/>
        <v/>
      </c>
      <c r="O17" s="30"/>
      <c r="P17" s="30"/>
      <c r="Q17" s="30"/>
      <c r="R17" s="86" t="str">
        <f t="shared" si="3"/>
        <v/>
      </c>
      <c r="S17" s="30"/>
      <c r="T17" s="124"/>
      <c r="U17" s="124"/>
      <c r="V17" s="86" t="str">
        <f t="shared" si="4"/>
        <v/>
      </c>
      <c r="W17" s="124"/>
      <c r="X17" s="124"/>
      <c r="Y17" s="86" t="str">
        <f t="shared" si="5"/>
        <v/>
      </c>
      <c r="Z17" s="30"/>
      <c r="AA17" s="30"/>
      <c r="AB17" s="30"/>
      <c r="AC17" s="30"/>
      <c r="AD17" s="124"/>
      <c r="AE17" s="124"/>
      <c r="AF17" s="86" t="str">
        <f t="shared" si="6"/>
        <v/>
      </c>
      <c r="AG17" s="30"/>
      <c r="AH17" s="124"/>
      <c r="AI17" s="124"/>
      <c r="AJ17" s="86" t="str">
        <f t="shared" si="7"/>
        <v/>
      </c>
      <c r="AK17" s="30"/>
      <c r="AL17" s="30"/>
      <c r="AM17" s="30"/>
      <c r="AN17" s="86" t="str">
        <f t="shared" si="8"/>
        <v/>
      </c>
      <c r="AO17" s="30"/>
      <c r="AQ17" s="90"/>
      <c r="AR17" s="86" t="str">
        <f t="shared" si="9"/>
        <v/>
      </c>
      <c r="AS17" s="30"/>
      <c r="AU17" s="90"/>
      <c r="AV17" s="86" t="str">
        <f t="shared" si="10"/>
        <v/>
      </c>
      <c r="AW17" s="30"/>
      <c r="AY17" s="124"/>
      <c r="AZ17" s="90" t="str">
        <f t="shared" si="11"/>
        <v/>
      </c>
      <c r="BC17" s="90"/>
      <c r="BD17" s="90" t="str">
        <f t="shared" si="12"/>
        <v/>
      </c>
      <c r="BE17" s="90" t="s">
        <v>1</v>
      </c>
      <c r="BG17" s="90">
        <v>116000</v>
      </c>
      <c r="BH17" s="86" t="str">
        <f t="shared" si="13"/>
        <v/>
      </c>
      <c r="BI17" s="90" t="s">
        <v>1</v>
      </c>
      <c r="BK17" s="90">
        <v>95000</v>
      </c>
      <c r="BL17" s="86" t="str">
        <f t="shared" si="14"/>
        <v/>
      </c>
      <c r="BO17" s="90"/>
      <c r="BP17" s="86" t="str">
        <f t="shared" si="15"/>
        <v/>
      </c>
      <c r="BQ17" s="30"/>
      <c r="BR17" s="124"/>
      <c r="BS17" s="124"/>
      <c r="BT17" s="86" t="str">
        <f t="shared" si="16"/>
        <v/>
      </c>
      <c r="BU17" s="30"/>
      <c r="BV17" s="124"/>
      <c r="BW17" s="124"/>
      <c r="BX17" s="86" t="str">
        <f t="shared" si="17"/>
        <v/>
      </c>
      <c r="BY17" s="30"/>
      <c r="BZ17" s="124"/>
      <c r="CA17" s="124"/>
      <c r="CB17" s="86" t="str">
        <f t="shared" si="18"/>
        <v/>
      </c>
      <c r="CC17" s="30"/>
      <c r="CD17" s="124"/>
      <c r="CE17" s="124"/>
      <c r="CF17" s="86" t="str">
        <f t="shared" si="19"/>
        <v/>
      </c>
      <c r="CG17" s="30"/>
      <c r="CH17" s="124"/>
      <c r="CI17" s="124"/>
      <c r="CJ17" s="86" t="str">
        <f t="shared" si="20"/>
        <v/>
      </c>
      <c r="CK17" s="30"/>
      <c r="CL17" s="124"/>
      <c r="CM17" s="124"/>
      <c r="CN17" s="86" t="str">
        <f t="shared" si="21"/>
        <v/>
      </c>
      <c r="CO17" s="30"/>
      <c r="CP17" s="124"/>
      <c r="CQ17" s="124"/>
      <c r="CR17" s="86" t="str">
        <f t="shared" si="22"/>
        <v/>
      </c>
      <c r="CS17" s="30"/>
      <c r="CT17" s="124"/>
      <c r="CU17" s="124"/>
      <c r="CV17" s="86" t="str">
        <f t="shared" si="23"/>
        <v/>
      </c>
      <c r="CW17" s="30"/>
      <c r="CX17" s="124"/>
      <c r="CY17" s="124"/>
      <c r="CZ17" s="86" t="str">
        <f t="shared" si="24"/>
        <v/>
      </c>
      <c r="DA17" s="30" t="s">
        <v>1</v>
      </c>
      <c r="DB17" s="90">
        <v>65931</v>
      </c>
      <c r="DC17" s="90">
        <v>468000</v>
      </c>
      <c r="DD17" s="86">
        <f t="shared" si="25"/>
        <v>7.0983300723483644</v>
      </c>
    </row>
    <row r="18" spans="1:110" x14ac:dyDescent="0.3">
      <c r="A18" s="30" t="s">
        <v>306</v>
      </c>
      <c r="B18" s="30" t="s">
        <v>75</v>
      </c>
      <c r="F18" s="86" t="str">
        <f t="shared" si="0"/>
        <v/>
      </c>
      <c r="G18" s="30"/>
      <c r="H18" s="30"/>
      <c r="I18" s="30"/>
      <c r="J18" s="86" t="str">
        <f t="shared" si="1"/>
        <v/>
      </c>
      <c r="K18" s="30"/>
      <c r="L18" s="30"/>
      <c r="M18" s="30"/>
      <c r="N18" s="86" t="str">
        <f t="shared" si="2"/>
        <v/>
      </c>
      <c r="O18" s="30"/>
      <c r="P18" s="30"/>
      <c r="Q18" s="30"/>
      <c r="R18" s="86" t="str">
        <f t="shared" si="3"/>
        <v/>
      </c>
      <c r="S18" s="30"/>
      <c r="T18" s="124"/>
      <c r="U18" s="124"/>
      <c r="V18" s="86" t="str">
        <f t="shared" si="4"/>
        <v/>
      </c>
      <c r="W18" s="124"/>
      <c r="X18" s="124"/>
      <c r="Y18" s="86" t="str">
        <f t="shared" si="5"/>
        <v/>
      </c>
      <c r="Z18" s="30"/>
      <c r="AA18" s="30"/>
      <c r="AB18" s="30"/>
      <c r="AC18" s="30"/>
      <c r="AD18" s="124"/>
      <c r="AE18" s="124"/>
      <c r="AF18" s="86" t="str">
        <f t="shared" si="6"/>
        <v/>
      </c>
      <c r="AG18" s="30"/>
      <c r="AH18" s="124"/>
      <c r="AI18" s="124"/>
      <c r="AJ18" s="86" t="str">
        <f t="shared" si="7"/>
        <v/>
      </c>
      <c r="AK18" s="30"/>
      <c r="AL18" s="30"/>
      <c r="AM18" s="30"/>
      <c r="AN18" s="86" t="str">
        <f t="shared" si="8"/>
        <v/>
      </c>
      <c r="AO18" s="30"/>
      <c r="AQ18" s="90"/>
      <c r="AR18" s="86" t="str">
        <f t="shared" si="9"/>
        <v/>
      </c>
      <c r="AS18" s="30"/>
      <c r="AU18" s="90"/>
      <c r="AV18" s="86" t="str">
        <f t="shared" si="10"/>
        <v/>
      </c>
      <c r="AW18" s="30"/>
      <c r="AY18" s="124"/>
      <c r="AZ18" s="90" t="str">
        <f t="shared" si="11"/>
        <v/>
      </c>
      <c r="BC18" s="90"/>
      <c r="BD18" s="90" t="str">
        <f t="shared" si="12"/>
        <v/>
      </c>
      <c r="BE18" s="90" t="s">
        <v>1</v>
      </c>
      <c r="BF18" s="90">
        <f>(1/$D$88)*550000</f>
        <v>27500</v>
      </c>
      <c r="BG18" s="90">
        <v>312000</v>
      </c>
      <c r="BH18" s="86">
        <f t="shared" si="13"/>
        <v>11.345454545454546</v>
      </c>
      <c r="BI18" s="90" t="s">
        <v>1</v>
      </c>
      <c r="BJ18" s="90">
        <f>(1/$D$88)*278000</f>
        <v>13900</v>
      </c>
      <c r="BK18" s="90">
        <v>148000</v>
      </c>
      <c r="BL18" s="86">
        <f t="shared" si="14"/>
        <v>10.647482014388489</v>
      </c>
      <c r="BO18" s="90"/>
      <c r="BP18" s="86" t="str">
        <f t="shared" si="15"/>
        <v/>
      </c>
      <c r="BQ18" s="30"/>
      <c r="BR18" s="124"/>
      <c r="BS18" s="124"/>
      <c r="BT18" s="86" t="str">
        <f t="shared" si="16"/>
        <v/>
      </c>
      <c r="BU18" s="30"/>
      <c r="BV18" s="124"/>
      <c r="BW18" s="124"/>
      <c r="BX18" s="86" t="str">
        <f t="shared" si="17"/>
        <v/>
      </c>
      <c r="BY18" s="30"/>
      <c r="BZ18" s="124"/>
      <c r="CA18" s="124"/>
      <c r="CB18" s="86" t="str">
        <f t="shared" si="18"/>
        <v/>
      </c>
      <c r="CC18" s="30"/>
      <c r="CD18" s="124"/>
      <c r="CE18" s="124"/>
      <c r="CF18" s="86" t="str">
        <f t="shared" si="19"/>
        <v/>
      </c>
      <c r="CG18" s="30"/>
      <c r="CH18" s="124"/>
      <c r="CI18" s="124"/>
      <c r="CJ18" s="86" t="str">
        <f t="shared" si="20"/>
        <v/>
      </c>
      <c r="CK18" s="30"/>
      <c r="CL18" s="124"/>
      <c r="CM18" s="124"/>
      <c r="CN18" s="86" t="str">
        <f t="shared" si="21"/>
        <v/>
      </c>
      <c r="CO18" s="30"/>
      <c r="CP18" s="124"/>
      <c r="CQ18" s="124"/>
      <c r="CR18" s="86" t="str">
        <f t="shared" si="22"/>
        <v/>
      </c>
      <c r="CS18" s="30"/>
      <c r="CT18" s="124"/>
      <c r="CU18" s="124"/>
      <c r="CV18" s="86" t="str">
        <f t="shared" si="23"/>
        <v/>
      </c>
      <c r="CW18" s="30"/>
      <c r="CX18" s="124"/>
      <c r="CY18" s="124"/>
      <c r="CZ18" s="86" t="str">
        <f t="shared" si="24"/>
        <v/>
      </c>
      <c r="DA18" s="30"/>
      <c r="DC18" s="90"/>
      <c r="DD18" s="86" t="str">
        <f t="shared" si="25"/>
        <v/>
      </c>
    </row>
    <row r="19" spans="1:110" x14ac:dyDescent="0.3">
      <c r="A19" s="30" t="s">
        <v>209</v>
      </c>
      <c r="B19" s="30" t="s">
        <v>75</v>
      </c>
      <c r="F19" s="86" t="str">
        <f t="shared" si="0"/>
        <v/>
      </c>
      <c r="G19" s="30"/>
      <c r="H19" s="30"/>
      <c r="I19" s="30"/>
      <c r="J19" s="86" t="str">
        <f t="shared" si="1"/>
        <v/>
      </c>
      <c r="K19" s="30"/>
      <c r="L19" s="30"/>
      <c r="M19" s="30"/>
      <c r="N19" s="86" t="str">
        <f t="shared" si="2"/>
        <v/>
      </c>
      <c r="O19" s="30"/>
      <c r="P19" s="30"/>
      <c r="Q19" s="30"/>
      <c r="R19" s="86" t="str">
        <f t="shared" si="3"/>
        <v/>
      </c>
      <c r="S19" s="30"/>
      <c r="T19" s="124"/>
      <c r="U19" s="124"/>
      <c r="V19" s="86" t="str">
        <f t="shared" si="4"/>
        <v/>
      </c>
      <c r="W19" s="124"/>
      <c r="X19" s="124"/>
      <c r="Y19" s="86" t="str">
        <f t="shared" si="5"/>
        <v/>
      </c>
      <c r="Z19" s="30"/>
      <c r="AA19" s="30"/>
      <c r="AB19" s="30"/>
      <c r="AC19" s="30"/>
      <c r="AD19" s="124"/>
      <c r="AE19" s="124"/>
      <c r="AF19" s="86" t="str">
        <f t="shared" si="6"/>
        <v/>
      </c>
      <c r="AG19" s="30"/>
      <c r="AH19" s="124"/>
      <c r="AI19" s="124"/>
      <c r="AJ19" s="86" t="str">
        <f t="shared" si="7"/>
        <v/>
      </c>
      <c r="AK19" s="30"/>
      <c r="AL19" s="30"/>
      <c r="AM19" s="30"/>
      <c r="AN19" s="86" t="str">
        <f t="shared" si="8"/>
        <v/>
      </c>
      <c r="AO19" s="30"/>
      <c r="AQ19" s="90"/>
      <c r="AR19" s="86" t="str">
        <f t="shared" si="9"/>
        <v/>
      </c>
      <c r="AS19" s="30"/>
      <c r="AU19" s="90"/>
      <c r="AV19" s="86" t="str">
        <f t="shared" si="10"/>
        <v/>
      </c>
      <c r="AW19" s="30"/>
      <c r="AY19" s="124"/>
      <c r="AZ19" s="90" t="str">
        <f t="shared" si="11"/>
        <v/>
      </c>
      <c r="BC19" s="90"/>
      <c r="BD19" s="90" t="str">
        <f t="shared" si="12"/>
        <v/>
      </c>
      <c r="BE19" s="90" t="s">
        <v>1</v>
      </c>
      <c r="BF19" s="90">
        <f>(1/$D$88)*22600</f>
        <v>1130</v>
      </c>
      <c r="BG19" s="90">
        <v>149000</v>
      </c>
      <c r="BH19" s="86">
        <f t="shared" si="13"/>
        <v>131.85840707964601</v>
      </c>
      <c r="BI19" s="90" t="s">
        <v>1</v>
      </c>
      <c r="BJ19" s="90">
        <f>(1/$D$88)*14000</f>
        <v>700</v>
      </c>
      <c r="BK19" s="90">
        <v>112000</v>
      </c>
      <c r="BL19" s="86">
        <f t="shared" si="14"/>
        <v>160</v>
      </c>
      <c r="BO19" s="90"/>
      <c r="BP19" s="86" t="str">
        <f t="shared" si="15"/>
        <v/>
      </c>
      <c r="BQ19" s="30"/>
      <c r="BR19" s="124"/>
      <c r="BS19" s="124"/>
      <c r="BT19" s="86" t="str">
        <f t="shared" si="16"/>
        <v/>
      </c>
      <c r="BU19" s="30"/>
      <c r="BV19" s="124"/>
      <c r="BW19" s="124"/>
      <c r="BX19" s="86" t="str">
        <f t="shared" si="17"/>
        <v/>
      </c>
      <c r="BY19" s="30"/>
      <c r="BZ19" s="124"/>
      <c r="CA19" s="124"/>
      <c r="CB19" s="86" t="str">
        <f t="shared" si="18"/>
        <v/>
      </c>
      <c r="CC19" s="30"/>
      <c r="CD19" s="124"/>
      <c r="CE19" s="124"/>
      <c r="CF19" s="86" t="str">
        <f t="shared" si="19"/>
        <v/>
      </c>
      <c r="CG19" s="30"/>
      <c r="CH19" s="124"/>
      <c r="CI19" s="124"/>
      <c r="CJ19" s="86" t="str">
        <f t="shared" si="20"/>
        <v/>
      </c>
      <c r="CK19" s="30"/>
      <c r="CL19" s="124"/>
      <c r="CM19" s="124"/>
      <c r="CN19" s="86" t="str">
        <f t="shared" si="21"/>
        <v/>
      </c>
      <c r="CO19" s="30"/>
      <c r="CP19" s="124"/>
      <c r="CQ19" s="124"/>
      <c r="CR19" s="86" t="str">
        <f t="shared" si="22"/>
        <v/>
      </c>
      <c r="CS19" s="30"/>
      <c r="CT19" s="124"/>
      <c r="CU19" s="124"/>
      <c r="CV19" s="86" t="str">
        <f t="shared" si="23"/>
        <v/>
      </c>
      <c r="CW19" s="30"/>
      <c r="CX19" s="124"/>
      <c r="CY19" s="124"/>
      <c r="CZ19" s="86" t="str">
        <f t="shared" si="24"/>
        <v/>
      </c>
      <c r="DA19" s="30" t="s">
        <v>1</v>
      </c>
      <c r="DB19" s="90">
        <v>1363</v>
      </c>
      <c r="DC19" s="90">
        <v>121000</v>
      </c>
      <c r="DD19" s="86">
        <f t="shared" si="25"/>
        <v>88.774761555392516</v>
      </c>
    </row>
    <row r="20" spans="1:110" x14ac:dyDescent="0.3">
      <c r="A20" s="30" t="s">
        <v>308</v>
      </c>
      <c r="B20" s="30" t="s">
        <v>75</v>
      </c>
      <c r="F20" s="86" t="str">
        <f t="shared" si="0"/>
        <v/>
      </c>
      <c r="G20" s="30"/>
      <c r="H20" s="30"/>
      <c r="I20" s="30"/>
      <c r="J20" s="86" t="str">
        <f t="shared" si="1"/>
        <v/>
      </c>
      <c r="K20" s="30"/>
      <c r="L20" s="30"/>
      <c r="M20" s="30"/>
      <c r="N20" s="86" t="str">
        <f t="shared" si="2"/>
        <v/>
      </c>
      <c r="O20" s="30"/>
      <c r="P20" s="30"/>
      <c r="Q20" s="30"/>
      <c r="R20" s="86" t="str">
        <f t="shared" si="3"/>
        <v/>
      </c>
      <c r="S20" s="30"/>
      <c r="T20" s="124"/>
      <c r="U20" s="124"/>
      <c r="V20" s="86" t="str">
        <f t="shared" si="4"/>
        <v/>
      </c>
      <c r="W20" s="124"/>
      <c r="X20" s="124"/>
      <c r="Y20" s="86" t="str">
        <f t="shared" si="5"/>
        <v/>
      </c>
      <c r="Z20" s="30"/>
      <c r="AA20" s="30"/>
      <c r="AB20" s="30"/>
      <c r="AC20" s="30"/>
      <c r="AD20" s="124"/>
      <c r="AE20" s="124"/>
      <c r="AF20" s="86" t="str">
        <f t="shared" si="6"/>
        <v/>
      </c>
      <c r="AG20" s="30"/>
      <c r="AH20" s="124"/>
      <c r="AI20" s="124"/>
      <c r="AJ20" s="86" t="str">
        <f t="shared" si="7"/>
        <v/>
      </c>
      <c r="AK20" s="30"/>
      <c r="AL20" s="30"/>
      <c r="AM20" s="30"/>
      <c r="AN20" s="86" t="str">
        <f t="shared" si="8"/>
        <v/>
      </c>
      <c r="AO20" s="30"/>
      <c r="AQ20" s="90"/>
      <c r="AR20" s="86" t="str">
        <f t="shared" si="9"/>
        <v/>
      </c>
      <c r="AS20" s="30"/>
      <c r="AU20" s="90"/>
      <c r="AV20" s="86" t="str">
        <f t="shared" si="10"/>
        <v/>
      </c>
      <c r="AW20" s="30"/>
      <c r="AY20" s="124"/>
      <c r="AZ20" s="90" t="str">
        <f t="shared" si="11"/>
        <v/>
      </c>
      <c r="BC20" s="90"/>
      <c r="BD20" s="90" t="str">
        <f t="shared" si="12"/>
        <v/>
      </c>
      <c r="BE20" s="90" t="s">
        <v>1</v>
      </c>
      <c r="BF20" s="90">
        <v>19000</v>
      </c>
      <c r="BG20" s="90">
        <v>139000</v>
      </c>
      <c r="BH20" s="86">
        <f t="shared" si="13"/>
        <v>7.3157894736842106</v>
      </c>
      <c r="BI20" s="90" t="s">
        <v>1</v>
      </c>
      <c r="BJ20" s="90">
        <v>17000</v>
      </c>
      <c r="BK20" s="90">
        <v>104000</v>
      </c>
      <c r="BL20" s="86">
        <f t="shared" si="14"/>
        <v>6.117647058823529</v>
      </c>
      <c r="BO20" s="90"/>
      <c r="BP20" s="86" t="str">
        <f t="shared" si="15"/>
        <v/>
      </c>
      <c r="BQ20" s="30"/>
      <c r="BR20" s="124"/>
      <c r="BS20" s="124"/>
      <c r="BT20" s="86" t="str">
        <f t="shared" si="16"/>
        <v/>
      </c>
      <c r="BU20" s="30"/>
      <c r="BV20" s="124"/>
      <c r="BW20" s="124"/>
      <c r="BX20" s="86" t="str">
        <f t="shared" si="17"/>
        <v/>
      </c>
      <c r="BY20" s="30"/>
      <c r="BZ20" s="124"/>
      <c r="CA20" s="124"/>
      <c r="CB20" s="86" t="str">
        <f t="shared" si="18"/>
        <v/>
      </c>
      <c r="CC20" s="30"/>
      <c r="CD20" s="124"/>
      <c r="CE20" s="124"/>
      <c r="CF20" s="86" t="str">
        <f t="shared" si="19"/>
        <v/>
      </c>
      <c r="CG20" s="30"/>
      <c r="CH20" s="124"/>
      <c r="CI20" s="124"/>
      <c r="CJ20" s="86" t="str">
        <f t="shared" si="20"/>
        <v/>
      </c>
      <c r="CK20" s="30"/>
      <c r="CL20" s="124"/>
      <c r="CM20" s="124"/>
      <c r="CN20" s="86" t="str">
        <f t="shared" si="21"/>
        <v/>
      </c>
      <c r="CO20" s="30"/>
      <c r="CP20" s="124"/>
      <c r="CQ20" s="124"/>
      <c r="CR20" s="86" t="str">
        <f t="shared" si="22"/>
        <v/>
      </c>
      <c r="CS20" s="30"/>
      <c r="CT20" s="124"/>
      <c r="CU20" s="124"/>
      <c r="CV20" s="86" t="str">
        <f t="shared" si="23"/>
        <v/>
      </c>
      <c r="CW20" s="30"/>
      <c r="CX20" s="124"/>
      <c r="CY20" s="124"/>
      <c r="CZ20" s="86" t="str">
        <f t="shared" si="24"/>
        <v/>
      </c>
      <c r="DA20" s="30"/>
      <c r="DC20" s="90"/>
      <c r="DD20" s="86" t="str">
        <f t="shared" si="25"/>
        <v/>
      </c>
    </row>
    <row r="21" spans="1:110" x14ac:dyDescent="0.3">
      <c r="A21" s="30" t="s">
        <v>201</v>
      </c>
      <c r="B21" s="30" t="s">
        <v>75</v>
      </c>
      <c r="F21" s="86" t="str">
        <f t="shared" si="0"/>
        <v/>
      </c>
      <c r="G21" s="30"/>
      <c r="H21" s="30"/>
      <c r="I21" s="30"/>
      <c r="J21" s="86" t="str">
        <f t="shared" si="1"/>
        <v/>
      </c>
      <c r="K21" s="30"/>
      <c r="L21" s="30"/>
      <c r="M21" s="30"/>
      <c r="N21" s="86" t="str">
        <f t="shared" si="2"/>
        <v/>
      </c>
      <c r="O21" s="30"/>
      <c r="P21" s="30"/>
      <c r="Q21" s="30"/>
      <c r="R21" s="86" t="str">
        <f t="shared" si="3"/>
        <v/>
      </c>
      <c r="S21" s="30"/>
      <c r="T21" s="124"/>
      <c r="U21" s="124"/>
      <c r="V21" s="86" t="str">
        <f t="shared" si="4"/>
        <v/>
      </c>
      <c r="W21" s="124"/>
      <c r="X21" s="124"/>
      <c r="Y21" s="86" t="str">
        <f t="shared" si="5"/>
        <v/>
      </c>
      <c r="Z21" s="30"/>
      <c r="AA21" s="30"/>
      <c r="AB21" s="30"/>
      <c r="AC21" s="30"/>
      <c r="AD21" s="124"/>
      <c r="AE21" s="124"/>
      <c r="AF21" s="86" t="str">
        <f t="shared" si="6"/>
        <v/>
      </c>
      <c r="AG21" s="30"/>
      <c r="AH21" s="124"/>
      <c r="AI21" s="124"/>
      <c r="AJ21" s="86" t="str">
        <f t="shared" si="7"/>
        <v/>
      </c>
      <c r="AK21" s="30"/>
      <c r="AL21" s="30"/>
      <c r="AM21" s="30"/>
      <c r="AN21" s="86" t="str">
        <f t="shared" si="8"/>
        <v/>
      </c>
      <c r="AO21" s="30"/>
      <c r="AQ21" s="90"/>
      <c r="AR21" s="86" t="str">
        <f t="shared" si="9"/>
        <v/>
      </c>
      <c r="AS21" s="30"/>
      <c r="AU21" s="90"/>
      <c r="AV21" s="86" t="str">
        <f t="shared" si="10"/>
        <v/>
      </c>
      <c r="AW21" s="30"/>
      <c r="AY21" s="124"/>
      <c r="AZ21" s="90" t="str">
        <f t="shared" si="11"/>
        <v/>
      </c>
      <c r="BC21" s="90"/>
      <c r="BD21" s="90" t="str">
        <f t="shared" si="12"/>
        <v/>
      </c>
      <c r="BE21" s="90" t="s">
        <v>1</v>
      </c>
      <c r="BG21" s="90">
        <v>8241</v>
      </c>
      <c r="BH21" s="86" t="str">
        <f t="shared" si="13"/>
        <v/>
      </c>
      <c r="BI21" s="90" t="s">
        <v>1</v>
      </c>
      <c r="BK21" s="90">
        <v>160000</v>
      </c>
      <c r="BL21" s="86" t="str">
        <f t="shared" si="14"/>
        <v/>
      </c>
      <c r="BO21" s="90"/>
      <c r="BP21" s="86" t="str">
        <f t="shared" si="15"/>
        <v/>
      </c>
      <c r="BQ21" s="30"/>
      <c r="BR21" s="124"/>
      <c r="BS21" s="124"/>
      <c r="BT21" s="86" t="str">
        <f t="shared" si="16"/>
        <v/>
      </c>
      <c r="BU21" s="30"/>
      <c r="BV21" s="124"/>
      <c r="BW21" s="124"/>
      <c r="BX21" s="86" t="str">
        <f t="shared" si="17"/>
        <v/>
      </c>
      <c r="BY21" s="30"/>
      <c r="BZ21" s="124"/>
      <c r="CA21" s="124"/>
      <c r="CB21" s="86" t="str">
        <f t="shared" si="18"/>
        <v/>
      </c>
      <c r="CC21" s="30"/>
      <c r="CD21" s="124"/>
      <c r="CE21" s="124"/>
      <c r="CF21" s="86" t="str">
        <f t="shared" si="19"/>
        <v/>
      </c>
      <c r="CG21" s="30"/>
      <c r="CH21" s="124"/>
      <c r="CI21" s="124"/>
      <c r="CJ21" s="86" t="str">
        <f t="shared" si="20"/>
        <v/>
      </c>
      <c r="CK21" s="30"/>
      <c r="CL21" s="124"/>
      <c r="CM21" s="124"/>
      <c r="CN21" s="86" t="str">
        <f t="shared" si="21"/>
        <v/>
      </c>
      <c r="CO21" s="30"/>
      <c r="CP21" s="124"/>
      <c r="CQ21" s="124"/>
      <c r="CR21" s="86" t="str">
        <f t="shared" si="22"/>
        <v/>
      </c>
      <c r="CS21" s="30"/>
      <c r="CT21" s="124"/>
      <c r="CU21" s="124"/>
      <c r="CV21" s="86" t="str">
        <f t="shared" si="23"/>
        <v/>
      </c>
      <c r="CW21" s="30"/>
      <c r="CX21" s="124"/>
      <c r="CY21" s="124"/>
      <c r="CZ21" s="86" t="str">
        <f t="shared" si="24"/>
        <v/>
      </c>
      <c r="DA21" s="30" t="s">
        <v>1</v>
      </c>
      <c r="DB21" s="90">
        <v>10963</v>
      </c>
      <c r="DC21" s="90">
        <v>487000</v>
      </c>
      <c r="DD21" s="86">
        <f t="shared" si="25"/>
        <v>44.422147222475601</v>
      </c>
    </row>
    <row r="22" spans="1:110" x14ac:dyDescent="0.3">
      <c r="A22" s="30" t="s">
        <v>130</v>
      </c>
      <c r="B22" s="30" t="s">
        <v>75</v>
      </c>
      <c r="F22" s="86" t="str">
        <f t="shared" si="0"/>
        <v/>
      </c>
      <c r="G22" s="30"/>
      <c r="H22" s="30"/>
      <c r="I22" s="30"/>
      <c r="J22" s="86" t="str">
        <f t="shared" si="1"/>
        <v/>
      </c>
      <c r="K22" s="30"/>
      <c r="L22" s="30"/>
      <c r="M22" s="30"/>
      <c r="N22" s="86" t="str">
        <f t="shared" si="2"/>
        <v/>
      </c>
      <c r="O22" s="30"/>
      <c r="P22" s="30"/>
      <c r="Q22" s="30"/>
      <c r="R22" s="86" t="str">
        <f t="shared" si="3"/>
        <v/>
      </c>
      <c r="S22" s="30"/>
      <c r="T22" s="124"/>
      <c r="U22" s="124"/>
      <c r="V22" s="86" t="str">
        <f t="shared" si="4"/>
        <v/>
      </c>
      <c r="W22" s="124"/>
      <c r="X22" s="124"/>
      <c r="Y22" s="86" t="str">
        <f t="shared" si="5"/>
        <v/>
      </c>
      <c r="Z22" s="30"/>
      <c r="AA22" s="30"/>
      <c r="AB22" s="30"/>
      <c r="AC22" s="30"/>
      <c r="AD22" s="124"/>
      <c r="AE22" s="124"/>
      <c r="AF22" s="86" t="str">
        <f t="shared" si="6"/>
        <v/>
      </c>
      <c r="AG22" s="30"/>
      <c r="AH22" s="124"/>
      <c r="AI22" s="124"/>
      <c r="AJ22" s="86" t="str">
        <f t="shared" si="7"/>
        <v/>
      </c>
      <c r="AK22" s="30"/>
      <c r="AL22" s="30"/>
      <c r="AM22" s="30"/>
      <c r="AN22" s="86" t="str">
        <f t="shared" si="8"/>
        <v/>
      </c>
      <c r="AO22" s="30"/>
      <c r="AQ22" s="90"/>
      <c r="AR22" s="86" t="str">
        <f t="shared" si="9"/>
        <v/>
      </c>
      <c r="AS22" s="30"/>
      <c r="AU22" s="90"/>
      <c r="AV22" s="86" t="str">
        <f t="shared" si="10"/>
        <v/>
      </c>
      <c r="AW22" s="30"/>
      <c r="AY22" s="124"/>
      <c r="AZ22" s="90" t="str">
        <f t="shared" si="11"/>
        <v/>
      </c>
      <c r="BC22" s="90"/>
      <c r="BD22" s="90" t="str">
        <f t="shared" si="12"/>
        <v/>
      </c>
      <c r="BE22" s="90" t="s">
        <v>1</v>
      </c>
      <c r="BF22" s="90">
        <f>(1/$D$88)*18000</f>
        <v>900</v>
      </c>
      <c r="BG22" s="90">
        <v>52000</v>
      </c>
      <c r="BH22" s="86">
        <f t="shared" si="13"/>
        <v>57.777777777777779</v>
      </c>
      <c r="BI22" s="90" t="s">
        <v>1</v>
      </c>
      <c r="BJ22" s="90">
        <f>(1/$D$88)*41000</f>
        <v>2050</v>
      </c>
      <c r="BK22" s="90">
        <v>103000</v>
      </c>
      <c r="BL22" s="86">
        <f t="shared" si="14"/>
        <v>50.243902439024389</v>
      </c>
      <c r="BO22" s="90"/>
      <c r="BP22" s="86" t="str">
        <f t="shared" si="15"/>
        <v/>
      </c>
      <c r="BQ22" s="30"/>
      <c r="BR22" s="124"/>
      <c r="BS22" s="124"/>
      <c r="BT22" s="86" t="str">
        <f t="shared" si="16"/>
        <v/>
      </c>
      <c r="BU22" s="30"/>
      <c r="BV22" s="124"/>
      <c r="BW22" s="124"/>
      <c r="BX22" s="86" t="str">
        <f t="shared" si="17"/>
        <v/>
      </c>
      <c r="BY22" s="30"/>
      <c r="BZ22" s="124"/>
      <c r="CA22" s="124"/>
      <c r="CB22" s="86" t="str">
        <f t="shared" si="18"/>
        <v/>
      </c>
      <c r="CC22" s="30"/>
      <c r="CD22" s="124"/>
      <c r="CE22" s="124"/>
      <c r="CF22" s="86" t="str">
        <f t="shared" si="19"/>
        <v/>
      </c>
      <c r="CG22" s="30"/>
      <c r="CH22" s="124"/>
      <c r="CI22" s="124"/>
      <c r="CJ22" s="86" t="str">
        <f t="shared" si="20"/>
        <v/>
      </c>
      <c r="CK22" s="30"/>
      <c r="CL22" s="124"/>
      <c r="CM22" s="124"/>
      <c r="CN22" s="86" t="str">
        <f t="shared" si="21"/>
        <v/>
      </c>
      <c r="CO22" s="30"/>
      <c r="CP22" s="124"/>
      <c r="CQ22" s="124"/>
      <c r="CR22" s="86" t="str">
        <f t="shared" si="22"/>
        <v/>
      </c>
      <c r="CS22" s="30"/>
      <c r="CT22" s="124"/>
      <c r="CU22" s="124"/>
      <c r="CV22" s="86" t="str">
        <f t="shared" si="23"/>
        <v/>
      </c>
      <c r="CW22" s="30"/>
      <c r="CX22" s="124"/>
      <c r="CY22" s="124"/>
      <c r="CZ22" s="86" t="str">
        <f t="shared" si="24"/>
        <v/>
      </c>
      <c r="DA22" s="30" t="s">
        <v>1</v>
      </c>
      <c r="DB22" s="90">
        <v>2245</v>
      </c>
      <c r="DC22" s="90">
        <v>100000</v>
      </c>
      <c r="DD22" s="86">
        <f t="shared" si="25"/>
        <v>44.543429844097993</v>
      </c>
      <c r="DF22" s="91"/>
    </row>
    <row r="23" spans="1:110" x14ac:dyDescent="0.3">
      <c r="A23" s="30" t="s">
        <v>307</v>
      </c>
      <c r="B23" s="30" t="s">
        <v>75</v>
      </c>
      <c r="F23" s="86" t="str">
        <f t="shared" si="0"/>
        <v/>
      </c>
      <c r="G23" s="30"/>
      <c r="H23" s="30"/>
      <c r="I23" s="30"/>
      <c r="J23" s="86" t="str">
        <f t="shared" si="1"/>
        <v/>
      </c>
      <c r="K23" s="30"/>
      <c r="L23" s="30"/>
      <c r="M23" s="30"/>
      <c r="N23" s="86" t="str">
        <f t="shared" si="2"/>
        <v/>
      </c>
      <c r="O23" s="30"/>
      <c r="P23" s="30"/>
      <c r="Q23" s="30"/>
      <c r="R23" s="86" t="str">
        <f t="shared" si="3"/>
        <v/>
      </c>
      <c r="S23" s="30" t="s">
        <v>417</v>
      </c>
      <c r="T23" s="124">
        <f>6365157</f>
        <v>6365157</v>
      </c>
      <c r="U23" s="124">
        <v>97510</v>
      </c>
      <c r="V23" s="86">
        <f t="shared" si="4"/>
        <v>1.5319339334442182E-2</v>
      </c>
      <c r="W23" s="124">
        <f>3740886</f>
        <v>3740886</v>
      </c>
      <c r="X23" s="124">
        <v>53511</v>
      </c>
      <c r="Y23" s="86">
        <f t="shared" si="5"/>
        <v>1.4304365329496809E-2</v>
      </c>
      <c r="Z23" s="30"/>
      <c r="AA23" s="30"/>
      <c r="AB23" s="30"/>
      <c r="AC23" s="30"/>
      <c r="AD23" s="124"/>
      <c r="AE23" s="124"/>
      <c r="AF23" s="86" t="str">
        <f t="shared" si="6"/>
        <v/>
      </c>
      <c r="AG23" s="30"/>
      <c r="AH23" s="124"/>
      <c r="AI23" s="124"/>
      <c r="AJ23" s="86" t="str">
        <f t="shared" si="7"/>
        <v/>
      </c>
      <c r="AK23" s="30"/>
      <c r="AL23" s="30"/>
      <c r="AM23" s="30"/>
      <c r="AN23" s="86" t="str">
        <f t="shared" si="8"/>
        <v/>
      </c>
      <c r="AO23" s="30"/>
      <c r="AQ23" s="90"/>
      <c r="AR23" s="86" t="str">
        <f t="shared" si="9"/>
        <v/>
      </c>
      <c r="AS23" s="30"/>
      <c r="AU23" s="90"/>
      <c r="AV23" s="86" t="str">
        <f t="shared" si="10"/>
        <v/>
      </c>
      <c r="AW23" s="30"/>
      <c r="AY23" s="124"/>
      <c r="AZ23" s="90" t="str">
        <f t="shared" si="11"/>
        <v/>
      </c>
      <c r="BC23" s="90"/>
      <c r="BD23" s="90" t="str">
        <f t="shared" si="12"/>
        <v/>
      </c>
      <c r="BE23" s="90" t="s">
        <v>1</v>
      </c>
      <c r="BG23" s="90">
        <v>198000</v>
      </c>
      <c r="BH23" s="86" t="str">
        <f t="shared" si="13"/>
        <v/>
      </c>
      <c r="BI23" s="90" t="s">
        <v>1</v>
      </c>
      <c r="BK23" s="90">
        <v>191000</v>
      </c>
      <c r="BL23" s="86" t="str">
        <f t="shared" si="14"/>
        <v/>
      </c>
      <c r="BO23" s="90"/>
      <c r="BP23" s="86" t="str">
        <f t="shared" si="15"/>
        <v/>
      </c>
      <c r="BQ23" s="30"/>
      <c r="BR23" s="124"/>
      <c r="BS23" s="124"/>
      <c r="BT23" s="86" t="str">
        <f t="shared" si="16"/>
        <v/>
      </c>
      <c r="BU23" s="30"/>
      <c r="BV23" s="124"/>
      <c r="BW23" s="124"/>
      <c r="BX23" s="86" t="str">
        <f t="shared" si="17"/>
        <v/>
      </c>
      <c r="BY23" s="30"/>
      <c r="BZ23" s="124"/>
      <c r="CA23" s="124"/>
      <c r="CB23" s="86" t="str">
        <f t="shared" si="18"/>
        <v/>
      </c>
      <c r="CC23" s="30"/>
      <c r="CD23" s="124"/>
      <c r="CE23" s="124"/>
      <c r="CF23" s="86" t="str">
        <f t="shared" si="19"/>
        <v/>
      </c>
      <c r="CG23" s="30"/>
      <c r="CH23" s="124"/>
      <c r="CI23" s="124"/>
      <c r="CJ23" s="86" t="str">
        <f t="shared" si="20"/>
        <v/>
      </c>
      <c r="CK23" s="30"/>
      <c r="CL23" s="124"/>
      <c r="CM23" s="124"/>
      <c r="CN23" s="86" t="str">
        <f t="shared" si="21"/>
        <v/>
      </c>
      <c r="CO23" s="30"/>
      <c r="CP23" s="124"/>
      <c r="CQ23" s="124"/>
      <c r="CR23" s="86" t="str">
        <f t="shared" si="22"/>
        <v/>
      </c>
      <c r="CS23" s="30"/>
      <c r="CT23" s="124"/>
      <c r="CU23" s="124"/>
      <c r="CV23" s="86" t="str">
        <f t="shared" si="23"/>
        <v/>
      </c>
      <c r="CW23" s="30"/>
      <c r="CX23" s="124"/>
      <c r="CY23" s="124"/>
      <c r="CZ23" s="86" t="str">
        <f t="shared" si="24"/>
        <v/>
      </c>
      <c r="DA23" s="30"/>
      <c r="DC23" s="90"/>
      <c r="DD23" s="86" t="str">
        <f t="shared" si="25"/>
        <v/>
      </c>
      <c r="DF23" s="91"/>
    </row>
    <row r="24" spans="1:110" x14ac:dyDescent="0.3">
      <c r="A24" s="30" t="s">
        <v>41</v>
      </c>
      <c r="B24" s="30" t="s">
        <v>75</v>
      </c>
      <c r="F24" s="86" t="str">
        <f t="shared" si="0"/>
        <v/>
      </c>
      <c r="G24" s="30"/>
      <c r="H24" s="30"/>
      <c r="I24" s="30"/>
      <c r="J24" s="86" t="str">
        <f t="shared" si="1"/>
        <v/>
      </c>
      <c r="K24" s="30"/>
      <c r="L24" s="30"/>
      <c r="M24" s="30"/>
      <c r="N24" s="86" t="str">
        <f t="shared" si="2"/>
        <v/>
      </c>
      <c r="O24" s="30"/>
      <c r="P24" s="30"/>
      <c r="Q24" s="30"/>
      <c r="R24" s="86" t="str">
        <f t="shared" si="3"/>
        <v/>
      </c>
      <c r="S24" s="30"/>
      <c r="T24" s="124"/>
      <c r="U24" s="124"/>
      <c r="V24" s="86" t="str">
        <f t="shared" si="4"/>
        <v/>
      </c>
      <c r="W24" s="124"/>
      <c r="X24" s="124"/>
      <c r="Y24" s="86" t="str">
        <f t="shared" si="5"/>
        <v/>
      </c>
      <c r="Z24" s="30"/>
      <c r="AA24" s="30"/>
      <c r="AB24" s="30"/>
      <c r="AC24" s="30"/>
      <c r="AD24" s="124"/>
      <c r="AE24" s="124"/>
      <c r="AF24" s="86" t="str">
        <f t="shared" si="6"/>
        <v/>
      </c>
      <c r="AG24" s="30"/>
      <c r="AH24" s="124"/>
      <c r="AI24" s="124"/>
      <c r="AJ24" s="86" t="str">
        <f t="shared" si="7"/>
        <v/>
      </c>
      <c r="AK24" s="30"/>
      <c r="AL24" s="30"/>
      <c r="AM24" s="30"/>
      <c r="AN24" s="86" t="str">
        <f t="shared" si="8"/>
        <v/>
      </c>
      <c r="AO24" s="30"/>
      <c r="AQ24" s="90"/>
      <c r="AR24" s="86" t="str">
        <f t="shared" si="9"/>
        <v/>
      </c>
      <c r="AS24" s="30"/>
      <c r="AU24" s="90"/>
      <c r="AV24" s="86" t="str">
        <f t="shared" si="10"/>
        <v/>
      </c>
      <c r="AW24" s="30"/>
      <c r="AY24" s="124"/>
      <c r="AZ24" s="90" t="str">
        <f t="shared" si="11"/>
        <v/>
      </c>
      <c r="BC24" s="90"/>
      <c r="BD24" s="90" t="str">
        <f t="shared" si="12"/>
        <v/>
      </c>
      <c r="BE24" s="90" t="s">
        <v>1</v>
      </c>
      <c r="BF24" s="90">
        <f>(1/$F$88)*633000</f>
        <v>282.58928571428572</v>
      </c>
      <c r="BG24" s="90">
        <v>125000</v>
      </c>
      <c r="BH24" s="86">
        <f t="shared" si="13"/>
        <v>442.3380726698262</v>
      </c>
      <c r="BI24" s="90" t="s">
        <v>1</v>
      </c>
      <c r="BJ24" s="90">
        <f>(1/$F$88)*678000</f>
        <v>302.67857142857144</v>
      </c>
      <c r="BK24" s="90">
        <v>156000</v>
      </c>
      <c r="BL24" s="86">
        <f t="shared" si="14"/>
        <v>515.39823008849555</v>
      </c>
      <c r="BO24" s="90"/>
      <c r="BP24" s="86" t="str">
        <f t="shared" si="15"/>
        <v/>
      </c>
      <c r="BQ24" s="30"/>
      <c r="BR24" s="124"/>
      <c r="BS24" s="124"/>
      <c r="BT24" s="86" t="str">
        <f t="shared" si="16"/>
        <v/>
      </c>
      <c r="BU24" s="30"/>
      <c r="BV24" s="124"/>
      <c r="BW24" s="124"/>
      <c r="BX24" s="86" t="str">
        <f t="shared" si="17"/>
        <v/>
      </c>
      <c r="BY24" s="30"/>
      <c r="BZ24" s="124"/>
      <c r="CA24" s="124"/>
      <c r="CB24" s="86" t="str">
        <f t="shared" si="18"/>
        <v/>
      </c>
      <c r="CC24" s="30"/>
      <c r="CD24" s="124"/>
      <c r="CE24" s="124"/>
      <c r="CF24" s="86" t="str">
        <f t="shared" si="19"/>
        <v/>
      </c>
      <c r="CG24" s="30"/>
      <c r="CH24" s="124"/>
      <c r="CI24" s="124"/>
      <c r="CJ24" s="86" t="str">
        <f t="shared" si="20"/>
        <v/>
      </c>
      <c r="CK24" s="30"/>
      <c r="CL24" s="124"/>
      <c r="CM24" s="124"/>
      <c r="CN24" s="86" t="str">
        <f t="shared" si="21"/>
        <v/>
      </c>
      <c r="CO24" s="30"/>
      <c r="CP24" s="124"/>
      <c r="CQ24" s="124"/>
      <c r="CR24" s="86" t="str">
        <f t="shared" si="22"/>
        <v/>
      </c>
      <c r="CS24" s="30"/>
      <c r="CT24" s="124"/>
      <c r="CU24" s="124"/>
      <c r="CV24" s="86" t="str">
        <f t="shared" si="23"/>
        <v/>
      </c>
      <c r="CW24" s="30"/>
      <c r="CX24" s="124"/>
      <c r="CY24" s="124"/>
      <c r="CZ24" s="86" t="str">
        <f t="shared" si="24"/>
        <v/>
      </c>
      <c r="DA24" s="30" t="s">
        <v>1</v>
      </c>
      <c r="DB24" s="90">
        <v>175</v>
      </c>
      <c r="DC24" s="90">
        <v>82000</v>
      </c>
      <c r="DD24" s="86">
        <f t="shared" si="25"/>
        <v>468.57142857142856</v>
      </c>
    </row>
    <row r="25" spans="1:110" x14ac:dyDescent="0.3">
      <c r="A25" s="30" t="s">
        <v>333</v>
      </c>
      <c r="B25" s="30" t="s">
        <v>75</v>
      </c>
      <c r="F25" s="86" t="str">
        <f t="shared" si="0"/>
        <v/>
      </c>
      <c r="G25" s="30"/>
      <c r="H25" s="30"/>
      <c r="I25" s="30"/>
      <c r="J25" s="86" t="str">
        <f t="shared" si="1"/>
        <v/>
      </c>
      <c r="K25" s="30"/>
      <c r="L25" s="30"/>
      <c r="M25" s="30"/>
      <c r="N25" s="86" t="str">
        <f t="shared" si="2"/>
        <v/>
      </c>
      <c r="O25" s="30"/>
      <c r="P25" s="30"/>
      <c r="Q25" s="30"/>
      <c r="R25" s="86" t="str">
        <f t="shared" si="3"/>
        <v/>
      </c>
      <c r="S25" s="30"/>
      <c r="T25" s="124"/>
      <c r="U25" s="124"/>
      <c r="V25" s="86" t="str">
        <f t="shared" si="4"/>
        <v/>
      </c>
      <c r="W25" s="124"/>
      <c r="X25" s="124"/>
      <c r="Y25" s="86" t="str">
        <f t="shared" si="5"/>
        <v/>
      </c>
      <c r="Z25" s="30"/>
      <c r="AA25" s="30"/>
      <c r="AB25" s="30"/>
      <c r="AC25" s="30"/>
      <c r="AD25" s="124"/>
      <c r="AE25" s="124"/>
      <c r="AF25" s="86" t="str">
        <f t="shared" si="6"/>
        <v/>
      </c>
      <c r="AG25" s="30"/>
      <c r="AH25" s="124"/>
      <c r="AI25" s="124"/>
      <c r="AJ25" s="86" t="str">
        <f t="shared" si="7"/>
        <v/>
      </c>
      <c r="AK25" s="30"/>
      <c r="AL25" s="30"/>
      <c r="AM25" s="30"/>
      <c r="AN25" s="86" t="str">
        <f t="shared" si="8"/>
        <v/>
      </c>
      <c r="AO25" s="30" t="s">
        <v>1</v>
      </c>
      <c r="AP25" s="90">
        <f>(1/$F$88)*1582465</f>
        <v>706.45758928571422</v>
      </c>
      <c r="AQ25" s="90">
        <v>80886</v>
      </c>
      <c r="AR25" s="86">
        <f t="shared" si="9"/>
        <v>114.49519578632072</v>
      </c>
      <c r="AS25" s="30"/>
      <c r="AT25" s="90">
        <f>(1/$F$88)*1131819</f>
        <v>505.27633928571424</v>
      </c>
      <c r="AU25" s="90">
        <v>58986</v>
      </c>
      <c r="AV25" s="86">
        <f t="shared" si="10"/>
        <v>116.74007946500281</v>
      </c>
      <c r="AW25" s="30"/>
      <c r="AX25" s="90">
        <f>(1/$F$88)*1022455</f>
        <v>456.453125</v>
      </c>
      <c r="AY25" s="124">
        <v>59860</v>
      </c>
      <c r="AZ25" s="90">
        <f t="shared" si="11"/>
        <v>131.14161503440249</v>
      </c>
      <c r="BB25" s="90">
        <f>(1/$F$88)*1145856</f>
        <v>511.54285714285714</v>
      </c>
      <c r="BC25" s="90">
        <v>60811</v>
      </c>
      <c r="BD25" s="90">
        <f t="shared" si="12"/>
        <v>118.87762511170688</v>
      </c>
      <c r="BE25" s="90" t="s">
        <v>1</v>
      </c>
      <c r="BF25" s="90">
        <f>(1/$F$88)*878000</f>
        <v>391.96428571428572</v>
      </c>
      <c r="BG25" s="90">
        <v>50000</v>
      </c>
      <c r="BH25" s="86">
        <f t="shared" si="13"/>
        <v>127.56264236902049</v>
      </c>
      <c r="BI25" s="90" t="s">
        <v>1</v>
      </c>
      <c r="BJ25" s="90">
        <f>(1/$F$88)*908000</f>
        <v>405.35714285714283</v>
      </c>
      <c r="BK25" s="90">
        <v>70000</v>
      </c>
      <c r="BL25" s="86">
        <f t="shared" si="14"/>
        <v>172.68722466960352</v>
      </c>
      <c r="BO25" s="90"/>
      <c r="BP25" s="86" t="str">
        <f t="shared" si="15"/>
        <v/>
      </c>
      <c r="BQ25" s="30"/>
      <c r="BR25" s="124"/>
      <c r="BS25" s="124"/>
      <c r="BT25" s="86" t="str">
        <f t="shared" si="16"/>
        <v/>
      </c>
      <c r="BU25" s="30"/>
      <c r="BV25" s="124"/>
      <c r="BW25" s="124"/>
      <c r="BX25" s="86" t="str">
        <f t="shared" si="17"/>
        <v/>
      </c>
      <c r="BY25" s="30"/>
      <c r="BZ25" s="124"/>
      <c r="CA25" s="124"/>
      <c r="CB25" s="86" t="str">
        <f t="shared" si="18"/>
        <v/>
      </c>
      <c r="CC25" s="30"/>
      <c r="CD25" s="124"/>
      <c r="CE25" s="124"/>
      <c r="CF25" s="86" t="str">
        <f t="shared" si="19"/>
        <v/>
      </c>
      <c r="CG25" s="30"/>
      <c r="CH25" s="124"/>
      <c r="CI25" s="124"/>
      <c r="CJ25" s="86" t="str">
        <f t="shared" si="20"/>
        <v/>
      </c>
      <c r="CK25" s="30"/>
      <c r="CL25" s="124"/>
      <c r="CM25" s="124"/>
      <c r="CN25" s="86" t="str">
        <f t="shared" si="21"/>
        <v/>
      </c>
      <c r="CO25" s="30"/>
      <c r="CP25" s="124"/>
      <c r="CQ25" s="124"/>
      <c r="CR25" s="86" t="str">
        <f t="shared" si="22"/>
        <v/>
      </c>
      <c r="CS25" s="30"/>
      <c r="CT25" s="124"/>
      <c r="CU25" s="124"/>
      <c r="CV25" s="86" t="str">
        <f t="shared" si="23"/>
        <v/>
      </c>
      <c r="CW25" s="30"/>
      <c r="CX25" s="124"/>
      <c r="CY25" s="124"/>
      <c r="CZ25" s="86" t="str">
        <f t="shared" si="24"/>
        <v/>
      </c>
      <c r="DA25" s="30"/>
      <c r="DC25" s="90"/>
      <c r="DD25" s="86" t="str">
        <f t="shared" si="25"/>
        <v/>
      </c>
    </row>
    <row r="26" spans="1:110" x14ac:dyDescent="0.3">
      <c r="A26" s="30" t="s">
        <v>334</v>
      </c>
      <c r="B26" s="30" t="s">
        <v>75</v>
      </c>
      <c r="F26" s="86" t="str">
        <f t="shared" si="0"/>
        <v/>
      </c>
      <c r="G26" s="30"/>
      <c r="H26" s="30"/>
      <c r="I26" s="30"/>
      <c r="J26" s="86" t="str">
        <f t="shared" si="1"/>
        <v/>
      </c>
      <c r="K26" s="30"/>
      <c r="L26" s="30"/>
      <c r="M26" s="30"/>
      <c r="N26" s="86" t="str">
        <f t="shared" si="2"/>
        <v/>
      </c>
      <c r="O26" s="30"/>
      <c r="P26" s="30"/>
      <c r="Q26" s="30"/>
      <c r="R26" s="86" t="str">
        <f t="shared" si="3"/>
        <v/>
      </c>
      <c r="S26" s="30"/>
      <c r="T26" s="124"/>
      <c r="U26" s="124"/>
      <c r="V26" s="86" t="str">
        <f t="shared" si="4"/>
        <v/>
      </c>
      <c r="W26" s="124"/>
      <c r="X26" s="124"/>
      <c r="Y26" s="86" t="str">
        <f t="shared" si="5"/>
        <v/>
      </c>
      <c r="Z26" s="30"/>
      <c r="AA26" s="30"/>
      <c r="AB26" s="30"/>
      <c r="AC26" s="30"/>
      <c r="AD26" s="124"/>
      <c r="AE26" s="124"/>
      <c r="AF26" s="86" t="str">
        <f t="shared" si="6"/>
        <v/>
      </c>
      <c r="AG26" s="30"/>
      <c r="AH26" s="124"/>
      <c r="AI26" s="124"/>
      <c r="AJ26" s="86" t="str">
        <f t="shared" si="7"/>
        <v/>
      </c>
      <c r="AK26" s="30"/>
      <c r="AL26" s="30"/>
      <c r="AM26" s="30"/>
      <c r="AN26" s="86" t="str">
        <f t="shared" si="8"/>
        <v/>
      </c>
      <c r="AO26" s="30" t="s">
        <v>1</v>
      </c>
      <c r="AP26" s="90">
        <f>(1/$F$88)*11752</f>
        <v>5.246428571428571</v>
      </c>
      <c r="AQ26" s="90">
        <v>2616</v>
      </c>
      <c r="AR26" s="86">
        <f t="shared" si="9"/>
        <v>498.62491490810078</v>
      </c>
      <c r="AS26" s="30"/>
      <c r="AT26" s="90">
        <f>(1/$F$88)*21075</f>
        <v>9.4084821428571423</v>
      </c>
      <c r="AU26" s="90">
        <v>6554</v>
      </c>
      <c r="AV26" s="86">
        <f t="shared" si="10"/>
        <v>696.60545670225395</v>
      </c>
      <c r="AW26" s="30"/>
      <c r="AX26" s="90">
        <f>(1/$F$88)*4255</f>
        <v>1.8995535714285714</v>
      </c>
      <c r="AY26" s="124">
        <v>1226</v>
      </c>
      <c r="AZ26" s="90">
        <f t="shared" si="11"/>
        <v>645.41480611045824</v>
      </c>
      <c r="BB26" s="90">
        <f>(1/$F$88)*15923</f>
        <v>7.1084821428571425</v>
      </c>
      <c r="BC26" s="90">
        <v>5296</v>
      </c>
      <c r="BD26" s="90">
        <f t="shared" si="12"/>
        <v>745.02543490548271</v>
      </c>
      <c r="BE26" s="90" t="s">
        <v>1</v>
      </c>
      <c r="BF26" s="90">
        <f>(1/$F$88)*19627</f>
        <v>8.7620535714285719</v>
      </c>
      <c r="BG26" s="90">
        <v>6587</v>
      </c>
      <c r="BH26" s="86">
        <f t="shared" si="13"/>
        <v>751.76440617516687</v>
      </c>
      <c r="BK26" s="90"/>
      <c r="BL26" s="86" t="str">
        <f t="shared" si="14"/>
        <v/>
      </c>
      <c r="BO26" s="90"/>
      <c r="BP26" s="86" t="str">
        <f t="shared" si="15"/>
        <v/>
      </c>
      <c r="BQ26" s="30"/>
      <c r="BR26" s="124"/>
      <c r="BS26" s="124"/>
      <c r="BT26" s="86" t="str">
        <f t="shared" si="16"/>
        <v/>
      </c>
      <c r="BU26" s="30"/>
      <c r="BV26" s="124"/>
      <c r="BW26" s="124"/>
      <c r="BX26" s="86" t="str">
        <f t="shared" si="17"/>
        <v/>
      </c>
      <c r="BY26" s="30"/>
      <c r="BZ26" s="124"/>
      <c r="CA26" s="124"/>
      <c r="CB26" s="86" t="str">
        <f t="shared" si="18"/>
        <v/>
      </c>
      <c r="CC26" s="30"/>
      <c r="CD26" s="124"/>
      <c r="CE26" s="124"/>
      <c r="CF26" s="86" t="str">
        <f t="shared" si="19"/>
        <v/>
      </c>
      <c r="CG26" s="30"/>
      <c r="CH26" s="124"/>
      <c r="CI26" s="124"/>
      <c r="CJ26" s="86" t="str">
        <f t="shared" si="20"/>
        <v/>
      </c>
      <c r="CK26" s="30"/>
      <c r="CL26" s="124"/>
      <c r="CM26" s="124"/>
      <c r="CN26" s="86" t="str">
        <f t="shared" si="21"/>
        <v/>
      </c>
      <c r="CO26" s="30"/>
      <c r="CP26" s="124"/>
      <c r="CQ26" s="124"/>
      <c r="CR26" s="86" t="str">
        <f t="shared" si="22"/>
        <v/>
      </c>
      <c r="CS26" s="30"/>
      <c r="CT26" s="124"/>
      <c r="CU26" s="124"/>
      <c r="CV26" s="86" t="str">
        <f t="shared" si="23"/>
        <v/>
      </c>
      <c r="CW26" s="30"/>
      <c r="CX26" s="124"/>
      <c r="CY26" s="124"/>
      <c r="CZ26" s="86" t="str">
        <f t="shared" si="24"/>
        <v/>
      </c>
      <c r="DA26" s="30"/>
      <c r="DC26" s="90"/>
      <c r="DD26" s="86" t="str">
        <f t="shared" si="25"/>
        <v/>
      </c>
    </row>
    <row r="27" spans="1:110" x14ac:dyDescent="0.3">
      <c r="A27" s="30" t="s">
        <v>8</v>
      </c>
      <c r="B27" s="30" t="s">
        <v>75</v>
      </c>
      <c r="F27" s="86" t="str">
        <f t="shared" si="0"/>
        <v/>
      </c>
      <c r="G27" s="30"/>
      <c r="H27" s="30"/>
      <c r="I27" s="30"/>
      <c r="J27" s="86" t="str">
        <f t="shared" si="1"/>
        <v/>
      </c>
      <c r="K27" s="30"/>
      <c r="L27" s="30"/>
      <c r="M27" s="30"/>
      <c r="N27" s="86" t="str">
        <f t="shared" si="2"/>
        <v/>
      </c>
      <c r="O27" s="30"/>
      <c r="P27" s="30"/>
      <c r="Q27" s="30"/>
      <c r="R27" s="86" t="str">
        <f t="shared" si="3"/>
        <v/>
      </c>
      <c r="S27" s="30"/>
      <c r="T27" s="124"/>
      <c r="U27" s="124"/>
      <c r="V27" s="86" t="str">
        <f t="shared" si="4"/>
        <v/>
      </c>
      <c r="W27" s="124"/>
      <c r="X27" s="124"/>
      <c r="Y27" s="86" t="str">
        <f t="shared" si="5"/>
        <v/>
      </c>
      <c r="Z27" s="30"/>
      <c r="AA27" s="30"/>
      <c r="AB27" s="30"/>
      <c r="AC27" s="30"/>
      <c r="AD27" s="124"/>
      <c r="AE27" s="124"/>
      <c r="AF27" s="86" t="str">
        <f t="shared" si="6"/>
        <v/>
      </c>
      <c r="AG27" s="30"/>
      <c r="AH27" s="124"/>
      <c r="AI27" s="124"/>
      <c r="AJ27" s="86" t="str">
        <f t="shared" si="7"/>
        <v/>
      </c>
      <c r="AK27" s="30"/>
      <c r="AL27" s="30"/>
      <c r="AM27" s="30"/>
      <c r="AN27" s="86" t="str">
        <f t="shared" si="8"/>
        <v/>
      </c>
      <c r="AO27" s="30"/>
      <c r="AP27" s="134"/>
      <c r="AQ27" s="124"/>
      <c r="AR27" s="86" t="str">
        <f t="shared" si="9"/>
        <v/>
      </c>
      <c r="AS27" s="30"/>
      <c r="AT27" s="124"/>
      <c r="AU27" s="124"/>
      <c r="AV27" s="86" t="str">
        <f t="shared" si="10"/>
        <v/>
      </c>
      <c r="AW27" s="30"/>
      <c r="AX27" s="124"/>
      <c r="AY27" s="124"/>
      <c r="AZ27" s="86" t="str">
        <f t="shared" si="11"/>
        <v/>
      </c>
      <c r="BA27" s="30"/>
      <c r="BB27" s="124"/>
      <c r="BC27" s="124"/>
      <c r="BD27" s="86" t="str">
        <f t="shared" si="12"/>
        <v/>
      </c>
      <c r="BE27" s="30"/>
      <c r="BG27" s="90"/>
      <c r="BH27" s="86" t="str">
        <f t="shared" si="13"/>
        <v/>
      </c>
      <c r="BI27" s="30"/>
      <c r="BJ27" s="124"/>
      <c r="BK27" s="124"/>
      <c r="BL27" s="86" t="str">
        <f t="shared" si="14"/>
        <v/>
      </c>
      <c r="BM27" s="30"/>
      <c r="BN27" s="124"/>
      <c r="BO27" s="90"/>
      <c r="BP27" s="86" t="str">
        <f t="shared" si="15"/>
        <v/>
      </c>
      <c r="BQ27" s="30"/>
      <c r="BR27" s="124"/>
      <c r="BS27" s="124"/>
      <c r="BT27" s="86" t="str">
        <f t="shared" si="16"/>
        <v/>
      </c>
      <c r="BU27" s="30"/>
      <c r="BV27" s="124"/>
      <c r="BW27" s="124"/>
      <c r="BX27" s="86" t="str">
        <f t="shared" si="17"/>
        <v/>
      </c>
      <c r="BY27" s="30"/>
      <c r="BZ27" s="124"/>
      <c r="CA27" s="124"/>
      <c r="CB27" s="86" t="str">
        <f t="shared" si="18"/>
        <v/>
      </c>
      <c r="CC27" s="30"/>
      <c r="CD27" s="124"/>
      <c r="CE27" s="124"/>
      <c r="CF27" s="86" t="str">
        <f t="shared" si="19"/>
        <v/>
      </c>
      <c r="CG27" s="30"/>
      <c r="CH27" s="124"/>
      <c r="CI27" s="124"/>
      <c r="CJ27" s="86" t="str">
        <f t="shared" si="20"/>
        <v/>
      </c>
      <c r="CK27" s="30"/>
      <c r="CL27" s="124"/>
      <c r="CM27" s="124"/>
      <c r="CN27" s="86" t="str">
        <f t="shared" si="21"/>
        <v/>
      </c>
      <c r="CO27" s="30"/>
      <c r="CP27" s="124"/>
      <c r="CQ27" s="124"/>
      <c r="CR27" s="86" t="str">
        <f t="shared" si="22"/>
        <v/>
      </c>
      <c r="CS27" s="30"/>
      <c r="CT27" s="124"/>
      <c r="CU27" s="124"/>
      <c r="CV27" s="86" t="str">
        <f t="shared" si="23"/>
        <v/>
      </c>
      <c r="CW27" s="30"/>
      <c r="CX27" s="124"/>
      <c r="CY27" s="124"/>
      <c r="CZ27" s="86" t="str">
        <f t="shared" si="24"/>
        <v/>
      </c>
      <c r="DA27" s="30" t="s">
        <v>1</v>
      </c>
      <c r="DB27" s="90">
        <v>15818</v>
      </c>
      <c r="DC27" s="90">
        <v>55000</v>
      </c>
      <c r="DD27" s="86">
        <f t="shared" si="25"/>
        <v>3.4770514603616132</v>
      </c>
    </row>
    <row r="28" spans="1:110" x14ac:dyDescent="0.3">
      <c r="A28" s="30" t="s">
        <v>411</v>
      </c>
      <c r="B28" s="30" t="s">
        <v>75</v>
      </c>
      <c r="F28" s="86" t="str">
        <f t="shared" si="0"/>
        <v/>
      </c>
      <c r="G28" s="30"/>
      <c r="H28" s="30"/>
      <c r="I28" s="30"/>
      <c r="J28" s="86" t="str">
        <f t="shared" si="1"/>
        <v/>
      </c>
      <c r="K28" s="142" t="s">
        <v>1</v>
      </c>
      <c r="L28" s="142">
        <f>140405*$D$178/$F$88</f>
        <v>3826.6630580357141</v>
      </c>
      <c r="M28" s="142">
        <v>42443</v>
      </c>
      <c r="N28" s="143">
        <f t="shared" si="2"/>
        <v>11.091386766042227</v>
      </c>
      <c r="O28" s="142"/>
      <c r="P28" s="142">
        <f>148466*$D$178/$F$88</f>
        <v>4046.3612946428566</v>
      </c>
      <c r="Q28" s="142">
        <v>70450</v>
      </c>
      <c r="R28" s="143">
        <f t="shared" si="3"/>
        <v>17.410704301979074</v>
      </c>
      <c r="S28" s="30" t="s">
        <v>417</v>
      </c>
      <c r="T28" s="124">
        <f>2608153</f>
        <v>2608153</v>
      </c>
      <c r="U28" s="124">
        <v>39870</v>
      </c>
      <c r="V28" s="86">
        <f t="shared" si="4"/>
        <v>1.528667988419391E-2</v>
      </c>
      <c r="W28" s="124">
        <f>3365814</f>
        <v>3365814</v>
      </c>
      <c r="X28" s="124">
        <v>58923</v>
      </c>
      <c r="Y28" s="86">
        <f t="shared" si="5"/>
        <v>1.7506314965711117E-2</v>
      </c>
      <c r="Z28" s="30"/>
      <c r="AA28" s="30"/>
      <c r="AB28" s="30"/>
      <c r="AC28" s="30"/>
      <c r="AD28" s="124"/>
      <c r="AE28" s="124"/>
      <c r="AF28" s="86" t="str">
        <f t="shared" si="6"/>
        <v/>
      </c>
      <c r="AG28" s="30"/>
      <c r="AH28" s="124"/>
      <c r="AI28" s="124"/>
      <c r="AJ28" s="86" t="str">
        <f t="shared" si="7"/>
        <v/>
      </c>
      <c r="AK28" s="30"/>
      <c r="AL28" s="30"/>
      <c r="AM28" s="30"/>
      <c r="AN28" s="86" t="str">
        <f t="shared" si="8"/>
        <v/>
      </c>
      <c r="AO28" s="30"/>
      <c r="AP28" s="124"/>
      <c r="AQ28" s="124"/>
      <c r="AR28" s="86" t="str">
        <f t="shared" si="9"/>
        <v/>
      </c>
      <c r="AS28" s="30"/>
      <c r="AT28" s="124"/>
      <c r="AU28" s="124"/>
      <c r="AV28" s="86" t="str">
        <f t="shared" si="10"/>
        <v/>
      </c>
      <c r="AW28" s="30"/>
      <c r="AX28" s="124"/>
      <c r="AY28" s="124"/>
      <c r="AZ28" s="86" t="str">
        <f t="shared" si="11"/>
        <v/>
      </c>
      <c r="BA28" s="30"/>
      <c r="BB28" s="124"/>
      <c r="BC28" s="124"/>
      <c r="BD28" s="86" t="str">
        <f t="shared" si="12"/>
        <v/>
      </c>
      <c r="BE28" s="30"/>
      <c r="BG28" s="90"/>
      <c r="BH28" s="86" t="str">
        <f t="shared" si="13"/>
        <v/>
      </c>
      <c r="BI28" s="30"/>
      <c r="BJ28" s="124"/>
      <c r="BK28" s="124"/>
      <c r="BL28" s="86" t="str">
        <f t="shared" si="14"/>
        <v/>
      </c>
      <c r="BM28" s="30"/>
      <c r="BN28" s="124"/>
      <c r="BO28" s="124"/>
      <c r="BP28" s="86" t="str">
        <f t="shared" si="15"/>
        <v/>
      </c>
      <c r="BQ28" s="30"/>
      <c r="BR28" s="124"/>
      <c r="BS28" s="124"/>
      <c r="BT28" s="86" t="str">
        <f t="shared" si="16"/>
        <v/>
      </c>
      <c r="BU28" s="30"/>
      <c r="BV28" s="124"/>
      <c r="BW28" s="124"/>
      <c r="BX28" s="86" t="str">
        <f t="shared" si="17"/>
        <v/>
      </c>
      <c r="BY28" s="30"/>
      <c r="BZ28" s="124"/>
      <c r="CA28" s="124"/>
      <c r="CB28" s="86" t="str">
        <f t="shared" si="18"/>
        <v/>
      </c>
      <c r="CC28" s="30"/>
      <c r="CD28" s="124"/>
      <c r="CE28" s="124"/>
      <c r="CF28" s="86" t="str">
        <f t="shared" si="19"/>
        <v/>
      </c>
      <c r="CG28" s="30"/>
      <c r="CH28" s="124"/>
      <c r="CI28" s="124"/>
      <c r="CJ28" s="86" t="str">
        <f t="shared" si="20"/>
        <v/>
      </c>
      <c r="CK28" s="30"/>
      <c r="CL28" s="124"/>
      <c r="CM28" s="124"/>
      <c r="CN28" s="86" t="str">
        <f t="shared" si="21"/>
        <v/>
      </c>
      <c r="CO28" s="30"/>
      <c r="CP28" s="124"/>
      <c r="CQ28" s="124"/>
      <c r="CR28" s="86" t="str">
        <f t="shared" si="22"/>
        <v/>
      </c>
      <c r="CS28" s="30"/>
      <c r="CT28" s="124"/>
      <c r="CU28" s="124"/>
      <c r="CV28" s="86" t="str">
        <f t="shared" si="23"/>
        <v/>
      </c>
      <c r="CW28" s="30"/>
      <c r="CX28" s="124"/>
      <c r="CY28" s="124"/>
      <c r="CZ28" s="86" t="str">
        <f t="shared" si="24"/>
        <v/>
      </c>
      <c r="DA28" s="30" t="s">
        <v>1</v>
      </c>
      <c r="DB28" s="90">
        <v>10030</v>
      </c>
      <c r="DC28" s="90">
        <v>113000</v>
      </c>
      <c r="DD28" s="86">
        <f t="shared" si="25"/>
        <v>11.266201395812562</v>
      </c>
    </row>
    <row r="29" spans="1:110" x14ac:dyDescent="0.3">
      <c r="A29" s="30" t="s">
        <v>200</v>
      </c>
      <c r="B29" s="30" t="s">
        <v>75</v>
      </c>
      <c r="F29" s="86" t="str">
        <f t="shared" si="0"/>
        <v/>
      </c>
      <c r="G29" s="30"/>
      <c r="H29" s="30"/>
      <c r="I29" s="30"/>
      <c r="J29" s="86" t="str">
        <f t="shared" si="1"/>
        <v/>
      </c>
      <c r="K29" s="30"/>
      <c r="L29" s="30"/>
      <c r="M29" s="30"/>
      <c r="N29" s="86" t="str">
        <f t="shared" si="2"/>
        <v/>
      </c>
      <c r="O29" s="30"/>
      <c r="P29" s="30"/>
      <c r="Q29" s="30"/>
      <c r="R29" s="86" t="str">
        <f t="shared" si="3"/>
        <v/>
      </c>
      <c r="S29" s="30"/>
      <c r="T29" s="124"/>
      <c r="U29" s="124"/>
      <c r="V29" s="86" t="str">
        <f t="shared" si="4"/>
        <v/>
      </c>
      <c r="W29" s="124"/>
      <c r="X29" s="124"/>
      <c r="Y29" s="86" t="str">
        <f t="shared" si="5"/>
        <v/>
      </c>
      <c r="Z29" s="30"/>
      <c r="AA29" s="30"/>
      <c r="AB29" s="30"/>
      <c r="AC29" s="30"/>
      <c r="AD29" s="124"/>
      <c r="AE29" s="124"/>
      <c r="AF29" s="86" t="str">
        <f t="shared" si="6"/>
        <v/>
      </c>
      <c r="AG29" s="30"/>
      <c r="AH29" s="124"/>
      <c r="AI29" s="124"/>
      <c r="AJ29" s="86" t="str">
        <f t="shared" si="7"/>
        <v/>
      </c>
      <c r="AK29" s="30"/>
      <c r="AL29" s="30"/>
      <c r="AM29" s="30"/>
      <c r="AN29" s="86" t="str">
        <f t="shared" si="8"/>
        <v/>
      </c>
      <c r="AO29" s="30"/>
      <c r="AP29" s="124"/>
      <c r="AQ29" s="124"/>
      <c r="AR29" s="86" t="str">
        <f t="shared" si="9"/>
        <v/>
      </c>
      <c r="AS29" s="30"/>
      <c r="AT29" s="124"/>
      <c r="AU29" s="124"/>
      <c r="AV29" s="86" t="str">
        <f t="shared" si="10"/>
        <v/>
      </c>
      <c r="AW29" s="30"/>
      <c r="AX29" s="124"/>
      <c r="AY29" s="124"/>
      <c r="AZ29" s="86" t="str">
        <f t="shared" si="11"/>
        <v/>
      </c>
      <c r="BA29" s="30"/>
      <c r="BB29" s="124"/>
      <c r="BC29" s="124"/>
      <c r="BD29" s="86" t="str">
        <f t="shared" si="12"/>
        <v/>
      </c>
      <c r="BE29" s="30"/>
      <c r="BG29" s="90"/>
      <c r="BH29" s="86" t="str">
        <f t="shared" si="13"/>
        <v/>
      </c>
      <c r="BI29" s="30"/>
      <c r="BJ29" s="124"/>
      <c r="BK29" s="124"/>
      <c r="BL29" s="86" t="str">
        <f t="shared" si="14"/>
        <v/>
      </c>
      <c r="BM29" s="30"/>
      <c r="BN29" s="124"/>
      <c r="BO29" s="124"/>
      <c r="BP29" s="86" t="str">
        <f t="shared" si="15"/>
        <v/>
      </c>
      <c r="BQ29" s="30"/>
      <c r="BR29" s="124"/>
      <c r="BS29" s="124"/>
      <c r="BT29" s="86" t="str">
        <f t="shared" si="16"/>
        <v/>
      </c>
      <c r="BU29" s="30"/>
      <c r="BV29" s="124"/>
      <c r="BW29" s="124"/>
      <c r="BX29" s="86" t="str">
        <f t="shared" si="17"/>
        <v/>
      </c>
      <c r="BY29" s="30"/>
      <c r="BZ29" s="124"/>
      <c r="CA29" s="124"/>
      <c r="CB29" s="86" t="str">
        <f t="shared" si="18"/>
        <v/>
      </c>
      <c r="CC29" s="30"/>
      <c r="CD29" s="124"/>
      <c r="CE29" s="124"/>
      <c r="CF29" s="86" t="str">
        <f t="shared" si="19"/>
        <v/>
      </c>
      <c r="CG29" s="30"/>
      <c r="CH29" s="124"/>
      <c r="CI29" s="124"/>
      <c r="CJ29" s="86" t="str">
        <f t="shared" si="20"/>
        <v/>
      </c>
      <c r="CK29" s="30"/>
      <c r="CL29" s="124"/>
      <c r="CM29" s="124"/>
      <c r="CN29" s="86" t="str">
        <f t="shared" si="21"/>
        <v/>
      </c>
      <c r="CO29" s="30"/>
      <c r="CP29" s="124"/>
      <c r="CQ29" s="124"/>
      <c r="CR29" s="86" t="str">
        <f t="shared" si="22"/>
        <v/>
      </c>
      <c r="CS29" s="30"/>
      <c r="CT29" s="124"/>
      <c r="CU29" s="124"/>
      <c r="CV29" s="86" t="str">
        <f t="shared" si="23"/>
        <v/>
      </c>
      <c r="CW29" s="30"/>
      <c r="CX29" s="124"/>
      <c r="CY29" s="124"/>
      <c r="CZ29" s="86" t="str">
        <f t="shared" si="24"/>
        <v/>
      </c>
      <c r="DA29" s="30" t="s">
        <v>1</v>
      </c>
      <c r="DB29" s="90">
        <v>69532</v>
      </c>
      <c r="DC29" s="90">
        <v>466000</v>
      </c>
      <c r="DD29" s="86">
        <f t="shared" si="25"/>
        <v>6.7019501812115285</v>
      </c>
    </row>
    <row r="30" spans="1:110" x14ac:dyDescent="0.3">
      <c r="A30" s="30" t="s">
        <v>205</v>
      </c>
      <c r="B30" s="30" t="s">
        <v>75</v>
      </c>
      <c r="F30" s="86" t="str">
        <f t="shared" si="0"/>
        <v/>
      </c>
      <c r="G30" s="30"/>
      <c r="H30" s="30"/>
      <c r="I30" s="30"/>
      <c r="J30" s="86" t="str">
        <f t="shared" si="1"/>
        <v/>
      </c>
      <c r="K30" s="30"/>
      <c r="L30" s="30"/>
      <c r="M30" s="30"/>
      <c r="N30" s="86" t="str">
        <f t="shared" si="2"/>
        <v/>
      </c>
      <c r="O30" s="30"/>
      <c r="P30" s="30"/>
      <c r="Q30" s="30"/>
      <c r="R30" s="86" t="str">
        <f t="shared" si="3"/>
        <v/>
      </c>
      <c r="S30" s="30"/>
      <c r="T30" s="124"/>
      <c r="U30" s="124"/>
      <c r="V30" s="86" t="str">
        <f t="shared" si="4"/>
        <v/>
      </c>
      <c r="W30" s="124"/>
      <c r="X30" s="124"/>
      <c r="Y30" s="86" t="str">
        <f t="shared" si="5"/>
        <v/>
      </c>
      <c r="Z30" s="30"/>
      <c r="AA30" s="30"/>
      <c r="AB30" s="30"/>
      <c r="AC30" s="30"/>
      <c r="AD30" s="124"/>
      <c r="AE30" s="124"/>
      <c r="AF30" s="86" t="str">
        <f t="shared" si="6"/>
        <v/>
      </c>
      <c r="AG30" s="30"/>
      <c r="AH30" s="124"/>
      <c r="AI30" s="124"/>
      <c r="AJ30" s="86" t="str">
        <f t="shared" si="7"/>
        <v/>
      </c>
      <c r="AK30" s="30"/>
      <c r="AL30" s="30"/>
      <c r="AM30" s="30"/>
      <c r="AN30" s="86" t="str">
        <f t="shared" si="8"/>
        <v/>
      </c>
      <c r="AO30" s="30"/>
      <c r="AP30" s="124"/>
      <c r="AQ30" s="124"/>
      <c r="AR30" s="86" t="str">
        <f t="shared" si="9"/>
        <v/>
      </c>
      <c r="AS30" s="30"/>
      <c r="AT30" s="124"/>
      <c r="AU30" s="124"/>
      <c r="AV30" s="86" t="str">
        <f t="shared" si="10"/>
        <v/>
      </c>
      <c r="AW30" s="30"/>
      <c r="AX30" s="124"/>
      <c r="AY30" s="124"/>
      <c r="AZ30" s="86" t="str">
        <f t="shared" si="11"/>
        <v/>
      </c>
      <c r="BA30" s="30"/>
      <c r="BB30" s="124"/>
      <c r="BC30" s="124"/>
      <c r="BD30" s="86" t="str">
        <f t="shared" si="12"/>
        <v/>
      </c>
      <c r="BE30" s="30"/>
      <c r="BG30" s="90"/>
      <c r="BH30" s="86" t="str">
        <f t="shared" si="13"/>
        <v/>
      </c>
      <c r="BI30" s="30"/>
      <c r="BJ30" s="124"/>
      <c r="BK30" s="124"/>
      <c r="BL30" s="86" t="str">
        <f t="shared" si="14"/>
        <v/>
      </c>
      <c r="BM30" s="30"/>
      <c r="BN30" s="124"/>
      <c r="BO30" s="124"/>
      <c r="BP30" s="86" t="str">
        <f t="shared" si="15"/>
        <v/>
      </c>
      <c r="BQ30" s="30"/>
      <c r="BR30" s="124"/>
      <c r="BS30" s="124"/>
      <c r="BT30" s="86" t="str">
        <f t="shared" si="16"/>
        <v/>
      </c>
      <c r="BU30" s="30"/>
      <c r="BV30" s="124"/>
      <c r="BW30" s="124"/>
      <c r="BX30" s="86" t="str">
        <f t="shared" si="17"/>
        <v/>
      </c>
      <c r="BY30" s="30"/>
      <c r="BZ30" s="124"/>
      <c r="CA30" s="124"/>
      <c r="CB30" s="86" t="str">
        <f t="shared" si="18"/>
        <v/>
      </c>
      <c r="CC30" s="30"/>
      <c r="CD30" s="124"/>
      <c r="CE30" s="124"/>
      <c r="CF30" s="86" t="str">
        <f t="shared" si="19"/>
        <v/>
      </c>
      <c r="CG30" s="30"/>
      <c r="CH30" s="124"/>
      <c r="CI30" s="124"/>
      <c r="CJ30" s="86" t="str">
        <f t="shared" si="20"/>
        <v/>
      </c>
      <c r="CK30" s="30"/>
      <c r="CL30" s="124"/>
      <c r="CM30" s="124"/>
      <c r="CN30" s="86" t="str">
        <f t="shared" si="21"/>
        <v/>
      </c>
      <c r="CO30" s="30"/>
      <c r="CP30" s="124"/>
      <c r="CQ30" s="124"/>
      <c r="CR30" s="86" t="str">
        <f t="shared" si="22"/>
        <v/>
      </c>
      <c r="CS30" s="30"/>
      <c r="CT30" s="124"/>
      <c r="CU30" s="124"/>
      <c r="CV30" s="86" t="str">
        <f t="shared" si="23"/>
        <v/>
      </c>
      <c r="CW30" s="30"/>
      <c r="CX30" s="124"/>
      <c r="CY30" s="124"/>
      <c r="CZ30" s="86" t="str">
        <f t="shared" si="24"/>
        <v/>
      </c>
      <c r="DA30" s="30" t="s">
        <v>1</v>
      </c>
      <c r="DB30" s="90">
        <v>10792</v>
      </c>
      <c r="DC30" s="90">
        <v>41000</v>
      </c>
      <c r="DD30" s="86">
        <f t="shared" si="25"/>
        <v>3.7991104521868051</v>
      </c>
    </row>
    <row r="31" spans="1:110" x14ac:dyDescent="0.3">
      <c r="A31" s="30" t="s">
        <v>206</v>
      </c>
      <c r="B31" s="30" t="s">
        <v>75</v>
      </c>
      <c r="F31" s="86" t="str">
        <f t="shared" si="0"/>
        <v/>
      </c>
      <c r="G31" s="30"/>
      <c r="H31" s="30"/>
      <c r="I31" s="30"/>
      <c r="J31" s="86" t="str">
        <f t="shared" si="1"/>
        <v/>
      </c>
      <c r="K31" s="30"/>
      <c r="L31" s="30"/>
      <c r="M31" s="30"/>
      <c r="N31" s="86" t="str">
        <f t="shared" si="2"/>
        <v/>
      </c>
      <c r="O31" s="30"/>
      <c r="P31" s="30"/>
      <c r="Q31" s="30"/>
      <c r="R31" s="86" t="str">
        <f t="shared" si="3"/>
        <v/>
      </c>
      <c r="S31" s="30"/>
      <c r="T31" s="124"/>
      <c r="U31" s="124"/>
      <c r="V31" s="86" t="str">
        <f t="shared" si="4"/>
        <v/>
      </c>
      <c r="W31" s="124"/>
      <c r="X31" s="124"/>
      <c r="Y31" s="86" t="str">
        <f t="shared" si="5"/>
        <v/>
      </c>
      <c r="Z31" s="30"/>
      <c r="AA31" s="30"/>
      <c r="AB31" s="30"/>
      <c r="AC31" s="30"/>
      <c r="AD31" s="124"/>
      <c r="AE31" s="124"/>
      <c r="AF31" s="86" t="str">
        <f t="shared" si="6"/>
        <v/>
      </c>
      <c r="AG31" s="30"/>
      <c r="AH31" s="124"/>
      <c r="AI31" s="124"/>
      <c r="AJ31" s="86" t="str">
        <f t="shared" si="7"/>
        <v/>
      </c>
      <c r="AK31" s="30"/>
      <c r="AL31" s="30"/>
      <c r="AM31" s="30"/>
      <c r="AN31" s="86" t="str">
        <f t="shared" si="8"/>
        <v/>
      </c>
      <c r="AO31" s="30"/>
      <c r="AP31" s="124"/>
      <c r="AQ31" s="124"/>
      <c r="AR31" s="86" t="str">
        <f t="shared" si="9"/>
        <v/>
      </c>
      <c r="AS31" s="30"/>
      <c r="AT31" s="124"/>
      <c r="AU31" s="124"/>
      <c r="AV31" s="86" t="str">
        <f t="shared" si="10"/>
        <v/>
      </c>
      <c r="AW31" s="30"/>
      <c r="AX31" s="124"/>
      <c r="AY31" s="124"/>
      <c r="AZ31" s="86" t="str">
        <f t="shared" si="11"/>
        <v/>
      </c>
      <c r="BA31" s="30"/>
      <c r="BB31" s="124"/>
      <c r="BC31" s="124"/>
      <c r="BD31" s="86" t="str">
        <f t="shared" si="12"/>
        <v/>
      </c>
      <c r="BE31" s="30"/>
      <c r="BF31" s="124"/>
      <c r="BG31" s="124"/>
      <c r="BH31" s="86" t="str">
        <f t="shared" si="13"/>
        <v/>
      </c>
      <c r="BI31" s="30"/>
      <c r="BJ31" s="124"/>
      <c r="BK31" s="124"/>
      <c r="BL31" s="86" t="str">
        <f t="shared" si="14"/>
        <v/>
      </c>
      <c r="BM31" s="30"/>
      <c r="BN31" s="124"/>
      <c r="BO31" s="124"/>
      <c r="BP31" s="86" t="str">
        <f t="shared" si="15"/>
        <v/>
      </c>
      <c r="BQ31" s="30"/>
      <c r="BR31" s="124"/>
      <c r="BS31" s="124"/>
      <c r="BT31" s="86" t="str">
        <f t="shared" si="16"/>
        <v/>
      </c>
      <c r="BU31" s="30"/>
      <c r="BV31" s="124"/>
      <c r="BW31" s="124"/>
      <c r="BX31" s="86" t="str">
        <f t="shared" si="17"/>
        <v/>
      </c>
      <c r="BY31" s="30"/>
      <c r="BZ31" s="124"/>
      <c r="CA31" s="124"/>
      <c r="CB31" s="86" t="str">
        <f t="shared" si="18"/>
        <v/>
      </c>
      <c r="CC31" s="30"/>
      <c r="CD31" s="124"/>
      <c r="CE31" s="124"/>
      <c r="CF31" s="86" t="str">
        <f t="shared" si="19"/>
        <v/>
      </c>
      <c r="CG31" s="30"/>
      <c r="CH31" s="124"/>
      <c r="CI31" s="124"/>
      <c r="CJ31" s="86" t="str">
        <f t="shared" si="20"/>
        <v/>
      </c>
      <c r="CK31" s="30"/>
      <c r="CL31" s="124"/>
      <c r="CM31" s="124"/>
      <c r="CN31" s="86" t="str">
        <f t="shared" si="21"/>
        <v/>
      </c>
      <c r="CO31" s="30"/>
      <c r="CP31" s="124"/>
      <c r="CQ31" s="124"/>
      <c r="CR31" s="86" t="str">
        <f t="shared" si="22"/>
        <v/>
      </c>
      <c r="CS31" s="30"/>
      <c r="CT31" s="124"/>
      <c r="CU31" s="124"/>
      <c r="CV31" s="86" t="str">
        <f t="shared" si="23"/>
        <v/>
      </c>
      <c r="CW31" s="30"/>
      <c r="CX31" s="124"/>
      <c r="CY31" s="124"/>
      <c r="CZ31" s="86" t="str">
        <f t="shared" si="24"/>
        <v/>
      </c>
      <c r="DA31" s="30" t="s">
        <v>1</v>
      </c>
      <c r="DB31" s="90">
        <v>14864</v>
      </c>
      <c r="DC31" s="90">
        <v>89000</v>
      </c>
      <c r="DD31" s="86">
        <f t="shared" si="25"/>
        <v>5.9876210979547899</v>
      </c>
    </row>
    <row r="32" spans="1:110" x14ac:dyDescent="0.3">
      <c r="A32" s="30" t="s">
        <v>208</v>
      </c>
      <c r="B32" s="30" t="s">
        <v>75</v>
      </c>
      <c r="F32" s="86" t="str">
        <f t="shared" si="0"/>
        <v/>
      </c>
      <c r="G32" s="30"/>
      <c r="H32" s="30"/>
      <c r="I32" s="30"/>
      <c r="J32" s="86" t="str">
        <f t="shared" si="1"/>
        <v/>
      </c>
      <c r="K32" s="30"/>
      <c r="L32" s="30"/>
      <c r="M32" s="30"/>
      <c r="N32" s="86" t="str">
        <f t="shared" si="2"/>
        <v/>
      </c>
      <c r="O32" s="30"/>
      <c r="P32" s="30"/>
      <c r="Q32" s="30"/>
      <c r="R32" s="86" t="str">
        <f t="shared" si="3"/>
        <v/>
      </c>
      <c r="S32" s="30"/>
      <c r="T32" s="124"/>
      <c r="U32" s="124"/>
      <c r="V32" s="86" t="str">
        <f t="shared" si="4"/>
        <v/>
      </c>
      <c r="W32" s="124"/>
      <c r="X32" s="124"/>
      <c r="Y32" s="86" t="str">
        <f t="shared" si="5"/>
        <v/>
      </c>
      <c r="Z32" s="30"/>
      <c r="AA32" s="30"/>
      <c r="AB32" s="30"/>
      <c r="AC32" s="30"/>
      <c r="AD32" s="124"/>
      <c r="AE32" s="124"/>
      <c r="AF32" s="86" t="str">
        <f t="shared" si="6"/>
        <v/>
      </c>
      <c r="AG32" s="30"/>
      <c r="AH32" s="124"/>
      <c r="AI32" s="124"/>
      <c r="AJ32" s="86" t="str">
        <f t="shared" si="7"/>
        <v/>
      </c>
      <c r="AK32" s="30"/>
      <c r="AL32" s="30"/>
      <c r="AM32" s="30"/>
      <c r="AN32" s="86" t="str">
        <f t="shared" si="8"/>
        <v/>
      </c>
      <c r="AO32" s="30"/>
      <c r="AP32" s="124"/>
      <c r="AQ32" s="124"/>
      <c r="AR32" s="86" t="str">
        <f t="shared" si="9"/>
        <v/>
      </c>
      <c r="AS32" s="30"/>
      <c r="AT32" s="124"/>
      <c r="AU32" s="124"/>
      <c r="AV32" s="86" t="str">
        <f t="shared" si="10"/>
        <v/>
      </c>
      <c r="AW32" s="30"/>
      <c r="AX32" s="124"/>
      <c r="AY32" s="124"/>
      <c r="AZ32" s="86" t="str">
        <f t="shared" si="11"/>
        <v/>
      </c>
      <c r="BA32" s="30"/>
      <c r="BB32" s="124"/>
      <c r="BC32" s="124"/>
      <c r="BD32" s="86" t="str">
        <f t="shared" si="12"/>
        <v/>
      </c>
      <c r="BE32" s="30"/>
      <c r="BF32" s="124"/>
      <c r="BG32" s="124"/>
      <c r="BH32" s="86" t="str">
        <f t="shared" si="13"/>
        <v/>
      </c>
      <c r="BI32" s="30"/>
      <c r="BJ32" s="124"/>
      <c r="BK32" s="124"/>
      <c r="BL32" s="86" t="str">
        <f t="shared" si="14"/>
        <v/>
      </c>
      <c r="BM32" s="30"/>
      <c r="BN32" s="124"/>
      <c r="BO32" s="124"/>
      <c r="BP32" s="86" t="str">
        <f t="shared" si="15"/>
        <v/>
      </c>
      <c r="BQ32" s="30"/>
      <c r="BR32" s="124"/>
      <c r="BS32" s="124"/>
      <c r="BT32" s="86" t="str">
        <f t="shared" si="16"/>
        <v/>
      </c>
      <c r="BU32" s="30"/>
      <c r="BV32" s="124"/>
      <c r="BW32" s="124"/>
      <c r="BX32" s="86" t="str">
        <f t="shared" si="17"/>
        <v/>
      </c>
      <c r="BY32" s="30"/>
      <c r="BZ32" s="124"/>
      <c r="CA32" s="124"/>
      <c r="CB32" s="86" t="str">
        <f t="shared" si="18"/>
        <v/>
      </c>
      <c r="CC32" s="30"/>
      <c r="CD32" s="124"/>
      <c r="CE32" s="124"/>
      <c r="CF32" s="86" t="str">
        <f t="shared" si="19"/>
        <v/>
      </c>
      <c r="CG32" s="30"/>
      <c r="CH32" s="124"/>
      <c r="CI32" s="124"/>
      <c r="CJ32" s="86" t="str">
        <f t="shared" si="20"/>
        <v/>
      </c>
      <c r="CK32" s="30"/>
      <c r="CL32" s="124"/>
      <c r="CM32" s="124"/>
      <c r="CN32" s="86" t="str">
        <f t="shared" si="21"/>
        <v/>
      </c>
      <c r="CO32" s="30"/>
      <c r="CP32" s="124"/>
      <c r="CQ32" s="124"/>
      <c r="CR32" s="86" t="str">
        <f t="shared" si="22"/>
        <v/>
      </c>
      <c r="CS32" s="30"/>
      <c r="CT32" s="124"/>
      <c r="CU32" s="124"/>
      <c r="CV32" s="86" t="str">
        <f t="shared" si="23"/>
        <v/>
      </c>
      <c r="CW32" s="30"/>
      <c r="CX32" s="124"/>
      <c r="CY32" s="124"/>
      <c r="CZ32" s="86" t="str">
        <f t="shared" si="24"/>
        <v/>
      </c>
      <c r="DA32" s="30" t="s">
        <v>1</v>
      </c>
      <c r="DB32" s="90">
        <v>13115</v>
      </c>
      <c r="DC32" s="90">
        <v>19000</v>
      </c>
      <c r="DD32" s="86">
        <f t="shared" si="25"/>
        <v>1.4487228364468165</v>
      </c>
      <c r="DF32" s="91"/>
    </row>
    <row r="33" spans="1:110" x14ac:dyDescent="0.3">
      <c r="A33" s="30" t="s">
        <v>207</v>
      </c>
      <c r="B33" s="30" t="s">
        <v>75</v>
      </c>
      <c r="F33" s="86" t="str">
        <f t="shared" si="0"/>
        <v/>
      </c>
      <c r="G33" s="30"/>
      <c r="H33" s="30"/>
      <c r="I33" s="30"/>
      <c r="J33" s="86" t="str">
        <f t="shared" si="1"/>
        <v/>
      </c>
      <c r="K33" s="30"/>
      <c r="L33" s="30"/>
      <c r="M33" s="30"/>
      <c r="N33" s="86" t="str">
        <f t="shared" si="2"/>
        <v/>
      </c>
      <c r="O33" s="30"/>
      <c r="P33" s="30"/>
      <c r="Q33" s="30"/>
      <c r="R33" s="86" t="str">
        <f t="shared" si="3"/>
        <v/>
      </c>
      <c r="S33" s="30"/>
      <c r="T33" s="124"/>
      <c r="U33" s="124"/>
      <c r="V33" s="86" t="str">
        <f t="shared" si="4"/>
        <v/>
      </c>
      <c r="W33" s="124"/>
      <c r="X33" s="124"/>
      <c r="Y33" s="86" t="str">
        <f t="shared" si="5"/>
        <v/>
      </c>
      <c r="Z33" s="30"/>
      <c r="AA33" s="30"/>
      <c r="AB33" s="30"/>
      <c r="AC33" s="30"/>
      <c r="AD33" s="124"/>
      <c r="AE33" s="124"/>
      <c r="AF33" s="86" t="str">
        <f t="shared" si="6"/>
        <v/>
      </c>
      <c r="AG33" s="30"/>
      <c r="AH33" s="124"/>
      <c r="AI33" s="124"/>
      <c r="AJ33" s="86" t="str">
        <f t="shared" si="7"/>
        <v/>
      </c>
      <c r="AK33" s="30"/>
      <c r="AL33" s="30"/>
      <c r="AM33" s="30"/>
      <c r="AN33" s="86" t="str">
        <f t="shared" si="8"/>
        <v/>
      </c>
      <c r="AO33" s="30"/>
      <c r="AP33" s="124"/>
      <c r="AQ33" s="124"/>
      <c r="AR33" s="86" t="str">
        <f t="shared" si="9"/>
        <v/>
      </c>
      <c r="AS33" s="30"/>
      <c r="AT33" s="124"/>
      <c r="AU33" s="124"/>
      <c r="AV33" s="86" t="str">
        <f t="shared" si="10"/>
        <v/>
      </c>
      <c r="AW33" s="30"/>
      <c r="AX33" s="124"/>
      <c r="AY33" s="124"/>
      <c r="AZ33" s="86" t="str">
        <f t="shared" si="11"/>
        <v/>
      </c>
      <c r="BA33" s="30"/>
      <c r="BB33" s="124"/>
      <c r="BC33" s="124"/>
      <c r="BD33" s="86" t="str">
        <f t="shared" si="12"/>
        <v/>
      </c>
      <c r="BE33" s="30"/>
      <c r="BF33" s="124"/>
      <c r="BG33" s="124"/>
      <c r="BH33" s="86" t="str">
        <f t="shared" si="13"/>
        <v/>
      </c>
      <c r="BI33" s="30"/>
      <c r="BJ33" s="124"/>
      <c r="BK33" s="124"/>
      <c r="BL33" s="86" t="str">
        <f t="shared" si="14"/>
        <v/>
      </c>
      <c r="BM33" s="30"/>
      <c r="BN33" s="124"/>
      <c r="BO33" s="124"/>
      <c r="BP33" s="86" t="str">
        <f t="shared" si="15"/>
        <v/>
      </c>
      <c r="BQ33" s="30"/>
      <c r="BR33" s="124"/>
      <c r="BS33" s="124"/>
      <c r="BT33" s="86" t="str">
        <f t="shared" si="16"/>
        <v/>
      </c>
      <c r="BU33" s="30"/>
      <c r="BV33" s="124"/>
      <c r="BW33" s="124"/>
      <c r="BX33" s="86" t="str">
        <f t="shared" si="17"/>
        <v/>
      </c>
      <c r="BY33" s="30"/>
      <c r="BZ33" s="124"/>
      <c r="CA33" s="124"/>
      <c r="CB33" s="86" t="str">
        <f t="shared" si="18"/>
        <v/>
      </c>
      <c r="CC33" s="30"/>
      <c r="CD33" s="124"/>
      <c r="CE33" s="124"/>
      <c r="CF33" s="86" t="str">
        <f t="shared" si="19"/>
        <v/>
      </c>
      <c r="CG33" s="30"/>
      <c r="CH33" s="124"/>
      <c r="CI33" s="124"/>
      <c r="CJ33" s="86" t="str">
        <f t="shared" si="20"/>
        <v/>
      </c>
      <c r="CK33" s="30"/>
      <c r="CL33" s="124"/>
      <c r="CM33" s="124"/>
      <c r="CN33" s="86" t="str">
        <f t="shared" si="21"/>
        <v/>
      </c>
      <c r="CO33" s="30"/>
      <c r="CP33" s="124"/>
      <c r="CQ33" s="124"/>
      <c r="CR33" s="86" t="str">
        <f t="shared" si="22"/>
        <v/>
      </c>
      <c r="CS33" s="30"/>
      <c r="CT33" s="124"/>
      <c r="CU33" s="124"/>
      <c r="CV33" s="86" t="str">
        <f t="shared" si="23"/>
        <v/>
      </c>
      <c r="CW33" s="30"/>
      <c r="CX33" s="124"/>
      <c r="CY33" s="124"/>
      <c r="CZ33" s="86" t="str">
        <f t="shared" si="24"/>
        <v/>
      </c>
      <c r="DA33" s="30" t="s">
        <v>1</v>
      </c>
      <c r="DB33" s="90">
        <v>4976</v>
      </c>
      <c r="DC33" s="90">
        <v>62000</v>
      </c>
      <c r="DD33" s="86">
        <f t="shared" si="25"/>
        <v>12.459807073954984</v>
      </c>
      <c r="DF33" s="91"/>
    </row>
    <row r="34" spans="1:110" x14ac:dyDescent="0.3">
      <c r="A34" s="30" t="s">
        <v>48</v>
      </c>
      <c r="B34" s="30" t="s">
        <v>75</v>
      </c>
      <c r="F34" s="86" t="str">
        <f t="shared" si="0"/>
        <v/>
      </c>
      <c r="G34" s="30"/>
      <c r="H34" s="30"/>
      <c r="I34" s="30"/>
      <c r="J34" s="86" t="str">
        <f t="shared" si="1"/>
        <v/>
      </c>
      <c r="K34" s="30"/>
      <c r="L34" s="30"/>
      <c r="M34" s="30"/>
      <c r="N34" s="86" t="str">
        <f t="shared" si="2"/>
        <v/>
      </c>
      <c r="O34" s="30"/>
      <c r="P34" s="30"/>
      <c r="Q34" s="30"/>
      <c r="R34" s="86" t="str">
        <f t="shared" si="3"/>
        <v/>
      </c>
      <c r="S34" s="30" t="s">
        <v>417</v>
      </c>
      <c r="T34" s="124">
        <f>1992406</f>
        <v>1992406</v>
      </c>
      <c r="U34" s="124">
        <v>5409</v>
      </c>
      <c r="V34" s="86">
        <f t="shared" si="4"/>
        <v>2.7148081264561541E-3</v>
      </c>
      <c r="W34" s="124">
        <f>4719162</f>
        <v>4719162</v>
      </c>
      <c r="X34" s="124">
        <v>40370</v>
      </c>
      <c r="Y34" s="86">
        <f t="shared" si="5"/>
        <v>8.554484885240219E-3</v>
      </c>
      <c r="Z34" s="30"/>
      <c r="AA34" s="30"/>
      <c r="AB34" s="30"/>
      <c r="AC34" s="30"/>
      <c r="AD34" s="124"/>
      <c r="AE34" s="124"/>
      <c r="AF34" s="86" t="str">
        <f t="shared" si="6"/>
        <v/>
      </c>
      <c r="AG34" s="30"/>
      <c r="AH34" s="124"/>
      <c r="AI34" s="124"/>
      <c r="AJ34" s="86" t="str">
        <f t="shared" si="7"/>
        <v/>
      </c>
      <c r="AK34" s="30"/>
      <c r="AL34" s="30"/>
      <c r="AM34" s="30"/>
      <c r="AN34" s="86" t="str">
        <f t="shared" si="8"/>
        <v/>
      </c>
      <c r="AO34" s="30"/>
      <c r="AP34" s="124"/>
      <c r="AQ34" s="124"/>
      <c r="AR34" s="86" t="str">
        <f t="shared" si="9"/>
        <v/>
      </c>
      <c r="AS34" s="30"/>
      <c r="AT34" s="124"/>
      <c r="AU34" s="124"/>
      <c r="AV34" s="86" t="str">
        <f t="shared" si="10"/>
        <v/>
      </c>
      <c r="AW34" s="30"/>
      <c r="AX34" s="124"/>
      <c r="AY34" s="124"/>
      <c r="AZ34" s="86" t="str">
        <f t="shared" si="11"/>
        <v/>
      </c>
      <c r="BA34" s="30"/>
      <c r="BB34" s="124"/>
      <c r="BC34" s="124"/>
      <c r="BD34" s="86" t="str">
        <f t="shared" si="12"/>
        <v/>
      </c>
      <c r="BE34" s="30"/>
      <c r="BF34" s="124"/>
      <c r="BG34" s="124"/>
      <c r="BH34" s="86" t="str">
        <f t="shared" si="13"/>
        <v/>
      </c>
      <c r="BI34" s="30"/>
      <c r="BJ34" s="124"/>
      <c r="BK34" s="124"/>
      <c r="BL34" s="86" t="str">
        <f t="shared" si="14"/>
        <v/>
      </c>
      <c r="BM34" s="30"/>
      <c r="BN34" s="124"/>
      <c r="BO34" s="124"/>
      <c r="BP34" s="86" t="str">
        <f t="shared" si="15"/>
        <v/>
      </c>
      <c r="BQ34" s="30"/>
      <c r="BR34" s="124"/>
      <c r="BS34" s="124"/>
      <c r="BT34" s="86" t="str">
        <f t="shared" si="16"/>
        <v/>
      </c>
      <c r="BU34" s="30"/>
      <c r="BV34" s="124"/>
      <c r="BW34" s="124"/>
      <c r="BX34" s="86" t="str">
        <f t="shared" si="17"/>
        <v/>
      </c>
      <c r="BY34" s="30"/>
      <c r="BZ34" s="124"/>
      <c r="CA34" s="124"/>
      <c r="CB34" s="86" t="str">
        <f t="shared" si="18"/>
        <v/>
      </c>
      <c r="CC34" s="30"/>
      <c r="CD34" s="124"/>
      <c r="CE34" s="124"/>
      <c r="CF34" s="86" t="str">
        <f t="shared" si="19"/>
        <v/>
      </c>
      <c r="CG34" s="30"/>
      <c r="CH34" s="124"/>
      <c r="CI34" s="124"/>
      <c r="CJ34" s="86" t="str">
        <f t="shared" si="20"/>
        <v/>
      </c>
      <c r="CK34" s="30"/>
      <c r="CL34" s="124"/>
      <c r="CM34" s="124"/>
      <c r="CN34" s="86" t="str">
        <f t="shared" si="21"/>
        <v/>
      </c>
      <c r="CO34" s="30"/>
      <c r="CP34" s="124"/>
      <c r="CQ34" s="124"/>
      <c r="CR34" s="86" t="str">
        <f t="shared" si="22"/>
        <v/>
      </c>
      <c r="CS34" s="30"/>
      <c r="CT34" s="124"/>
      <c r="CU34" s="124"/>
      <c r="CV34" s="86" t="str">
        <f t="shared" si="23"/>
        <v/>
      </c>
      <c r="CW34" s="30"/>
      <c r="CX34" s="124"/>
      <c r="CY34" s="124"/>
      <c r="CZ34" s="86" t="str">
        <f t="shared" si="24"/>
        <v/>
      </c>
      <c r="DA34" s="30" t="s">
        <v>1</v>
      </c>
      <c r="DB34" s="90">
        <v>22490</v>
      </c>
      <c r="DC34" s="90">
        <v>95000</v>
      </c>
      <c r="DD34" s="86">
        <f t="shared" si="25"/>
        <v>4.2240995998221429</v>
      </c>
    </row>
    <row r="35" spans="1:110" x14ac:dyDescent="0.3">
      <c r="A35" s="30" t="s">
        <v>323</v>
      </c>
      <c r="B35" s="30" t="s">
        <v>75</v>
      </c>
      <c r="F35" s="86" t="str">
        <f t="shared" si="0"/>
        <v/>
      </c>
      <c r="G35" s="30"/>
      <c r="H35" s="30"/>
      <c r="I35" s="30"/>
      <c r="J35" s="86" t="str">
        <f t="shared" si="1"/>
        <v/>
      </c>
      <c r="K35" s="142" t="s">
        <v>1</v>
      </c>
      <c r="L35" s="142">
        <f>16250660*$D$178/$F$88</f>
        <v>442903.03258928569</v>
      </c>
      <c r="M35" s="142">
        <v>196588</v>
      </c>
      <c r="N35" s="143">
        <f t="shared" si="2"/>
        <v>0.44386239319860482</v>
      </c>
      <c r="O35" s="142"/>
      <c r="P35" s="142">
        <f>8557714*$D$178/$F$88</f>
        <v>233235.91058035713</v>
      </c>
      <c r="Q35" s="142">
        <v>131708</v>
      </c>
      <c r="R35" s="143">
        <f t="shared" si="3"/>
        <v>0.56469863355206806</v>
      </c>
      <c r="S35" s="30" t="s">
        <v>417</v>
      </c>
      <c r="T35" s="124">
        <f>21027569</f>
        <v>21027569</v>
      </c>
      <c r="U35" s="124">
        <v>243405</v>
      </c>
      <c r="V35" s="86">
        <f t="shared" si="4"/>
        <v>1.1575517835656609E-2</v>
      </c>
      <c r="W35" s="124">
        <f>6811427</f>
        <v>6811427</v>
      </c>
      <c r="X35" s="124">
        <v>79344</v>
      </c>
      <c r="Y35" s="86">
        <f t="shared" si="5"/>
        <v>1.1648660405521486E-2</v>
      </c>
      <c r="Z35" s="30"/>
      <c r="AA35" s="30"/>
      <c r="AB35" s="30"/>
      <c r="AC35" s="30"/>
      <c r="AD35" s="124"/>
      <c r="AE35" s="124"/>
      <c r="AF35" s="86" t="str">
        <f t="shared" si="6"/>
        <v/>
      </c>
      <c r="AG35" s="30"/>
      <c r="AH35" s="124"/>
      <c r="AI35" s="124"/>
      <c r="AJ35" s="86" t="str">
        <f t="shared" si="7"/>
        <v/>
      </c>
      <c r="AK35" s="30"/>
      <c r="AL35" s="30"/>
      <c r="AM35" s="30"/>
      <c r="AN35" s="86" t="str">
        <f t="shared" si="8"/>
        <v/>
      </c>
      <c r="AO35" s="30"/>
      <c r="AP35" s="124"/>
      <c r="AQ35" s="124"/>
      <c r="AR35" s="86" t="str">
        <f t="shared" si="9"/>
        <v/>
      </c>
      <c r="AS35" s="30"/>
      <c r="AT35" s="124"/>
      <c r="AU35" s="124"/>
      <c r="AV35" s="86" t="str">
        <f t="shared" si="10"/>
        <v/>
      </c>
      <c r="AW35" s="30"/>
      <c r="AX35" s="124"/>
      <c r="AY35" s="124"/>
      <c r="AZ35" s="86" t="str">
        <f t="shared" si="11"/>
        <v/>
      </c>
      <c r="BA35" s="30"/>
      <c r="BB35" s="124"/>
      <c r="BC35" s="124"/>
      <c r="BD35" s="86" t="str">
        <f t="shared" si="12"/>
        <v/>
      </c>
      <c r="BE35" s="30"/>
      <c r="BF35" s="124"/>
      <c r="BG35" s="124"/>
      <c r="BH35" s="86" t="str">
        <f t="shared" si="13"/>
        <v/>
      </c>
      <c r="BI35" s="30"/>
      <c r="BJ35" s="124"/>
      <c r="BK35" s="124"/>
      <c r="BL35" s="86" t="str">
        <f t="shared" si="14"/>
        <v/>
      </c>
      <c r="BM35" s="30"/>
      <c r="BN35" s="124"/>
      <c r="BO35" s="124"/>
      <c r="BP35" s="86" t="str">
        <f t="shared" si="15"/>
        <v/>
      </c>
      <c r="BQ35" s="30"/>
      <c r="BR35" s="124"/>
      <c r="BS35" s="124"/>
      <c r="BT35" s="86" t="str">
        <f t="shared" si="16"/>
        <v/>
      </c>
      <c r="BU35" s="30"/>
      <c r="BV35" s="124"/>
      <c r="BW35" s="124"/>
      <c r="BX35" s="86" t="str">
        <f t="shared" si="17"/>
        <v/>
      </c>
      <c r="BY35" s="30"/>
      <c r="BZ35" s="124"/>
      <c r="CA35" s="124"/>
      <c r="CB35" s="86" t="str">
        <f t="shared" si="18"/>
        <v/>
      </c>
      <c r="CC35" s="30"/>
      <c r="CD35" s="124"/>
      <c r="CE35" s="124"/>
      <c r="CF35" s="86" t="str">
        <f t="shared" si="19"/>
        <v/>
      </c>
      <c r="CG35" s="30"/>
      <c r="CH35" s="124"/>
      <c r="CI35" s="124"/>
      <c r="CJ35" s="86" t="str">
        <f t="shared" si="20"/>
        <v/>
      </c>
      <c r="CK35" s="30"/>
      <c r="CL35" s="124"/>
      <c r="CM35" s="124"/>
      <c r="CN35" s="86" t="str">
        <f t="shared" si="21"/>
        <v/>
      </c>
      <c r="CO35" s="30"/>
      <c r="CP35" s="124"/>
      <c r="CQ35" s="124"/>
      <c r="CR35" s="86" t="str">
        <f t="shared" si="22"/>
        <v/>
      </c>
      <c r="CS35" s="30"/>
      <c r="CT35" s="124"/>
      <c r="CU35" s="124"/>
      <c r="CV35" s="86" t="str">
        <f t="shared" si="23"/>
        <v/>
      </c>
      <c r="CW35" s="30"/>
      <c r="CX35" s="124"/>
      <c r="CY35" s="124"/>
      <c r="CZ35" s="86" t="str">
        <f t="shared" si="24"/>
        <v/>
      </c>
      <c r="DA35" s="30"/>
      <c r="DC35" s="90"/>
      <c r="DD35" s="86" t="str">
        <f t="shared" si="25"/>
        <v/>
      </c>
    </row>
    <row r="36" spans="1:110" x14ac:dyDescent="0.3">
      <c r="A36" s="30" t="s">
        <v>52</v>
      </c>
      <c r="B36" s="30" t="s">
        <v>75</v>
      </c>
      <c r="F36" s="86" t="str">
        <f t="shared" si="0"/>
        <v/>
      </c>
      <c r="G36" s="30"/>
      <c r="H36" s="30"/>
      <c r="I36" s="30"/>
      <c r="J36" s="86" t="str">
        <f t="shared" si="1"/>
        <v/>
      </c>
      <c r="K36" s="142" t="s">
        <v>1</v>
      </c>
      <c r="L36" s="142">
        <f>1033635*$D$175/$F$88</f>
        <v>20534.266741071428</v>
      </c>
      <c r="M36" s="142">
        <v>152336</v>
      </c>
      <c r="N36" s="143">
        <f t="shared" si="2"/>
        <v>7.4186238019060369</v>
      </c>
      <c r="O36" s="144"/>
      <c r="P36" s="142">
        <f>200295*$D$175/$F$88</f>
        <v>3979.0747767857142</v>
      </c>
      <c r="Q36" s="142">
        <v>44173</v>
      </c>
      <c r="R36" s="143">
        <f t="shared" si="3"/>
        <v>11.101324422880746</v>
      </c>
      <c r="S36" s="30" t="s">
        <v>417</v>
      </c>
      <c r="T36" s="124">
        <f>1992406</f>
        <v>1992406</v>
      </c>
      <c r="U36" s="124">
        <v>5409</v>
      </c>
      <c r="V36" s="86">
        <f t="shared" si="4"/>
        <v>2.7148081264561541E-3</v>
      </c>
      <c r="W36" s="124">
        <f>4719162</f>
        <v>4719162</v>
      </c>
      <c r="X36" s="124">
        <v>40370</v>
      </c>
      <c r="Y36" s="86">
        <f t="shared" si="5"/>
        <v>8.554484885240219E-3</v>
      </c>
      <c r="Z36" s="30"/>
      <c r="AA36" s="30"/>
      <c r="AB36" s="30"/>
      <c r="AC36" s="30"/>
      <c r="AD36" s="124"/>
      <c r="AE36" s="124"/>
      <c r="AF36" s="86" t="str">
        <f t="shared" si="6"/>
        <v/>
      </c>
      <c r="AG36" s="30"/>
      <c r="AH36" s="124"/>
      <c r="AI36" s="124"/>
      <c r="AJ36" s="86" t="str">
        <f t="shared" si="7"/>
        <v/>
      </c>
      <c r="AK36" s="30"/>
      <c r="AL36" s="30"/>
      <c r="AM36" s="30"/>
      <c r="AN36" s="86" t="str">
        <f t="shared" si="8"/>
        <v/>
      </c>
      <c r="AO36" s="30"/>
      <c r="AP36" s="124"/>
      <c r="AQ36" s="124"/>
      <c r="AR36" s="86" t="str">
        <f t="shared" si="9"/>
        <v/>
      </c>
      <c r="AS36" s="30"/>
      <c r="AT36" s="124"/>
      <c r="AU36" s="124"/>
      <c r="AV36" s="86" t="str">
        <f t="shared" si="10"/>
        <v/>
      </c>
      <c r="AW36" s="30"/>
      <c r="AX36" s="124"/>
      <c r="AY36" s="124"/>
      <c r="AZ36" s="86" t="str">
        <f t="shared" si="11"/>
        <v/>
      </c>
      <c r="BA36" s="30"/>
      <c r="BB36" s="124"/>
      <c r="BC36" s="124"/>
      <c r="BD36" s="86" t="str">
        <f t="shared" si="12"/>
        <v/>
      </c>
      <c r="BE36" s="30"/>
      <c r="BF36" s="124"/>
      <c r="BG36" s="124"/>
      <c r="BH36" s="86" t="str">
        <f t="shared" si="13"/>
        <v/>
      </c>
      <c r="BI36" s="30"/>
      <c r="BJ36" s="124"/>
      <c r="BK36" s="124"/>
      <c r="BL36" s="86" t="str">
        <f t="shared" si="14"/>
        <v/>
      </c>
      <c r="BM36" s="30"/>
      <c r="BN36" s="124"/>
      <c r="BO36" s="124"/>
      <c r="BP36" s="86" t="str">
        <f t="shared" si="15"/>
        <v/>
      </c>
      <c r="BQ36" s="30"/>
      <c r="BR36" s="124"/>
      <c r="BS36" s="124"/>
      <c r="BT36" s="86" t="str">
        <f t="shared" si="16"/>
        <v/>
      </c>
      <c r="BU36" s="30"/>
      <c r="BV36" s="124"/>
      <c r="BW36" s="124"/>
      <c r="BX36" s="86" t="str">
        <f t="shared" si="17"/>
        <v/>
      </c>
      <c r="BY36" s="30"/>
      <c r="BZ36" s="124"/>
      <c r="CA36" s="124"/>
      <c r="CB36" s="86" t="str">
        <f t="shared" si="18"/>
        <v/>
      </c>
      <c r="CC36" s="30"/>
      <c r="CD36" s="124"/>
      <c r="CE36" s="124"/>
      <c r="CF36" s="86" t="str">
        <f t="shared" si="19"/>
        <v/>
      </c>
      <c r="CG36" s="30"/>
      <c r="CH36" s="124"/>
      <c r="CI36" s="124"/>
      <c r="CJ36" s="86" t="str">
        <f t="shared" si="20"/>
        <v/>
      </c>
      <c r="CK36" s="30"/>
      <c r="CL36" s="124"/>
      <c r="CM36" s="124"/>
      <c r="CN36" s="86" t="str">
        <f t="shared" si="21"/>
        <v/>
      </c>
      <c r="CO36" s="30"/>
      <c r="CP36" s="124"/>
      <c r="CQ36" s="124"/>
      <c r="CR36" s="86" t="str">
        <f t="shared" si="22"/>
        <v/>
      </c>
      <c r="CS36" s="30"/>
      <c r="CT36" s="124"/>
      <c r="CU36" s="124"/>
      <c r="CV36" s="86" t="str">
        <f t="shared" si="23"/>
        <v/>
      </c>
      <c r="CW36" s="30"/>
      <c r="CX36" s="124"/>
      <c r="CY36" s="124"/>
      <c r="CZ36" s="86" t="str">
        <f t="shared" si="24"/>
        <v/>
      </c>
      <c r="DA36" s="30"/>
      <c r="DC36" s="90"/>
      <c r="DD36" s="86" t="str">
        <f t="shared" si="25"/>
        <v/>
      </c>
    </row>
    <row r="37" spans="1:110" x14ac:dyDescent="0.3">
      <c r="A37" s="30" t="s">
        <v>43</v>
      </c>
      <c r="B37" s="30" t="s">
        <v>362</v>
      </c>
      <c r="F37" s="86" t="str">
        <f t="shared" si="0"/>
        <v/>
      </c>
      <c r="G37" s="30"/>
      <c r="H37" s="30"/>
      <c r="I37" s="30"/>
      <c r="J37" s="86" t="str">
        <f t="shared" si="1"/>
        <v/>
      </c>
      <c r="K37" s="30"/>
      <c r="L37" s="30"/>
      <c r="M37" s="30"/>
      <c r="N37" s="86" t="str">
        <f t="shared" si="2"/>
        <v/>
      </c>
      <c r="O37" s="30"/>
      <c r="P37" s="30"/>
      <c r="Q37" s="30"/>
      <c r="R37" s="86" t="str">
        <f t="shared" si="3"/>
        <v/>
      </c>
      <c r="S37" s="30" t="s">
        <v>324</v>
      </c>
      <c r="T37" s="124">
        <v>21488495</v>
      </c>
      <c r="U37" s="124">
        <f>31151916/$D$183</f>
        <v>278142.10714285716</v>
      </c>
      <c r="V37" s="86">
        <f t="shared" si="4"/>
        <v>1.2943768613988889E-2</v>
      </c>
      <c r="W37" s="124">
        <f>20308521</f>
        <v>20308521</v>
      </c>
      <c r="X37" s="124">
        <f>28573682/$D$183</f>
        <v>255122.16071428571</v>
      </c>
      <c r="Y37" s="86">
        <f t="shared" si="5"/>
        <v>1.2562321043186045E-2</v>
      </c>
      <c r="Z37" s="30"/>
      <c r="AA37" s="30"/>
      <c r="AB37" s="30"/>
      <c r="AC37" s="30"/>
      <c r="AD37" s="124"/>
      <c r="AE37" s="124"/>
      <c r="AF37" s="86" t="str">
        <f t="shared" si="6"/>
        <v/>
      </c>
      <c r="AG37" s="30"/>
      <c r="AH37" s="124"/>
      <c r="AI37" s="124"/>
      <c r="AJ37" s="86" t="str">
        <f t="shared" si="7"/>
        <v/>
      </c>
      <c r="AK37" s="30"/>
      <c r="AL37" s="30"/>
      <c r="AM37" s="30"/>
      <c r="AN37" s="86" t="str">
        <f t="shared" si="8"/>
        <v/>
      </c>
      <c r="AO37" s="30"/>
      <c r="AP37" s="124"/>
      <c r="AQ37" s="124"/>
      <c r="AR37" s="86" t="str">
        <f t="shared" si="9"/>
        <v/>
      </c>
      <c r="AS37" s="30"/>
      <c r="AT37" s="124"/>
      <c r="AU37" s="124"/>
      <c r="AV37" s="86" t="str">
        <f t="shared" si="10"/>
        <v/>
      </c>
      <c r="AW37" s="30"/>
      <c r="AX37" s="124"/>
      <c r="AY37" s="124"/>
      <c r="AZ37" s="86" t="str">
        <f t="shared" si="11"/>
        <v/>
      </c>
      <c r="BA37" s="30"/>
      <c r="BB37" s="124"/>
      <c r="BC37" s="124"/>
      <c r="BD37" s="86" t="str">
        <f t="shared" si="12"/>
        <v/>
      </c>
      <c r="BE37" s="30"/>
      <c r="BF37" s="124"/>
      <c r="BG37" s="124"/>
      <c r="BH37" s="86" t="str">
        <f t="shared" si="13"/>
        <v/>
      </c>
      <c r="BI37" s="30"/>
      <c r="BJ37" s="124"/>
      <c r="BK37" s="124"/>
      <c r="BL37" s="86" t="str">
        <f t="shared" si="14"/>
        <v/>
      </c>
      <c r="BM37" s="30"/>
      <c r="BN37" s="124"/>
      <c r="BO37" s="124"/>
      <c r="BP37" s="86" t="str">
        <f t="shared" si="15"/>
        <v/>
      </c>
      <c r="BQ37" s="30"/>
      <c r="BR37" s="124"/>
      <c r="BS37" s="124"/>
      <c r="BT37" s="86" t="str">
        <f t="shared" si="16"/>
        <v/>
      </c>
      <c r="BU37" s="30"/>
      <c r="BV37" s="124"/>
      <c r="BW37" s="124"/>
      <c r="BX37" s="86" t="str">
        <f t="shared" si="17"/>
        <v/>
      </c>
      <c r="BY37" s="30"/>
      <c r="BZ37" s="124"/>
      <c r="CA37" s="124"/>
      <c r="CB37" s="86" t="str">
        <f t="shared" si="18"/>
        <v/>
      </c>
      <c r="CC37" s="30"/>
      <c r="CD37" s="124"/>
      <c r="CE37" s="124"/>
      <c r="CF37" s="86" t="str">
        <f t="shared" si="19"/>
        <v/>
      </c>
      <c r="CG37" s="30"/>
      <c r="CH37" s="124"/>
      <c r="CI37" s="124"/>
      <c r="CJ37" s="86" t="str">
        <f t="shared" si="20"/>
        <v/>
      </c>
      <c r="CK37" s="30"/>
      <c r="CL37" s="124"/>
      <c r="CM37" s="124"/>
      <c r="CN37" s="86" t="str">
        <f t="shared" si="21"/>
        <v/>
      </c>
      <c r="CO37" s="30"/>
      <c r="CP37" s="124"/>
      <c r="CQ37" s="124"/>
      <c r="CR37" s="86" t="str">
        <f t="shared" si="22"/>
        <v/>
      </c>
      <c r="CS37" s="30"/>
      <c r="CT37" s="124"/>
      <c r="CU37" s="124"/>
      <c r="CV37" s="86" t="str">
        <f t="shared" si="23"/>
        <v/>
      </c>
      <c r="CW37" s="30"/>
      <c r="CX37" s="124"/>
      <c r="CY37" s="124"/>
      <c r="CZ37" s="86" t="str">
        <f t="shared" si="24"/>
        <v/>
      </c>
      <c r="DA37" s="30"/>
      <c r="DC37" s="90"/>
      <c r="DD37" s="86" t="str">
        <f t="shared" si="25"/>
        <v/>
      </c>
    </row>
    <row r="38" spans="1:110" x14ac:dyDescent="0.3">
      <c r="A38" s="30" t="s">
        <v>198</v>
      </c>
      <c r="B38" s="30" t="s">
        <v>75</v>
      </c>
      <c r="F38" s="86" t="str">
        <f t="shared" si="0"/>
        <v/>
      </c>
      <c r="G38" s="30"/>
      <c r="H38" s="30"/>
      <c r="I38" s="30"/>
      <c r="J38" s="86" t="str">
        <f t="shared" si="1"/>
        <v/>
      </c>
      <c r="K38" s="30"/>
      <c r="L38" s="30"/>
      <c r="M38" s="30"/>
      <c r="N38" s="86" t="str">
        <f t="shared" si="2"/>
        <v/>
      </c>
      <c r="O38" s="30"/>
      <c r="P38" s="30"/>
      <c r="Q38" s="30"/>
      <c r="R38" s="86" t="str">
        <f t="shared" si="3"/>
        <v/>
      </c>
      <c r="S38" s="30"/>
      <c r="T38" s="124"/>
      <c r="U38" s="124"/>
      <c r="V38" s="86" t="str">
        <f t="shared" si="4"/>
        <v/>
      </c>
      <c r="W38" s="124"/>
      <c r="X38" s="124"/>
      <c r="Y38" s="86" t="str">
        <f t="shared" si="5"/>
        <v/>
      </c>
      <c r="Z38" s="30"/>
      <c r="AA38" s="30"/>
      <c r="AB38" s="30"/>
      <c r="AC38" s="30"/>
      <c r="AD38" s="124"/>
      <c r="AE38" s="124"/>
      <c r="AF38" s="86" t="str">
        <f t="shared" si="6"/>
        <v/>
      </c>
      <c r="AG38" s="30"/>
      <c r="AH38" s="124"/>
      <c r="AI38" s="124"/>
      <c r="AJ38" s="86" t="str">
        <f t="shared" si="7"/>
        <v/>
      </c>
      <c r="AK38" s="30"/>
      <c r="AL38" s="30"/>
      <c r="AM38" s="30"/>
      <c r="AN38" s="86" t="str">
        <f t="shared" si="8"/>
        <v/>
      </c>
      <c r="AO38" s="30"/>
      <c r="AP38" s="124"/>
      <c r="AQ38" s="124"/>
      <c r="AR38" s="86" t="str">
        <f t="shared" si="9"/>
        <v/>
      </c>
      <c r="AS38" s="30"/>
      <c r="AT38" s="124"/>
      <c r="AU38" s="124"/>
      <c r="AV38" s="86" t="str">
        <f t="shared" si="10"/>
        <v/>
      </c>
      <c r="AW38" s="30"/>
      <c r="AX38" s="124"/>
      <c r="AY38" s="124"/>
      <c r="AZ38" s="86" t="str">
        <f t="shared" si="11"/>
        <v/>
      </c>
      <c r="BA38" s="30"/>
      <c r="BB38" s="124"/>
      <c r="BC38" s="124"/>
      <c r="BD38" s="86" t="str">
        <f t="shared" si="12"/>
        <v/>
      </c>
      <c r="BE38" s="30"/>
      <c r="BF38" s="124"/>
      <c r="BG38" s="124"/>
      <c r="BH38" s="86" t="str">
        <f t="shared" si="13"/>
        <v/>
      </c>
      <c r="BI38" s="30"/>
      <c r="BJ38" s="124"/>
      <c r="BK38" s="124"/>
      <c r="BL38" s="86" t="str">
        <f t="shared" si="14"/>
        <v/>
      </c>
      <c r="BM38" s="30"/>
      <c r="BN38" s="124"/>
      <c r="BO38" s="124"/>
      <c r="BP38" s="86" t="str">
        <f t="shared" si="15"/>
        <v/>
      </c>
      <c r="BQ38" s="30"/>
      <c r="BR38" s="124"/>
      <c r="BS38" s="124"/>
      <c r="BT38" s="86" t="str">
        <f t="shared" si="16"/>
        <v/>
      </c>
      <c r="BU38" s="30"/>
      <c r="BV38" s="124"/>
      <c r="BW38" s="124"/>
      <c r="BX38" s="86" t="str">
        <f t="shared" si="17"/>
        <v/>
      </c>
      <c r="BY38" s="30"/>
      <c r="BZ38" s="124"/>
      <c r="CA38" s="124"/>
      <c r="CB38" s="86" t="str">
        <f t="shared" si="18"/>
        <v/>
      </c>
      <c r="CC38" s="30"/>
      <c r="CD38" s="124"/>
      <c r="CE38" s="124"/>
      <c r="CF38" s="86" t="str">
        <f t="shared" si="19"/>
        <v/>
      </c>
      <c r="CG38" s="30"/>
      <c r="CH38" s="124"/>
      <c r="CI38" s="124"/>
      <c r="CJ38" s="86" t="str">
        <f t="shared" si="20"/>
        <v/>
      </c>
      <c r="CK38" s="30"/>
      <c r="CL38" s="124"/>
      <c r="CM38" s="124"/>
      <c r="CN38" s="86" t="str">
        <f t="shared" si="21"/>
        <v/>
      </c>
      <c r="CO38" s="30"/>
      <c r="CP38" s="124"/>
      <c r="CQ38" s="124"/>
      <c r="CR38" s="86" t="str">
        <f t="shared" si="22"/>
        <v/>
      </c>
      <c r="CS38" s="30"/>
      <c r="CT38" s="124"/>
      <c r="CU38" s="124"/>
      <c r="CV38" s="86" t="str">
        <f t="shared" si="23"/>
        <v/>
      </c>
      <c r="CW38" s="30"/>
      <c r="CX38" s="124"/>
      <c r="CY38" s="124"/>
      <c r="CZ38" s="86" t="str">
        <f t="shared" si="24"/>
        <v/>
      </c>
      <c r="DA38" s="30" t="s">
        <v>1</v>
      </c>
      <c r="DB38" s="90">
        <v>18388</v>
      </c>
      <c r="DC38" s="90">
        <v>140000</v>
      </c>
      <c r="DD38" s="86">
        <f t="shared" si="25"/>
        <v>7.6136610833152059</v>
      </c>
      <c r="DF38" s="91"/>
    </row>
    <row r="39" spans="1:110" x14ac:dyDescent="0.3">
      <c r="A39" s="30" t="s">
        <v>210</v>
      </c>
      <c r="B39" s="30" t="s">
        <v>75</v>
      </c>
      <c r="F39" s="86" t="str">
        <f t="shared" si="0"/>
        <v/>
      </c>
      <c r="G39" s="30"/>
      <c r="H39" s="30"/>
      <c r="I39" s="30"/>
      <c r="J39" s="86" t="str">
        <f t="shared" si="1"/>
        <v/>
      </c>
      <c r="K39" s="30"/>
      <c r="L39" s="30"/>
      <c r="M39" s="30"/>
      <c r="N39" s="86" t="str">
        <f t="shared" si="2"/>
        <v/>
      </c>
      <c r="O39" s="30"/>
      <c r="P39" s="30"/>
      <c r="Q39" s="30"/>
      <c r="R39" s="86" t="str">
        <f t="shared" si="3"/>
        <v/>
      </c>
      <c r="S39" s="30"/>
      <c r="T39" s="124"/>
      <c r="U39" s="124"/>
      <c r="V39" s="86" t="str">
        <f t="shared" si="4"/>
        <v/>
      </c>
      <c r="W39" s="124"/>
      <c r="X39" s="124"/>
      <c r="Y39" s="86" t="str">
        <f t="shared" si="5"/>
        <v/>
      </c>
      <c r="Z39" s="30"/>
      <c r="AA39" s="30"/>
      <c r="AB39" s="30"/>
      <c r="AC39" s="30"/>
      <c r="AD39" s="124"/>
      <c r="AE39" s="124"/>
      <c r="AF39" s="86" t="str">
        <f t="shared" si="6"/>
        <v/>
      </c>
      <c r="AG39" s="30"/>
      <c r="AH39" s="124"/>
      <c r="AI39" s="124"/>
      <c r="AJ39" s="86" t="str">
        <f t="shared" si="7"/>
        <v/>
      </c>
      <c r="AK39" s="30"/>
      <c r="AL39" s="30"/>
      <c r="AM39" s="30"/>
      <c r="AN39" s="86" t="str">
        <f t="shared" si="8"/>
        <v/>
      </c>
      <c r="AO39" s="30"/>
      <c r="AP39" s="124"/>
      <c r="AQ39" s="124"/>
      <c r="AR39" s="86" t="str">
        <f t="shared" si="9"/>
        <v/>
      </c>
      <c r="AS39" s="30"/>
      <c r="AT39" s="124"/>
      <c r="AU39" s="124"/>
      <c r="AV39" s="86" t="str">
        <f t="shared" si="10"/>
        <v/>
      </c>
      <c r="AW39" s="30"/>
      <c r="AX39" s="124"/>
      <c r="AY39" s="124"/>
      <c r="AZ39" s="86" t="str">
        <f t="shared" si="11"/>
        <v/>
      </c>
      <c r="BA39" s="30"/>
      <c r="BB39" s="124"/>
      <c r="BC39" s="124"/>
      <c r="BD39" s="86" t="str">
        <f t="shared" si="12"/>
        <v/>
      </c>
      <c r="BE39" s="30"/>
      <c r="BF39" s="124"/>
      <c r="BG39" s="124"/>
      <c r="BH39" s="86" t="str">
        <f t="shared" si="13"/>
        <v/>
      </c>
      <c r="BI39" s="30"/>
      <c r="BJ39" s="124"/>
      <c r="BK39" s="124"/>
      <c r="BL39" s="86" t="str">
        <f t="shared" si="14"/>
        <v/>
      </c>
      <c r="BM39" s="30"/>
      <c r="BN39" s="124"/>
      <c r="BO39" s="124"/>
      <c r="BP39" s="86" t="str">
        <f t="shared" si="15"/>
        <v/>
      </c>
      <c r="BQ39" s="30"/>
      <c r="BR39" s="124"/>
      <c r="BS39" s="124"/>
      <c r="BT39" s="86" t="str">
        <f t="shared" si="16"/>
        <v/>
      </c>
      <c r="BU39" s="30"/>
      <c r="BV39" s="124"/>
      <c r="BW39" s="124"/>
      <c r="BX39" s="86" t="str">
        <f t="shared" si="17"/>
        <v/>
      </c>
      <c r="BY39" s="30"/>
      <c r="BZ39" s="124"/>
      <c r="CA39" s="124"/>
      <c r="CB39" s="86" t="str">
        <f t="shared" si="18"/>
        <v/>
      </c>
      <c r="CC39" s="30"/>
      <c r="CD39" s="124"/>
      <c r="CE39" s="124"/>
      <c r="CF39" s="86" t="str">
        <f t="shared" si="19"/>
        <v/>
      </c>
      <c r="CG39" s="30"/>
      <c r="CH39" s="124"/>
      <c r="CI39" s="124"/>
      <c r="CJ39" s="86" t="str">
        <f t="shared" si="20"/>
        <v/>
      </c>
      <c r="CK39" s="30"/>
      <c r="CL39" s="124"/>
      <c r="CM39" s="124"/>
      <c r="CN39" s="86" t="str">
        <f t="shared" si="21"/>
        <v/>
      </c>
      <c r="CO39" s="30"/>
      <c r="CP39" s="124"/>
      <c r="CQ39" s="124"/>
      <c r="CR39" s="86" t="str">
        <f t="shared" si="22"/>
        <v/>
      </c>
      <c r="CS39" s="30"/>
      <c r="CT39" s="124"/>
      <c r="CU39" s="124"/>
      <c r="CV39" s="86" t="str">
        <f t="shared" si="23"/>
        <v/>
      </c>
      <c r="CW39" s="30"/>
      <c r="CX39" s="124"/>
      <c r="CY39" s="124"/>
      <c r="CZ39" s="86" t="str">
        <f t="shared" si="24"/>
        <v/>
      </c>
      <c r="DA39" s="30" t="s">
        <v>1</v>
      </c>
      <c r="DB39" s="90">
        <v>31330</v>
      </c>
      <c r="DC39" s="90">
        <v>111000</v>
      </c>
      <c r="DD39" s="86">
        <f t="shared" si="25"/>
        <v>3.5429300989466963</v>
      </c>
    </row>
    <row r="40" spans="1:110" x14ac:dyDescent="0.3">
      <c r="A40" s="30" t="s">
        <v>407</v>
      </c>
      <c r="B40" s="30" t="s">
        <v>75</v>
      </c>
      <c r="F40" s="86" t="str">
        <f t="shared" si="0"/>
        <v/>
      </c>
      <c r="G40" s="30"/>
      <c r="H40" s="30"/>
      <c r="I40" s="30"/>
      <c r="J40" s="86" t="str">
        <f t="shared" si="1"/>
        <v/>
      </c>
      <c r="K40" s="30"/>
      <c r="L40" s="30"/>
      <c r="M40" s="30"/>
      <c r="N40" s="86" t="str">
        <f t="shared" si="2"/>
        <v/>
      </c>
      <c r="O40" s="30"/>
      <c r="P40" s="30"/>
      <c r="Q40" s="30"/>
      <c r="R40" s="86" t="str">
        <f t="shared" si="3"/>
        <v/>
      </c>
      <c r="S40" s="30"/>
      <c r="T40" s="124"/>
      <c r="U40" s="124"/>
      <c r="V40" s="86" t="str">
        <f t="shared" si="4"/>
        <v/>
      </c>
      <c r="W40" s="124"/>
      <c r="X40" s="124"/>
      <c r="Y40" s="86" t="str">
        <f t="shared" si="5"/>
        <v/>
      </c>
      <c r="Z40" s="30"/>
      <c r="AA40" s="30"/>
      <c r="AB40" s="30"/>
      <c r="AC40" s="30"/>
      <c r="AD40" s="124"/>
      <c r="AE40" s="124"/>
      <c r="AF40" s="86" t="str">
        <f t="shared" si="6"/>
        <v/>
      </c>
      <c r="AG40" s="30"/>
      <c r="AH40" s="124"/>
      <c r="AI40" s="124"/>
      <c r="AJ40" s="86" t="str">
        <f t="shared" si="7"/>
        <v/>
      </c>
      <c r="AK40" s="30"/>
      <c r="AL40" s="30"/>
      <c r="AM40" s="30"/>
      <c r="AN40" s="86" t="str">
        <f t="shared" si="8"/>
        <v/>
      </c>
      <c r="AO40" s="30"/>
      <c r="AP40" s="124"/>
      <c r="AQ40" s="124"/>
      <c r="AR40" s="86" t="str">
        <f t="shared" si="9"/>
        <v/>
      </c>
      <c r="AS40" s="30"/>
      <c r="AT40" s="124"/>
      <c r="AU40" s="124"/>
      <c r="AV40" s="86" t="str">
        <f t="shared" si="10"/>
        <v/>
      </c>
      <c r="AW40" s="30"/>
      <c r="AX40" s="124"/>
      <c r="AY40" s="124"/>
      <c r="AZ40" s="86" t="str">
        <f t="shared" si="11"/>
        <v/>
      </c>
      <c r="BA40" s="30"/>
      <c r="BB40" s="124"/>
      <c r="BC40" s="124"/>
      <c r="BD40" s="86" t="str">
        <f t="shared" si="12"/>
        <v/>
      </c>
      <c r="BE40" s="30"/>
      <c r="BF40" s="124"/>
      <c r="BG40" s="124"/>
      <c r="BH40" s="86" t="str">
        <f t="shared" si="13"/>
        <v/>
      </c>
      <c r="BI40" s="30"/>
      <c r="BJ40" s="124"/>
      <c r="BK40" s="124"/>
      <c r="BL40" s="86" t="str">
        <f t="shared" si="14"/>
        <v/>
      </c>
      <c r="BM40" s="30"/>
      <c r="BN40" s="124"/>
      <c r="BO40" s="124"/>
      <c r="BP40" s="86" t="str">
        <f t="shared" si="15"/>
        <v/>
      </c>
      <c r="BQ40" s="30"/>
      <c r="BR40" s="124"/>
      <c r="BS40" s="124"/>
      <c r="BT40" s="86" t="str">
        <f t="shared" si="16"/>
        <v/>
      </c>
      <c r="BU40" s="30"/>
      <c r="BV40" s="124"/>
      <c r="BW40" s="124"/>
      <c r="BX40" s="86" t="str">
        <f t="shared" si="17"/>
        <v/>
      </c>
      <c r="BY40" s="30"/>
      <c r="BZ40" s="124"/>
      <c r="CA40" s="124"/>
      <c r="CB40" s="86" t="str">
        <f t="shared" si="18"/>
        <v/>
      </c>
      <c r="CC40" s="30"/>
      <c r="CD40" s="124"/>
      <c r="CE40" s="124"/>
      <c r="CF40" s="86" t="str">
        <f t="shared" si="19"/>
        <v/>
      </c>
      <c r="CG40" s="30"/>
      <c r="CH40" s="124"/>
      <c r="CI40" s="124"/>
      <c r="CJ40" s="86" t="str">
        <f t="shared" si="20"/>
        <v/>
      </c>
      <c r="CK40" s="30"/>
      <c r="CL40" s="124"/>
      <c r="CM40" s="124"/>
      <c r="CN40" s="86" t="str">
        <f t="shared" si="21"/>
        <v/>
      </c>
      <c r="CO40" s="30"/>
      <c r="CP40" s="124"/>
      <c r="CQ40" s="124"/>
      <c r="CR40" s="86" t="str">
        <f t="shared" si="22"/>
        <v/>
      </c>
      <c r="CS40" s="30"/>
      <c r="CT40" s="124"/>
      <c r="CU40" s="124"/>
      <c r="CV40" s="86" t="str">
        <f t="shared" si="23"/>
        <v/>
      </c>
      <c r="CW40" s="30" t="s">
        <v>1</v>
      </c>
      <c r="CX40" s="90">
        <v>242263</v>
      </c>
      <c r="CY40" s="90">
        <v>581000</v>
      </c>
      <c r="CZ40" s="86">
        <f t="shared" si="24"/>
        <v>2.3982201161547576</v>
      </c>
      <c r="DA40" s="70"/>
      <c r="DC40" s="90"/>
      <c r="DD40" s="86" t="str">
        <f t="shared" si="25"/>
        <v/>
      </c>
    </row>
    <row r="41" spans="1:110" x14ac:dyDescent="0.3">
      <c r="A41" s="30" t="s">
        <v>211</v>
      </c>
      <c r="B41" s="30" t="s">
        <v>75</v>
      </c>
      <c r="F41" s="86" t="str">
        <f t="shared" si="0"/>
        <v/>
      </c>
      <c r="G41" s="30"/>
      <c r="H41" s="30"/>
      <c r="I41" s="30"/>
      <c r="J41" s="86" t="str">
        <f t="shared" si="1"/>
        <v/>
      </c>
      <c r="K41" s="30"/>
      <c r="L41" s="30"/>
      <c r="M41" s="30"/>
      <c r="N41" s="86" t="str">
        <f t="shared" si="2"/>
        <v/>
      </c>
      <c r="O41" s="30"/>
      <c r="P41" s="30"/>
      <c r="Q41" s="30"/>
      <c r="R41" s="86" t="str">
        <f t="shared" si="3"/>
        <v/>
      </c>
      <c r="S41" s="30"/>
      <c r="T41" s="124"/>
      <c r="U41" s="124"/>
      <c r="V41" s="86" t="str">
        <f t="shared" si="4"/>
        <v/>
      </c>
      <c r="W41" s="124"/>
      <c r="X41" s="124"/>
      <c r="Y41" s="86" t="str">
        <f t="shared" si="5"/>
        <v/>
      </c>
      <c r="Z41" s="30"/>
      <c r="AA41" s="30"/>
      <c r="AB41" s="30"/>
      <c r="AC41" s="30"/>
      <c r="AD41" s="124"/>
      <c r="AE41" s="124"/>
      <c r="AF41" s="86" t="str">
        <f t="shared" si="6"/>
        <v/>
      </c>
      <c r="AG41" s="30"/>
      <c r="AH41" s="124"/>
      <c r="AI41" s="124"/>
      <c r="AJ41" s="86" t="str">
        <f t="shared" si="7"/>
        <v/>
      </c>
      <c r="AK41" s="30"/>
      <c r="AL41" s="30"/>
      <c r="AM41" s="30"/>
      <c r="AN41" s="86" t="str">
        <f t="shared" si="8"/>
        <v/>
      </c>
      <c r="AO41" s="30"/>
      <c r="AP41" s="124"/>
      <c r="AQ41" s="124"/>
      <c r="AR41" s="86" t="str">
        <f t="shared" si="9"/>
        <v/>
      </c>
      <c r="AS41" s="30"/>
      <c r="AT41" s="124"/>
      <c r="AU41" s="124"/>
      <c r="AV41" s="86" t="str">
        <f t="shared" si="10"/>
        <v/>
      </c>
      <c r="AW41" s="30"/>
      <c r="AX41" s="124"/>
      <c r="AY41" s="124"/>
      <c r="AZ41" s="86" t="str">
        <f t="shared" si="11"/>
        <v/>
      </c>
      <c r="BA41" s="30"/>
      <c r="BB41" s="124"/>
      <c r="BC41" s="124"/>
      <c r="BD41" s="86" t="str">
        <f t="shared" si="12"/>
        <v/>
      </c>
      <c r="BE41" s="30"/>
      <c r="BF41" s="124"/>
      <c r="BG41" s="124"/>
      <c r="BH41" s="86" t="str">
        <f t="shared" si="13"/>
        <v/>
      </c>
      <c r="BI41" s="30"/>
      <c r="BJ41" s="124"/>
      <c r="BK41" s="124"/>
      <c r="BL41" s="86" t="str">
        <f t="shared" si="14"/>
        <v/>
      </c>
      <c r="BM41" s="30"/>
      <c r="BN41" s="124"/>
      <c r="BO41" s="124"/>
      <c r="BP41" s="86" t="str">
        <f t="shared" si="15"/>
        <v/>
      </c>
      <c r="BQ41" s="30"/>
      <c r="BR41" s="124"/>
      <c r="BS41" s="124"/>
      <c r="BT41" s="86" t="str">
        <f t="shared" si="16"/>
        <v/>
      </c>
      <c r="BU41" s="30"/>
      <c r="BV41" s="124"/>
      <c r="BW41" s="124"/>
      <c r="BX41" s="86" t="str">
        <f t="shared" si="17"/>
        <v/>
      </c>
      <c r="BY41" s="30"/>
      <c r="BZ41" s="124"/>
      <c r="CA41" s="124"/>
      <c r="CB41" s="86" t="str">
        <f t="shared" si="18"/>
        <v/>
      </c>
      <c r="CC41" s="30"/>
      <c r="CD41" s="124"/>
      <c r="CE41" s="124"/>
      <c r="CF41" s="86" t="str">
        <f t="shared" si="19"/>
        <v/>
      </c>
      <c r="CG41" s="30"/>
      <c r="CH41" s="124"/>
      <c r="CI41" s="124"/>
      <c r="CJ41" s="86" t="str">
        <f t="shared" si="20"/>
        <v/>
      </c>
      <c r="CK41" s="30"/>
      <c r="CL41" s="124"/>
      <c r="CM41" s="124"/>
      <c r="CN41" s="86" t="str">
        <f t="shared" si="21"/>
        <v/>
      </c>
      <c r="CO41" s="30"/>
      <c r="CP41" s="124"/>
      <c r="CQ41" s="124"/>
      <c r="CR41" s="86" t="str">
        <f t="shared" si="22"/>
        <v/>
      </c>
      <c r="CS41" s="30"/>
      <c r="CT41" s="124"/>
      <c r="CU41" s="124"/>
      <c r="CV41" s="86" t="str">
        <f t="shared" si="23"/>
        <v/>
      </c>
      <c r="CW41" s="30"/>
      <c r="CX41" s="124"/>
      <c r="CY41" s="124"/>
      <c r="CZ41" s="86" t="str">
        <f t="shared" si="24"/>
        <v/>
      </c>
      <c r="DA41" s="30" t="s">
        <v>1</v>
      </c>
      <c r="DB41" s="90">
        <v>11841</v>
      </c>
      <c r="DC41" s="90">
        <v>162000</v>
      </c>
      <c r="DD41" s="86">
        <f t="shared" si="25"/>
        <v>13.681276919179123</v>
      </c>
    </row>
    <row r="42" spans="1:110" x14ac:dyDescent="0.3">
      <c r="A42" s="30" t="s">
        <v>212</v>
      </c>
      <c r="B42" s="30" t="s">
        <v>75</v>
      </c>
      <c r="F42" s="86" t="str">
        <f t="shared" si="0"/>
        <v/>
      </c>
      <c r="G42" s="30"/>
      <c r="H42" s="30"/>
      <c r="I42" s="30"/>
      <c r="J42" s="86" t="str">
        <f t="shared" si="1"/>
        <v/>
      </c>
      <c r="K42" s="30"/>
      <c r="L42" s="30"/>
      <c r="M42" s="30"/>
      <c r="N42" s="86" t="str">
        <f t="shared" si="2"/>
        <v/>
      </c>
      <c r="O42" s="30"/>
      <c r="P42" s="30"/>
      <c r="Q42" s="30"/>
      <c r="R42" s="86" t="str">
        <f t="shared" si="3"/>
        <v/>
      </c>
      <c r="S42" s="30"/>
      <c r="T42" s="124"/>
      <c r="U42" s="124"/>
      <c r="V42" s="86" t="str">
        <f t="shared" si="4"/>
        <v/>
      </c>
      <c r="W42" s="124"/>
      <c r="X42" s="124"/>
      <c r="Y42" s="86" t="str">
        <f t="shared" si="5"/>
        <v/>
      </c>
      <c r="Z42" s="30"/>
      <c r="AA42" s="30"/>
      <c r="AB42" s="30"/>
      <c r="AC42" s="30"/>
      <c r="AD42" s="124"/>
      <c r="AE42" s="124"/>
      <c r="AF42" s="86" t="str">
        <f t="shared" si="6"/>
        <v/>
      </c>
      <c r="AG42" s="30"/>
      <c r="AH42" s="124"/>
      <c r="AI42" s="124"/>
      <c r="AJ42" s="86" t="str">
        <f t="shared" si="7"/>
        <v/>
      </c>
      <c r="AK42" s="30"/>
      <c r="AL42" s="30"/>
      <c r="AM42" s="30"/>
      <c r="AN42" s="86" t="str">
        <f t="shared" si="8"/>
        <v/>
      </c>
      <c r="AO42" s="30"/>
      <c r="AP42" s="124"/>
      <c r="AQ42" s="124"/>
      <c r="AR42" s="86" t="str">
        <f t="shared" si="9"/>
        <v/>
      </c>
      <c r="AS42" s="30"/>
      <c r="AT42" s="124"/>
      <c r="AU42" s="124"/>
      <c r="AV42" s="86" t="str">
        <f t="shared" si="10"/>
        <v/>
      </c>
      <c r="AW42" s="30"/>
      <c r="AX42" s="124"/>
      <c r="AY42" s="124"/>
      <c r="AZ42" s="86" t="str">
        <f t="shared" si="11"/>
        <v/>
      </c>
      <c r="BA42" s="30"/>
      <c r="BB42" s="124"/>
      <c r="BC42" s="124"/>
      <c r="BD42" s="86" t="str">
        <f t="shared" si="12"/>
        <v/>
      </c>
      <c r="BE42" s="30"/>
      <c r="BF42" s="124"/>
      <c r="BG42" s="124"/>
      <c r="BH42" s="86" t="str">
        <f t="shared" si="13"/>
        <v/>
      </c>
      <c r="BI42" s="30"/>
      <c r="BJ42" s="124"/>
      <c r="BK42" s="124"/>
      <c r="BL42" s="86" t="str">
        <f t="shared" si="14"/>
        <v/>
      </c>
      <c r="BM42" s="30"/>
      <c r="BN42" s="124"/>
      <c r="BO42" s="124"/>
      <c r="BP42" s="86" t="str">
        <f t="shared" si="15"/>
        <v/>
      </c>
      <c r="BQ42" s="30"/>
      <c r="BR42" s="124"/>
      <c r="BS42" s="124"/>
      <c r="BT42" s="86" t="str">
        <f t="shared" si="16"/>
        <v/>
      </c>
      <c r="BU42" s="30"/>
      <c r="BV42" s="124"/>
      <c r="BW42" s="124"/>
      <c r="BX42" s="86" t="str">
        <f t="shared" si="17"/>
        <v/>
      </c>
      <c r="BY42" s="30"/>
      <c r="BZ42" s="124"/>
      <c r="CA42" s="124"/>
      <c r="CB42" s="86" t="str">
        <f t="shared" si="18"/>
        <v/>
      </c>
      <c r="CC42" s="30"/>
      <c r="CD42" s="124"/>
      <c r="CE42" s="124"/>
      <c r="CF42" s="86" t="str">
        <f t="shared" si="19"/>
        <v/>
      </c>
      <c r="CG42" s="30"/>
      <c r="CH42" s="124"/>
      <c r="CI42" s="124"/>
      <c r="CJ42" s="86" t="str">
        <f t="shared" si="20"/>
        <v/>
      </c>
      <c r="CK42" s="30"/>
      <c r="CL42" s="124"/>
      <c r="CM42" s="124"/>
      <c r="CN42" s="86" t="str">
        <f t="shared" si="21"/>
        <v/>
      </c>
      <c r="CO42" s="30"/>
      <c r="CP42" s="124"/>
      <c r="CQ42" s="124"/>
      <c r="CR42" s="86" t="str">
        <f t="shared" si="22"/>
        <v/>
      </c>
      <c r="CS42" s="30"/>
      <c r="CT42" s="124"/>
      <c r="CU42" s="124"/>
      <c r="CV42" s="86" t="str">
        <f t="shared" si="23"/>
        <v/>
      </c>
      <c r="CW42" s="30"/>
      <c r="CX42" s="124"/>
      <c r="CY42" s="124"/>
      <c r="CZ42" s="86" t="str">
        <f t="shared" si="24"/>
        <v/>
      </c>
      <c r="DA42" s="30" t="s">
        <v>1</v>
      </c>
      <c r="DB42" s="90">
        <v>117065</v>
      </c>
      <c r="DC42" s="90">
        <v>188000</v>
      </c>
      <c r="DD42" s="86">
        <f t="shared" si="25"/>
        <v>1.6059454149404178</v>
      </c>
    </row>
    <row r="43" spans="1:110" x14ac:dyDescent="0.3">
      <c r="A43" s="30" t="s">
        <v>213</v>
      </c>
      <c r="B43" s="81" t="s">
        <v>75</v>
      </c>
      <c r="F43" s="86" t="str">
        <f t="shared" si="0"/>
        <v/>
      </c>
      <c r="G43" s="30"/>
      <c r="H43" s="30"/>
      <c r="I43" s="30"/>
      <c r="J43" s="86" t="str">
        <f t="shared" si="1"/>
        <v/>
      </c>
      <c r="K43" s="30"/>
      <c r="L43" s="30"/>
      <c r="M43" s="30"/>
      <c r="N43" s="86" t="str">
        <f t="shared" si="2"/>
        <v/>
      </c>
      <c r="O43" s="30"/>
      <c r="P43" s="30"/>
      <c r="Q43" s="30"/>
      <c r="R43" s="86" t="str">
        <f t="shared" si="3"/>
        <v/>
      </c>
      <c r="S43" s="30"/>
      <c r="T43" s="124"/>
      <c r="U43" s="124"/>
      <c r="V43" s="86" t="str">
        <f t="shared" si="4"/>
        <v/>
      </c>
      <c r="W43" s="124"/>
      <c r="X43" s="124"/>
      <c r="Y43" s="86" t="str">
        <f t="shared" si="5"/>
        <v/>
      </c>
      <c r="Z43" s="30"/>
      <c r="AA43" s="30"/>
      <c r="AB43" s="30"/>
      <c r="AC43" s="81" t="s">
        <v>283</v>
      </c>
      <c r="AD43" s="124">
        <v>8828278</v>
      </c>
      <c r="AE43" s="124">
        <f>41620376/$D$182</f>
        <v>378367.05454545456</v>
      </c>
      <c r="AF43" s="86">
        <f t="shared" si="6"/>
        <v>4.2858534194942045E-2</v>
      </c>
      <c r="AG43" s="30"/>
      <c r="AH43" s="124"/>
      <c r="AI43" s="124"/>
      <c r="AJ43" s="86" t="str">
        <f t="shared" si="7"/>
        <v/>
      </c>
      <c r="AK43" s="30"/>
      <c r="AL43" s="30"/>
      <c r="AM43" s="30"/>
      <c r="AN43" s="86" t="str">
        <f t="shared" si="8"/>
        <v/>
      </c>
      <c r="AO43" s="30"/>
      <c r="AP43" s="124"/>
      <c r="AQ43" s="124"/>
      <c r="AR43" s="86" t="str">
        <f t="shared" si="9"/>
        <v/>
      </c>
      <c r="AS43" s="30"/>
      <c r="AT43" s="124"/>
      <c r="AU43" s="124"/>
      <c r="AV43" s="86" t="str">
        <f t="shared" si="10"/>
        <v/>
      </c>
      <c r="AW43" s="30"/>
      <c r="AX43" s="124"/>
      <c r="AY43" s="124"/>
      <c r="AZ43" s="86" t="str">
        <f t="shared" si="11"/>
        <v/>
      </c>
      <c r="BA43" s="30"/>
      <c r="BB43" s="124"/>
      <c r="BC43" s="124"/>
      <c r="BD43" s="86" t="str">
        <f t="shared" si="12"/>
        <v/>
      </c>
      <c r="BE43" s="30"/>
      <c r="BF43" s="124"/>
      <c r="BG43" s="124"/>
      <c r="BH43" s="86" t="str">
        <f t="shared" si="13"/>
        <v/>
      </c>
      <c r="BI43" s="30"/>
      <c r="BJ43" s="124"/>
      <c r="BK43" s="124"/>
      <c r="BL43" s="86" t="str">
        <f t="shared" si="14"/>
        <v/>
      </c>
      <c r="BM43" s="30"/>
      <c r="BN43" s="124"/>
      <c r="BO43" s="124"/>
      <c r="BP43" s="86" t="str">
        <f t="shared" si="15"/>
        <v/>
      </c>
      <c r="BQ43" s="30"/>
      <c r="BR43" s="124"/>
      <c r="BS43" s="124"/>
      <c r="BT43" s="86" t="str">
        <f t="shared" si="16"/>
        <v/>
      </c>
      <c r="BU43" s="30"/>
      <c r="BV43" s="124"/>
      <c r="BW43" s="124"/>
      <c r="BX43" s="86" t="str">
        <f t="shared" si="17"/>
        <v/>
      </c>
      <c r="BY43" s="30"/>
      <c r="BZ43" s="124"/>
      <c r="CA43" s="124"/>
      <c r="CB43" s="86" t="str">
        <f t="shared" si="18"/>
        <v/>
      </c>
      <c r="CC43" s="30"/>
      <c r="CD43" s="124"/>
      <c r="CE43" s="124"/>
      <c r="CF43" s="86" t="str">
        <f t="shared" si="19"/>
        <v/>
      </c>
      <c r="CG43" s="30"/>
      <c r="CH43" s="124"/>
      <c r="CI43" s="124"/>
      <c r="CJ43" s="86" t="str">
        <f t="shared" si="20"/>
        <v/>
      </c>
      <c r="CK43" s="30"/>
      <c r="CL43" s="124"/>
      <c r="CM43" s="124"/>
      <c r="CN43" s="86" t="str">
        <f t="shared" si="21"/>
        <v/>
      </c>
      <c r="CO43" s="30"/>
      <c r="CP43" s="124"/>
      <c r="CQ43" s="124"/>
      <c r="CR43" s="86" t="str">
        <f t="shared" si="22"/>
        <v/>
      </c>
      <c r="CS43" s="30"/>
      <c r="CT43" s="124"/>
      <c r="CU43" s="124"/>
      <c r="CV43" s="86" t="str">
        <f t="shared" si="23"/>
        <v/>
      </c>
      <c r="CW43" s="30"/>
      <c r="CX43" s="124"/>
      <c r="CY43" s="124"/>
      <c r="CZ43" s="86" t="str">
        <f t="shared" si="24"/>
        <v/>
      </c>
      <c r="DA43" s="30" t="s">
        <v>1</v>
      </c>
      <c r="DB43" s="90">
        <v>8696</v>
      </c>
      <c r="DC43" s="90">
        <v>659000</v>
      </c>
      <c r="DD43" s="86">
        <f t="shared" si="25"/>
        <v>75.781968721251147</v>
      </c>
    </row>
    <row r="44" spans="1:110" x14ac:dyDescent="0.3">
      <c r="A44" s="30" t="s">
        <v>161</v>
      </c>
      <c r="B44" s="30" t="s">
        <v>75</v>
      </c>
      <c r="F44" s="86" t="str">
        <f t="shared" si="0"/>
        <v/>
      </c>
      <c r="G44" s="30"/>
      <c r="H44" s="30"/>
      <c r="I44" s="30"/>
      <c r="J44" s="86" t="str">
        <f t="shared" si="1"/>
        <v/>
      </c>
      <c r="K44" s="30"/>
      <c r="L44" s="30"/>
      <c r="M44" s="30"/>
      <c r="N44" s="86" t="str">
        <f t="shared" si="2"/>
        <v/>
      </c>
      <c r="O44" s="30"/>
      <c r="P44" s="30"/>
      <c r="Q44" s="30"/>
      <c r="R44" s="86" t="str">
        <f t="shared" si="3"/>
        <v/>
      </c>
      <c r="S44" s="30"/>
      <c r="T44" s="124"/>
      <c r="U44" s="124"/>
      <c r="V44" s="86" t="str">
        <f t="shared" si="4"/>
        <v/>
      </c>
      <c r="W44" s="124"/>
      <c r="X44" s="124"/>
      <c r="Y44" s="86" t="str">
        <f t="shared" si="5"/>
        <v/>
      </c>
      <c r="Z44" s="30"/>
      <c r="AA44" s="30"/>
      <c r="AB44" s="30"/>
      <c r="AC44" s="30"/>
      <c r="AD44" s="124"/>
      <c r="AE44" s="124"/>
      <c r="AF44" s="86" t="str">
        <f t="shared" si="6"/>
        <v/>
      </c>
      <c r="AG44" s="30"/>
      <c r="AH44" s="124"/>
      <c r="AI44" s="124"/>
      <c r="AJ44" s="86" t="str">
        <f t="shared" si="7"/>
        <v/>
      </c>
      <c r="AK44" s="30"/>
      <c r="AL44" s="30"/>
      <c r="AM44" s="30"/>
      <c r="AN44" s="86" t="str">
        <f t="shared" si="8"/>
        <v/>
      </c>
      <c r="AO44" s="30"/>
      <c r="AP44" s="124"/>
      <c r="AQ44" s="124"/>
      <c r="AR44" s="86" t="str">
        <f t="shared" si="9"/>
        <v/>
      </c>
      <c r="AS44" s="30"/>
      <c r="AT44" s="124"/>
      <c r="AU44" s="124"/>
      <c r="AV44" s="86" t="str">
        <f t="shared" si="10"/>
        <v/>
      </c>
      <c r="AW44" s="30"/>
      <c r="AX44" s="124"/>
      <c r="AY44" s="124"/>
      <c r="AZ44" s="86" t="str">
        <f t="shared" si="11"/>
        <v/>
      </c>
      <c r="BA44" s="30"/>
      <c r="BB44" s="124"/>
      <c r="BC44" s="124"/>
      <c r="BD44" s="86" t="str">
        <f t="shared" si="12"/>
        <v/>
      </c>
      <c r="BE44" s="30"/>
      <c r="BF44" s="124"/>
      <c r="BG44" s="124"/>
      <c r="BH44" s="86" t="str">
        <f t="shared" si="13"/>
        <v/>
      </c>
      <c r="BI44" s="30"/>
      <c r="BJ44" s="124"/>
      <c r="BK44" s="124"/>
      <c r="BL44" s="86" t="str">
        <f t="shared" si="14"/>
        <v/>
      </c>
      <c r="BM44" s="30"/>
      <c r="BN44" s="124"/>
      <c r="BO44" s="124"/>
      <c r="BP44" s="86" t="str">
        <f t="shared" si="15"/>
        <v/>
      </c>
      <c r="BQ44" s="30"/>
      <c r="BR44" s="124"/>
      <c r="BS44" s="124"/>
      <c r="BT44" s="86" t="str">
        <f t="shared" si="16"/>
        <v/>
      </c>
      <c r="BU44" s="30"/>
      <c r="BV44" s="124"/>
      <c r="BW44" s="124"/>
      <c r="BX44" s="86" t="str">
        <f t="shared" si="17"/>
        <v/>
      </c>
      <c r="BY44" s="30"/>
      <c r="BZ44" s="124"/>
      <c r="CA44" s="124"/>
      <c r="CB44" s="86" t="str">
        <f t="shared" si="18"/>
        <v/>
      </c>
      <c r="CC44" s="30"/>
      <c r="CD44" s="124"/>
      <c r="CE44" s="124"/>
      <c r="CF44" s="86" t="str">
        <f t="shared" si="19"/>
        <v/>
      </c>
      <c r="CG44" s="30"/>
      <c r="CH44" s="124"/>
      <c r="CI44" s="124"/>
      <c r="CJ44" s="86" t="str">
        <f t="shared" si="20"/>
        <v/>
      </c>
      <c r="CK44" s="30"/>
      <c r="CL44" s="124"/>
      <c r="CM44" s="124"/>
      <c r="CN44" s="86" t="str">
        <f t="shared" si="21"/>
        <v/>
      </c>
      <c r="CO44" s="30"/>
      <c r="CP44" s="124"/>
      <c r="CQ44" s="124"/>
      <c r="CR44" s="86" t="str">
        <f t="shared" si="22"/>
        <v/>
      </c>
      <c r="CS44" s="30"/>
      <c r="CT44" s="124"/>
      <c r="CU44" s="124"/>
      <c r="CV44" s="86" t="str">
        <f t="shared" si="23"/>
        <v/>
      </c>
      <c r="CW44" s="30"/>
      <c r="CX44" s="124"/>
      <c r="CY44" s="124"/>
      <c r="CZ44" s="86" t="str">
        <f t="shared" si="24"/>
        <v/>
      </c>
      <c r="DA44" s="30" t="s">
        <v>1</v>
      </c>
      <c r="DB44" s="90">
        <v>739</v>
      </c>
      <c r="DC44" s="90">
        <v>110000</v>
      </c>
      <c r="DD44" s="86">
        <f t="shared" si="25"/>
        <v>148.84979702300407</v>
      </c>
    </row>
    <row r="45" spans="1:110" x14ac:dyDescent="0.3">
      <c r="A45" s="30" t="s">
        <v>46</v>
      </c>
      <c r="B45" s="30" t="s">
        <v>75</v>
      </c>
      <c r="F45" s="86" t="str">
        <f t="shared" si="0"/>
        <v/>
      </c>
      <c r="G45" s="30"/>
      <c r="H45" s="30"/>
      <c r="I45" s="30"/>
      <c r="J45" s="86" t="str">
        <f t="shared" si="1"/>
        <v/>
      </c>
      <c r="K45" s="30"/>
      <c r="L45" s="30"/>
      <c r="M45" s="30"/>
      <c r="N45" s="86" t="str">
        <f t="shared" si="2"/>
        <v/>
      </c>
      <c r="O45" s="30"/>
      <c r="P45" s="30"/>
      <c r="Q45" s="30"/>
      <c r="R45" s="86" t="str">
        <f t="shared" si="3"/>
        <v/>
      </c>
      <c r="S45" s="30"/>
      <c r="T45" s="124"/>
      <c r="U45" s="124"/>
      <c r="V45" s="86" t="str">
        <f t="shared" si="4"/>
        <v/>
      </c>
      <c r="W45" s="124"/>
      <c r="X45" s="124"/>
      <c r="Y45" s="86" t="str">
        <f t="shared" si="5"/>
        <v/>
      </c>
      <c r="Z45" s="30"/>
      <c r="AA45" s="30"/>
      <c r="AB45" s="30"/>
      <c r="AC45" s="30"/>
      <c r="AD45" s="124"/>
      <c r="AE45" s="124"/>
      <c r="AF45" s="86" t="str">
        <f t="shared" si="6"/>
        <v/>
      </c>
      <c r="AG45" s="30"/>
      <c r="AH45" s="124"/>
      <c r="AI45" s="124"/>
      <c r="AJ45" s="86" t="str">
        <f t="shared" si="7"/>
        <v/>
      </c>
      <c r="AK45" s="30"/>
      <c r="AL45" s="30"/>
      <c r="AM45" s="30"/>
      <c r="AN45" s="86" t="str">
        <f t="shared" si="8"/>
        <v/>
      </c>
      <c r="AO45" s="30"/>
      <c r="AP45" s="124"/>
      <c r="AQ45" s="124"/>
      <c r="AR45" s="86" t="str">
        <f t="shared" si="9"/>
        <v/>
      </c>
      <c r="AS45" s="30"/>
      <c r="AT45" s="124"/>
      <c r="AU45" s="124"/>
      <c r="AV45" s="86" t="str">
        <f t="shared" si="10"/>
        <v/>
      </c>
      <c r="AW45" s="30"/>
      <c r="AX45" s="124"/>
      <c r="AY45" s="124"/>
      <c r="AZ45" s="86" t="str">
        <f t="shared" si="11"/>
        <v/>
      </c>
      <c r="BA45" s="30"/>
      <c r="BB45" s="124"/>
      <c r="BC45" s="124"/>
      <c r="BD45" s="86" t="str">
        <f t="shared" si="12"/>
        <v/>
      </c>
      <c r="BE45" s="30"/>
      <c r="BF45" s="124"/>
      <c r="BG45" s="124"/>
      <c r="BH45" s="86" t="str">
        <f t="shared" si="13"/>
        <v/>
      </c>
      <c r="BI45" s="30"/>
      <c r="BJ45" s="124"/>
      <c r="BK45" s="124"/>
      <c r="BL45" s="86" t="str">
        <f t="shared" si="14"/>
        <v/>
      </c>
      <c r="BM45" s="30"/>
      <c r="BN45" s="124"/>
      <c r="BO45" s="124"/>
      <c r="BP45" s="86" t="str">
        <f t="shared" si="15"/>
        <v/>
      </c>
      <c r="BQ45" s="30"/>
      <c r="BR45" s="124"/>
      <c r="BS45" s="124"/>
      <c r="BT45" s="86" t="str">
        <f t="shared" si="16"/>
        <v/>
      </c>
      <c r="BU45" s="30"/>
      <c r="BV45" s="124"/>
      <c r="BW45" s="124"/>
      <c r="BX45" s="86" t="str">
        <f t="shared" si="17"/>
        <v/>
      </c>
      <c r="BY45" s="30"/>
      <c r="BZ45" s="124"/>
      <c r="CA45" s="124"/>
      <c r="CB45" s="86" t="str">
        <f t="shared" si="18"/>
        <v/>
      </c>
      <c r="CC45" s="30"/>
      <c r="CD45" s="124"/>
      <c r="CE45" s="124"/>
      <c r="CF45" s="86" t="str">
        <f t="shared" si="19"/>
        <v/>
      </c>
      <c r="CG45" s="30"/>
      <c r="CH45" s="124"/>
      <c r="CI45" s="124"/>
      <c r="CJ45" s="86" t="str">
        <f t="shared" si="20"/>
        <v/>
      </c>
      <c r="CK45" s="30"/>
      <c r="CL45" s="124"/>
      <c r="CM45" s="124"/>
      <c r="CN45" s="86" t="str">
        <f t="shared" si="21"/>
        <v/>
      </c>
      <c r="CO45" s="30"/>
      <c r="CP45" s="124"/>
      <c r="CQ45" s="124"/>
      <c r="CR45" s="86" t="str">
        <f t="shared" si="22"/>
        <v/>
      </c>
      <c r="CS45" s="30"/>
      <c r="CT45" s="124"/>
      <c r="CU45" s="124"/>
      <c r="CV45" s="86" t="str">
        <f t="shared" si="23"/>
        <v/>
      </c>
      <c r="CW45" s="30"/>
      <c r="CX45" s="124"/>
      <c r="CY45" s="124"/>
      <c r="CZ45" s="86" t="str">
        <f t="shared" si="24"/>
        <v/>
      </c>
      <c r="DA45" s="30" t="s">
        <v>1</v>
      </c>
      <c r="DB45" s="90">
        <v>17931</v>
      </c>
      <c r="DC45" s="90">
        <v>890000</v>
      </c>
      <c r="DD45" s="86">
        <f t="shared" si="25"/>
        <v>49.634710835982375</v>
      </c>
    </row>
    <row r="46" spans="1:110" x14ac:dyDescent="0.3">
      <c r="A46" s="30" t="s">
        <v>214</v>
      </c>
      <c r="B46" s="30" t="s">
        <v>75</v>
      </c>
      <c r="F46" s="86" t="str">
        <f t="shared" si="0"/>
        <v/>
      </c>
      <c r="G46" s="30"/>
      <c r="H46" s="30"/>
      <c r="I46" s="30"/>
      <c r="J46" s="86" t="str">
        <f t="shared" si="1"/>
        <v/>
      </c>
      <c r="K46" s="30"/>
      <c r="L46" s="30"/>
      <c r="M46" s="30"/>
      <c r="N46" s="86" t="str">
        <f t="shared" si="2"/>
        <v/>
      </c>
      <c r="O46" s="30"/>
      <c r="P46" s="30"/>
      <c r="Q46" s="30"/>
      <c r="R46" s="86" t="str">
        <f t="shared" si="3"/>
        <v/>
      </c>
      <c r="S46" s="30"/>
      <c r="T46" s="124"/>
      <c r="U46" s="124"/>
      <c r="V46" s="86" t="str">
        <f t="shared" si="4"/>
        <v/>
      </c>
      <c r="W46" s="124"/>
      <c r="X46" s="124"/>
      <c r="Y46" s="86" t="str">
        <f t="shared" si="5"/>
        <v/>
      </c>
      <c r="Z46" s="30"/>
      <c r="AA46" s="30"/>
      <c r="AB46" s="30"/>
      <c r="AC46" s="30"/>
      <c r="AD46" s="124"/>
      <c r="AE46" s="124"/>
      <c r="AF46" s="86" t="str">
        <f t="shared" si="6"/>
        <v/>
      </c>
      <c r="AG46" s="30"/>
      <c r="AH46" s="124"/>
      <c r="AI46" s="124"/>
      <c r="AJ46" s="86" t="str">
        <f t="shared" si="7"/>
        <v/>
      </c>
      <c r="AK46" s="30"/>
      <c r="AL46" s="30"/>
      <c r="AM46" s="30"/>
      <c r="AN46" s="86" t="str">
        <f t="shared" si="8"/>
        <v/>
      </c>
      <c r="AO46" s="30"/>
      <c r="AP46" s="124"/>
      <c r="AQ46" s="124"/>
      <c r="AR46" s="86" t="str">
        <f t="shared" si="9"/>
        <v/>
      </c>
      <c r="AS46" s="30"/>
      <c r="AT46" s="124"/>
      <c r="AU46" s="124"/>
      <c r="AV46" s="86" t="str">
        <f t="shared" si="10"/>
        <v/>
      </c>
      <c r="AW46" s="30"/>
      <c r="AX46" s="124"/>
      <c r="AY46" s="124"/>
      <c r="AZ46" s="86" t="str">
        <f t="shared" si="11"/>
        <v/>
      </c>
      <c r="BA46" s="30"/>
      <c r="BB46" s="124"/>
      <c r="BC46" s="124"/>
      <c r="BD46" s="86" t="str">
        <f t="shared" si="12"/>
        <v/>
      </c>
      <c r="BE46" s="30"/>
      <c r="BF46" s="124"/>
      <c r="BG46" s="124"/>
      <c r="BH46" s="86" t="str">
        <f t="shared" si="13"/>
        <v/>
      </c>
      <c r="BI46" s="30"/>
      <c r="BJ46" s="124"/>
      <c r="BK46" s="124"/>
      <c r="BL46" s="86" t="str">
        <f t="shared" si="14"/>
        <v/>
      </c>
      <c r="BM46" s="30"/>
      <c r="BN46" s="124"/>
      <c r="BO46" s="124"/>
      <c r="BP46" s="86" t="str">
        <f t="shared" si="15"/>
        <v/>
      </c>
      <c r="BQ46" s="30"/>
      <c r="BR46" s="124"/>
      <c r="BS46" s="124"/>
      <c r="BT46" s="86" t="str">
        <f t="shared" si="16"/>
        <v/>
      </c>
      <c r="BU46" s="30"/>
      <c r="BV46" s="124"/>
      <c r="BW46" s="124"/>
      <c r="BX46" s="86" t="str">
        <f t="shared" si="17"/>
        <v/>
      </c>
      <c r="BY46" s="30"/>
      <c r="BZ46" s="124"/>
      <c r="CA46" s="124"/>
      <c r="CB46" s="86" t="str">
        <f t="shared" si="18"/>
        <v/>
      </c>
      <c r="CC46" s="30"/>
      <c r="CD46" s="124"/>
      <c r="CE46" s="124"/>
      <c r="CF46" s="86" t="str">
        <f t="shared" si="19"/>
        <v/>
      </c>
      <c r="CG46" s="30"/>
      <c r="CH46" s="124"/>
      <c r="CI46" s="124"/>
      <c r="CJ46" s="86" t="str">
        <f t="shared" si="20"/>
        <v/>
      </c>
      <c r="CK46" s="30"/>
      <c r="CL46" s="124"/>
      <c r="CM46" s="124"/>
      <c r="CN46" s="86" t="str">
        <f t="shared" si="21"/>
        <v/>
      </c>
      <c r="CO46" s="30"/>
      <c r="CP46" s="124"/>
      <c r="CQ46" s="124"/>
      <c r="CR46" s="86" t="str">
        <f t="shared" si="22"/>
        <v/>
      </c>
      <c r="CS46" s="30"/>
      <c r="CT46" s="124"/>
      <c r="CU46" s="124"/>
      <c r="CV46" s="86" t="str">
        <f t="shared" si="23"/>
        <v/>
      </c>
      <c r="CW46" s="30"/>
      <c r="CX46" s="124"/>
      <c r="CY46" s="124"/>
      <c r="CZ46" s="86" t="str">
        <f t="shared" si="24"/>
        <v/>
      </c>
      <c r="DA46" s="30" t="s">
        <v>1</v>
      </c>
      <c r="DB46" s="90">
        <v>1617</v>
      </c>
      <c r="DC46" s="90">
        <v>743000</v>
      </c>
      <c r="DD46" s="86">
        <f t="shared" si="25"/>
        <v>459.49288806431662</v>
      </c>
    </row>
    <row r="47" spans="1:110" x14ac:dyDescent="0.3">
      <c r="A47" s="30" t="s">
        <v>215</v>
      </c>
      <c r="B47" s="30" t="s">
        <v>75</v>
      </c>
      <c r="F47" s="86" t="str">
        <f t="shared" si="0"/>
        <v/>
      </c>
      <c r="G47" s="30"/>
      <c r="H47" s="30"/>
      <c r="I47" s="30"/>
      <c r="J47" s="86" t="str">
        <f t="shared" si="1"/>
        <v/>
      </c>
      <c r="K47" s="30"/>
      <c r="L47" s="30"/>
      <c r="M47" s="30"/>
      <c r="N47" s="86" t="str">
        <f t="shared" si="2"/>
        <v/>
      </c>
      <c r="O47" s="30"/>
      <c r="P47" s="30"/>
      <c r="Q47" s="30"/>
      <c r="R47" s="86" t="str">
        <f t="shared" si="3"/>
        <v/>
      </c>
      <c r="S47" s="30"/>
      <c r="T47" s="124"/>
      <c r="U47" s="124"/>
      <c r="V47" s="86" t="str">
        <f t="shared" si="4"/>
        <v/>
      </c>
      <c r="W47" s="124"/>
      <c r="X47" s="124"/>
      <c r="Y47" s="86" t="str">
        <f t="shared" si="5"/>
        <v/>
      </c>
      <c r="Z47" s="30"/>
      <c r="AA47" s="30"/>
      <c r="AB47" s="30"/>
      <c r="AC47" s="30"/>
      <c r="AD47" s="124"/>
      <c r="AE47" s="124"/>
      <c r="AF47" s="86" t="str">
        <f t="shared" si="6"/>
        <v/>
      </c>
      <c r="AG47" s="30"/>
      <c r="AH47" s="124"/>
      <c r="AI47" s="124"/>
      <c r="AJ47" s="86" t="str">
        <f t="shared" si="7"/>
        <v/>
      </c>
      <c r="AK47" s="30"/>
      <c r="AL47" s="30"/>
      <c r="AM47" s="30"/>
      <c r="AN47" s="86" t="str">
        <f t="shared" si="8"/>
        <v/>
      </c>
      <c r="AO47" s="30"/>
      <c r="AP47" s="124"/>
      <c r="AQ47" s="124"/>
      <c r="AR47" s="86" t="str">
        <f t="shared" si="9"/>
        <v/>
      </c>
      <c r="AS47" s="30"/>
      <c r="AT47" s="124"/>
      <c r="AU47" s="124"/>
      <c r="AV47" s="86" t="str">
        <f t="shared" si="10"/>
        <v/>
      </c>
      <c r="AW47" s="30"/>
      <c r="AX47" s="124"/>
      <c r="AY47" s="124"/>
      <c r="AZ47" s="86" t="str">
        <f t="shared" si="11"/>
        <v/>
      </c>
      <c r="BA47" s="30"/>
      <c r="BB47" s="124"/>
      <c r="BC47" s="124"/>
      <c r="BD47" s="86" t="str">
        <f t="shared" si="12"/>
        <v/>
      </c>
      <c r="BE47" s="30"/>
      <c r="BF47" s="124"/>
      <c r="BG47" s="124"/>
      <c r="BH47" s="86" t="str">
        <f t="shared" si="13"/>
        <v/>
      </c>
      <c r="BI47" s="30"/>
      <c r="BJ47" s="124"/>
      <c r="BK47" s="124"/>
      <c r="BL47" s="86" t="str">
        <f t="shared" si="14"/>
        <v/>
      </c>
      <c r="BM47" s="30"/>
      <c r="BN47" s="124"/>
      <c r="BO47" s="124"/>
      <c r="BP47" s="86" t="str">
        <f t="shared" si="15"/>
        <v/>
      </c>
      <c r="BQ47" s="30"/>
      <c r="BR47" s="124"/>
      <c r="BS47" s="124"/>
      <c r="BT47" s="86" t="str">
        <f t="shared" si="16"/>
        <v/>
      </c>
      <c r="BU47" s="30"/>
      <c r="BV47" s="124"/>
      <c r="BW47" s="124"/>
      <c r="BX47" s="86" t="str">
        <f t="shared" si="17"/>
        <v/>
      </c>
      <c r="BY47" s="30"/>
      <c r="BZ47" s="124"/>
      <c r="CA47" s="124"/>
      <c r="CB47" s="86" t="str">
        <f t="shared" si="18"/>
        <v/>
      </c>
      <c r="CC47" s="30"/>
      <c r="CD47" s="124"/>
      <c r="CE47" s="124"/>
      <c r="CF47" s="86" t="str">
        <f t="shared" si="19"/>
        <v/>
      </c>
      <c r="CG47" s="30"/>
      <c r="CH47" s="124"/>
      <c r="CI47" s="124"/>
      <c r="CJ47" s="86" t="str">
        <f t="shared" si="20"/>
        <v/>
      </c>
      <c r="CK47" s="30"/>
      <c r="CL47" s="124"/>
      <c r="CM47" s="124"/>
      <c r="CN47" s="86" t="str">
        <f t="shared" si="21"/>
        <v/>
      </c>
      <c r="CO47" s="30"/>
      <c r="CP47" s="124"/>
      <c r="CQ47" s="124"/>
      <c r="CR47" s="86" t="str">
        <f t="shared" si="22"/>
        <v/>
      </c>
      <c r="CS47" s="30"/>
      <c r="CT47" s="124"/>
      <c r="CU47" s="124"/>
      <c r="CV47" s="86" t="str">
        <f t="shared" si="23"/>
        <v/>
      </c>
      <c r="CW47" s="30"/>
      <c r="CX47" s="124"/>
      <c r="CY47" s="124"/>
      <c r="CZ47" s="86" t="str">
        <f t="shared" si="24"/>
        <v/>
      </c>
      <c r="DA47" s="30" t="s">
        <v>1</v>
      </c>
      <c r="DB47" s="90">
        <v>1977</v>
      </c>
      <c r="DC47" s="90">
        <v>778000</v>
      </c>
      <c r="DD47" s="86">
        <f t="shared" si="25"/>
        <v>393.52554375316134</v>
      </c>
    </row>
    <row r="48" spans="1:110" x14ac:dyDescent="0.3">
      <c r="A48" s="30" t="s">
        <v>216</v>
      </c>
      <c r="B48" s="30" t="s">
        <v>75</v>
      </c>
      <c r="F48" s="86" t="str">
        <f t="shared" si="0"/>
        <v/>
      </c>
      <c r="G48" s="30"/>
      <c r="H48" s="30"/>
      <c r="I48" s="30"/>
      <c r="J48" s="86" t="str">
        <f t="shared" si="1"/>
        <v/>
      </c>
      <c r="K48" s="30"/>
      <c r="L48" s="30"/>
      <c r="M48" s="30"/>
      <c r="N48" s="86" t="str">
        <f t="shared" si="2"/>
        <v/>
      </c>
      <c r="O48" s="30"/>
      <c r="P48" s="30"/>
      <c r="Q48" s="30"/>
      <c r="R48" s="86" t="str">
        <f t="shared" si="3"/>
        <v/>
      </c>
      <c r="S48" s="30"/>
      <c r="T48" s="124"/>
      <c r="U48" s="124"/>
      <c r="V48" s="86" t="str">
        <f t="shared" si="4"/>
        <v/>
      </c>
      <c r="W48" s="124"/>
      <c r="X48" s="124"/>
      <c r="Y48" s="86" t="str">
        <f t="shared" si="5"/>
        <v/>
      </c>
      <c r="Z48" s="30"/>
      <c r="AA48" s="30"/>
      <c r="AB48" s="30"/>
      <c r="AC48" s="30"/>
      <c r="AD48" s="124"/>
      <c r="AE48" s="124"/>
      <c r="AF48" s="86" t="str">
        <f t="shared" si="6"/>
        <v/>
      </c>
      <c r="AG48" s="30"/>
      <c r="AH48" s="124"/>
      <c r="AI48" s="124"/>
      <c r="AJ48" s="86" t="str">
        <f t="shared" si="7"/>
        <v/>
      </c>
      <c r="AK48" s="30"/>
      <c r="AL48" s="30"/>
      <c r="AM48" s="30"/>
      <c r="AN48" s="86" t="str">
        <f t="shared" si="8"/>
        <v/>
      </c>
      <c r="AO48" s="30"/>
      <c r="AP48" s="124"/>
      <c r="AQ48" s="124"/>
      <c r="AR48" s="86" t="str">
        <f t="shared" si="9"/>
        <v/>
      </c>
      <c r="AS48" s="30"/>
      <c r="AT48" s="124"/>
      <c r="AU48" s="124"/>
      <c r="AV48" s="86" t="str">
        <f t="shared" si="10"/>
        <v/>
      </c>
      <c r="AW48" s="30"/>
      <c r="AX48" s="124"/>
      <c r="AY48" s="124"/>
      <c r="AZ48" s="86" t="str">
        <f t="shared" si="11"/>
        <v/>
      </c>
      <c r="BA48" s="30"/>
      <c r="BB48" s="124"/>
      <c r="BC48" s="124"/>
      <c r="BD48" s="86" t="str">
        <f t="shared" si="12"/>
        <v/>
      </c>
      <c r="BE48" s="30"/>
      <c r="BF48" s="124"/>
      <c r="BG48" s="124"/>
      <c r="BH48" s="86" t="str">
        <f t="shared" si="13"/>
        <v/>
      </c>
      <c r="BI48" s="30"/>
      <c r="BJ48" s="124"/>
      <c r="BK48" s="124"/>
      <c r="BL48" s="86" t="str">
        <f t="shared" si="14"/>
        <v/>
      </c>
      <c r="BM48" s="30"/>
      <c r="BN48" s="124"/>
      <c r="BO48" s="124"/>
      <c r="BP48" s="86" t="str">
        <f t="shared" si="15"/>
        <v/>
      </c>
      <c r="BQ48" s="30"/>
      <c r="BR48" s="124"/>
      <c r="BS48" s="124"/>
      <c r="BT48" s="86" t="str">
        <f t="shared" si="16"/>
        <v/>
      </c>
      <c r="BU48" s="30"/>
      <c r="BV48" s="124"/>
      <c r="BW48" s="124"/>
      <c r="BX48" s="86" t="str">
        <f t="shared" si="17"/>
        <v/>
      </c>
      <c r="BY48" s="30"/>
      <c r="BZ48" s="124"/>
      <c r="CA48" s="124"/>
      <c r="CB48" s="86" t="str">
        <f t="shared" si="18"/>
        <v/>
      </c>
      <c r="CC48" s="30"/>
      <c r="CD48" s="124"/>
      <c r="CE48" s="124"/>
      <c r="CF48" s="86" t="str">
        <f t="shared" si="19"/>
        <v/>
      </c>
      <c r="CG48" s="30"/>
      <c r="CH48" s="124"/>
      <c r="CI48" s="124"/>
      <c r="CJ48" s="86" t="str">
        <f t="shared" si="20"/>
        <v/>
      </c>
      <c r="CK48" s="30"/>
      <c r="CL48" s="124"/>
      <c r="CM48" s="124"/>
      <c r="CN48" s="86" t="str">
        <f t="shared" si="21"/>
        <v/>
      </c>
      <c r="CO48" s="30"/>
      <c r="CP48" s="124"/>
      <c r="CQ48" s="124"/>
      <c r="CR48" s="86" t="str">
        <f t="shared" si="22"/>
        <v/>
      </c>
      <c r="CS48" s="30"/>
      <c r="CT48" s="124"/>
      <c r="CU48" s="124"/>
      <c r="CV48" s="86" t="str">
        <f t="shared" si="23"/>
        <v/>
      </c>
      <c r="CW48" s="30"/>
      <c r="CX48" s="124"/>
      <c r="CY48" s="124"/>
      <c r="CZ48" s="86" t="str">
        <f t="shared" si="24"/>
        <v/>
      </c>
      <c r="DA48" s="30" t="s">
        <v>1</v>
      </c>
      <c r="DB48" s="90">
        <v>725</v>
      </c>
      <c r="DC48" s="90">
        <v>288000</v>
      </c>
      <c r="DD48" s="86">
        <f t="shared" si="25"/>
        <v>397.24137931034483</v>
      </c>
    </row>
    <row r="49" spans="1:108" x14ac:dyDescent="0.3">
      <c r="A49" s="30" t="s">
        <v>240</v>
      </c>
      <c r="B49" s="30" t="s">
        <v>75</v>
      </c>
      <c r="F49" s="86" t="str">
        <f t="shared" si="0"/>
        <v/>
      </c>
      <c r="G49" s="30"/>
      <c r="H49" s="30"/>
      <c r="I49" s="30"/>
      <c r="J49" s="86" t="str">
        <f t="shared" si="1"/>
        <v/>
      </c>
      <c r="K49" s="30"/>
      <c r="L49" s="30"/>
      <c r="M49" s="30"/>
      <c r="N49" s="86" t="str">
        <f t="shared" si="2"/>
        <v/>
      </c>
      <c r="O49" s="30"/>
      <c r="P49" s="30"/>
      <c r="Q49" s="30"/>
      <c r="R49" s="86" t="str">
        <f t="shared" si="3"/>
        <v/>
      </c>
      <c r="S49" s="30"/>
      <c r="T49" s="124"/>
      <c r="U49" s="124"/>
      <c r="V49" s="86" t="str">
        <f t="shared" si="4"/>
        <v/>
      </c>
      <c r="W49" s="124"/>
      <c r="X49" s="124"/>
      <c r="Y49" s="86" t="str">
        <f t="shared" si="5"/>
        <v/>
      </c>
      <c r="Z49" s="30"/>
      <c r="AA49" s="30"/>
      <c r="AB49" s="30"/>
      <c r="AC49" s="30"/>
      <c r="AD49" s="124"/>
      <c r="AE49" s="124"/>
      <c r="AF49" s="86" t="str">
        <f t="shared" si="6"/>
        <v/>
      </c>
      <c r="AG49" s="30"/>
      <c r="AH49" s="124"/>
      <c r="AI49" s="124"/>
      <c r="AJ49" s="86" t="str">
        <f t="shared" si="7"/>
        <v/>
      </c>
      <c r="AK49" s="30"/>
      <c r="AL49" s="30"/>
      <c r="AM49" s="30"/>
      <c r="AN49" s="86" t="str">
        <f t="shared" si="8"/>
        <v/>
      </c>
      <c r="AO49" s="30"/>
      <c r="AP49" s="124"/>
      <c r="AQ49" s="124"/>
      <c r="AR49" s="86" t="str">
        <f t="shared" si="9"/>
        <v/>
      </c>
      <c r="AS49" s="30"/>
      <c r="AT49" s="124"/>
      <c r="AU49" s="124"/>
      <c r="AV49" s="86" t="str">
        <f t="shared" si="10"/>
        <v/>
      </c>
      <c r="AW49" s="30"/>
      <c r="AX49" s="124"/>
      <c r="AY49" s="124"/>
      <c r="AZ49" s="86" t="str">
        <f t="shared" si="11"/>
        <v/>
      </c>
      <c r="BA49" s="30"/>
      <c r="BB49" s="124"/>
      <c r="BC49" s="124"/>
      <c r="BD49" s="86" t="str">
        <f t="shared" si="12"/>
        <v/>
      </c>
      <c r="BE49" s="30"/>
      <c r="BF49" s="124"/>
      <c r="BG49" s="124"/>
      <c r="BH49" s="86" t="str">
        <f t="shared" si="13"/>
        <v/>
      </c>
      <c r="BI49" s="30"/>
      <c r="BJ49" s="124"/>
      <c r="BK49" s="124"/>
      <c r="BL49" s="86" t="str">
        <f t="shared" si="14"/>
        <v/>
      </c>
      <c r="BM49" s="30"/>
      <c r="BN49" s="124"/>
      <c r="BO49" s="124"/>
      <c r="BP49" s="86" t="str">
        <f t="shared" si="15"/>
        <v/>
      </c>
      <c r="BQ49" s="30"/>
      <c r="BR49" s="124"/>
      <c r="BS49" s="124"/>
      <c r="BT49" s="86" t="str">
        <f t="shared" si="16"/>
        <v/>
      </c>
      <c r="BU49" s="30"/>
      <c r="BV49" s="124"/>
      <c r="BW49" s="124"/>
      <c r="BX49" s="86" t="str">
        <f t="shared" si="17"/>
        <v/>
      </c>
      <c r="BY49" s="30"/>
      <c r="BZ49" s="124"/>
      <c r="CA49" s="124"/>
      <c r="CB49" s="86" t="str">
        <f t="shared" si="18"/>
        <v/>
      </c>
      <c r="CC49" s="30"/>
      <c r="CD49" s="124"/>
      <c r="CE49" s="124"/>
      <c r="CF49" s="86" t="str">
        <f t="shared" si="19"/>
        <v/>
      </c>
      <c r="CG49" s="30"/>
      <c r="CH49" s="124"/>
      <c r="CI49" s="124"/>
      <c r="CJ49" s="86" t="str">
        <f t="shared" si="20"/>
        <v/>
      </c>
      <c r="CK49" s="30"/>
      <c r="CL49" s="124"/>
      <c r="CM49" s="124"/>
      <c r="CN49" s="86" t="str">
        <f t="shared" si="21"/>
        <v/>
      </c>
      <c r="CO49" s="30"/>
      <c r="CP49" s="124"/>
      <c r="CQ49" s="124"/>
      <c r="CR49" s="86" t="str">
        <f t="shared" si="22"/>
        <v/>
      </c>
      <c r="CS49" s="30"/>
      <c r="CT49" s="124"/>
      <c r="CU49" s="124"/>
      <c r="CV49" s="86" t="str">
        <f t="shared" si="23"/>
        <v/>
      </c>
      <c r="CW49" s="30" t="s">
        <v>1</v>
      </c>
      <c r="CY49" s="90">
        <v>637000</v>
      </c>
      <c r="CZ49" s="86" t="str">
        <f t="shared" si="24"/>
        <v/>
      </c>
      <c r="DA49" s="70"/>
      <c r="DC49" s="90"/>
      <c r="DD49" s="86" t="str">
        <f t="shared" si="25"/>
        <v/>
      </c>
    </row>
    <row r="50" spans="1:108" x14ac:dyDescent="0.3">
      <c r="A50" s="30" t="s">
        <v>241</v>
      </c>
      <c r="B50" s="30" t="s">
        <v>75</v>
      </c>
      <c r="F50" s="86" t="str">
        <f t="shared" si="0"/>
        <v/>
      </c>
      <c r="G50" s="30"/>
      <c r="H50" s="30"/>
      <c r="I50" s="30"/>
      <c r="J50" s="86" t="str">
        <f t="shared" si="1"/>
        <v/>
      </c>
      <c r="K50" s="30"/>
      <c r="L50" s="30"/>
      <c r="M50" s="30"/>
      <c r="N50" s="86" t="str">
        <f t="shared" si="2"/>
        <v/>
      </c>
      <c r="O50" s="30"/>
      <c r="P50" s="30"/>
      <c r="Q50" s="30"/>
      <c r="R50" s="86" t="str">
        <f t="shared" si="3"/>
        <v/>
      </c>
      <c r="S50" s="30"/>
      <c r="T50" s="124"/>
      <c r="U50" s="124"/>
      <c r="V50" s="86" t="str">
        <f t="shared" si="4"/>
        <v/>
      </c>
      <c r="W50" s="124"/>
      <c r="X50" s="124"/>
      <c r="Y50" s="86" t="str">
        <f t="shared" si="5"/>
        <v/>
      </c>
      <c r="Z50" s="30"/>
      <c r="AA50" s="30"/>
      <c r="AB50" s="30"/>
      <c r="AC50" s="30"/>
      <c r="AD50" s="124"/>
      <c r="AE50" s="124"/>
      <c r="AF50" s="86" t="str">
        <f t="shared" si="6"/>
        <v/>
      </c>
      <c r="AG50" s="30"/>
      <c r="AH50" s="124"/>
      <c r="AI50" s="124"/>
      <c r="AJ50" s="86" t="str">
        <f t="shared" si="7"/>
        <v/>
      </c>
      <c r="AK50" s="30"/>
      <c r="AL50" s="30"/>
      <c r="AM50" s="30"/>
      <c r="AN50" s="86" t="str">
        <f t="shared" si="8"/>
        <v/>
      </c>
      <c r="AO50" s="30"/>
      <c r="AP50" s="124"/>
      <c r="AQ50" s="124"/>
      <c r="AR50" s="86" t="str">
        <f t="shared" si="9"/>
        <v/>
      </c>
      <c r="AS50" s="30"/>
      <c r="AT50" s="124"/>
      <c r="AU50" s="124"/>
      <c r="AV50" s="86" t="str">
        <f t="shared" si="10"/>
        <v/>
      </c>
      <c r="AW50" s="30"/>
      <c r="AX50" s="124"/>
      <c r="AY50" s="124"/>
      <c r="AZ50" s="86" t="str">
        <f t="shared" si="11"/>
        <v/>
      </c>
      <c r="BA50" s="30"/>
      <c r="BB50" s="124"/>
      <c r="BC50" s="124"/>
      <c r="BD50" s="86" t="str">
        <f t="shared" si="12"/>
        <v/>
      </c>
      <c r="BE50" s="30"/>
      <c r="BF50" s="124"/>
      <c r="BG50" s="124"/>
      <c r="BH50" s="86" t="str">
        <f t="shared" si="13"/>
        <v/>
      </c>
      <c r="BI50" s="30"/>
      <c r="BJ50" s="124"/>
      <c r="BK50" s="124"/>
      <c r="BL50" s="86" t="str">
        <f t="shared" si="14"/>
        <v/>
      </c>
      <c r="BM50" s="30"/>
      <c r="BN50" s="124"/>
      <c r="BO50" s="124"/>
      <c r="BP50" s="86" t="str">
        <f t="shared" si="15"/>
        <v/>
      </c>
      <c r="BQ50" s="30"/>
      <c r="BR50" s="124"/>
      <c r="BS50" s="124"/>
      <c r="BT50" s="86" t="str">
        <f t="shared" si="16"/>
        <v/>
      </c>
      <c r="BU50" s="30"/>
      <c r="BV50" s="124"/>
      <c r="BW50" s="124"/>
      <c r="BX50" s="86" t="str">
        <f t="shared" si="17"/>
        <v/>
      </c>
      <c r="BY50" s="30"/>
      <c r="BZ50" s="124"/>
      <c r="CA50" s="124"/>
      <c r="CB50" s="86" t="str">
        <f t="shared" si="18"/>
        <v/>
      </c>
      <c r="CC50" s="30"/>
      <c r="CD50" s="124"/>
      <c r="CE50" s="124"/>
      <c r="CF50" s="86" t="str">
        <f t="shared" si="19"/>
        <v/>
      </c>
      <c r="CG50" s="30"/>
      <c r="CH50" s="124"/>
      <c r="CI50" s="124"/>
      <c r="CJ50" s="86" t="str">
        <f t="shared" si="20"/>
        <v/>
      </c>
      <c r="CK50" s="30"/>
      <c r="CL50" s="124"/>
      <c r="CM50" s="124"/>
      <c r="CN50" s="86" t="str">
        <f t="shared" si="21"/>
        <v/>
      </c>
      <c r="CO50" s="30"/>
      <c r="CP50" s="124"/>
      <c r="CQ50" s="124"/>
      <c r="CR50" s="86" t="str">
        <f t="shared" si="22"/>
        <v/>
      </c>
      <c r="CS50" s="30"/>
      <c r="CT50" s="124"/>
      <c r="CU50" s="124"/>
      <c r="CV50" s="86" t="str">
        <f t="shared" si="23"/>
        <v/>
      </c>
      <c r="CW50" s="30" t="s">
        <v>1</v>
      </c>
      <c r="CX50" s="90">
        <v>26761</v>
      </c>
      <c r="CY50" s="90">
        <v>1046000</v>
      </c>
      <c r="CZ50" s="86">
        <f t="shared" si="24"/>
        <v>39.086730690183479</v>
      </c>
      <c r="DA50" s="70"/>
      <c r="DC50" s="90"/>
      <c r="DD50" s="86" t="str">
        <f t="shared" si="25"/>
        <v/>
      </c>
    </row>
    <row r="51" spans="1:108" x14ac:dyDescent="0.3">
      <c r="A51" s="30" t="s">
        <v>242</v>
      </c>
      <c r="B51" s="30" t="s">
        <v>75</v>
      </c>
      <c r="F51" s="86" t="str">
        <f t="shared" si="0"/>
        <v/>
      </c>
      <c r="G51" s="30"/>
      <c r="H51" s="30"/>
      <c r="I51" s="30"/>
      <c r="J51" s="86" t="str">
        <f t="shared" si="1"/>
        <v/>
      </c>
      <c r="K51" s="30"/>
      <c r="L51" s="30"/>
      <c r="M51" s="30"/>
      <c r="N51" s="86" t="str">
        <f t="shared" si="2"/>
        <v/>
      </c>
      <c r="O51" s="30"/>
      <c r="P51" s="30"/>
      <c r="Q51" s="30"/>
      <c r="R51" s="86" t="str">
        <f t="shared" si="3"/>
        <v/>
      </c>
      <c r="S51" s="30"/>
      <c r="T51" s="124"/>
      <c r="U51" s="124"/>
      <c r="V51" s="86" t="str">
        <f t="shared" si="4"/>
        <v/>
      </c>
      <c r="W51" s="124"/>
      <c r="X51" s="124"/>
      <c r="Y51" s="86" t="str">
        <f t="shared" si="5"/>
        <v/>
      </c>
      <c r="Z51" s="30"/>
      <c r="AA51" s="30"/>
      <c r="AB51" s="30"/>
      <c r="AC51" s="30"/>
      <c r="AD51" s="124"/>
      <c r="AE51" s="124"/>
      <c r="AF51" s="86" t="str">
        <f t="shared" si="6"/>
        <v/>
      </c>
      <c r="AG51" s="30"/>
      <c r="AH51" s="124"/>
      <c r="AI51" s="124"/>
      <c r="AJ51" s="86" t="str">
        <f t="shared" si="7"/>
        <v/>
      </c>
      <c r="AK51" s="30"/>
      <c r="AL51" s="30"/>
      <c r="AM51" s="30"/>
      <c r="AN51" s="86" t="str">
        <f t="shared" si="8"/>
        <v/>
      </c>
      <c r="AO51" s="30"/>
      <c r="AP51" s="124"/>
      <c r="AQ51" s="124"/>
      <c r="AR51" s="86" t="str">
        <f t="shared" si="9"/>
        <v/>
      </c>
      <c r="AS51" s="30"/>
      <c r="AT51" s="124"/>
      <c r="AU51" s="124"/>
      <c r="AV51" s="86" t="str">
        <f t="shared" si="10"/>
        <v/>
      </c>
      <c r="AW51" s="30"/>
      <c r="AX51" s="124"/>
      <c r="AY51" s="124"/>
      <c r="AZ51" s="86" t="str">
        <f t="shared" si="11"/>
        <v/>
      </c>
      <c r="BA51" s="30"/>
      <c r="BB51" s="124"/>
      <c r="BC51" s="124"/>
      <c r="BD51" s="86" t="str">
        <f t="shared" si="12"/>
        <v/>
      </c>
      <c r="BE51" s="30"/>
      <c r="BF51" s="124"/>
      <c r="BG51" s="124"/>
      <c r="BH51" s="86" t="str">
        <f t="shared" si="13"/>
        <v/>
      </c>
      <c r="BI51" s="30"/>
      <c r="BJ51" s="124"/>
      <c r="BK51" s="124"/>
      <c r="BL51" s="86" t="str">
        <f t="shared" si="14"/>
        <v/>
      </c>
      <c r="BM51" s="30"/>
      <c r="BN51" s="124"/>
      <c r="BO51" s="124"/>
      <c r="BP51" s="86" t="str">
        <f t="shared" si="15"/>
        <v/>
      </c>
      <c r="BQ51" s="30"/>
      <c r="BR51" s="124"/>
      <c r="BS51" s="124"/>
      <c r="BT51" s="86" t="str">
        <f t="shared" si="16"/>
        <v/>
      </c>
      <c r="BU51" s="30"/>
      <c r="BV51" s="124"/>
      <c r="BW51" s="124"/>
      <c r="BX51" s="86" t="str">
        <f t="shared" si="17"/>
        <v/>
      </c>
      <c r="BY51" s="30"/>
      <c r="BZ51" s="124"/>
      <c r="CA51" s="124"/>
      <c r="CB51" s="86" t="str">
        <f t="shared" si="18"/>
        <v/>
      </c>
      <c r="CC51" s="30"/>
      <c r="CD51" s="124"/>
      <c r="CE51" s="124"/>
      <c r="CF51" s="86" t="str">
        <f t="shared" si="19"/>
        <v/>
      </c>
      <c r="CG51" s="30"/>
      <c r="CH51" s="124"/>
      <c r="CI51" s="124"/>
      <c r="CJ51" s="86" t="str">
        <f t="shared" si="20"/>
        <v/>
      </c>
      <c r="CK51" s="30"/>
      <c r="CL51" s="124"/>
      <c r="CM51" s="124"/>
      <c r="CN51" s="86" t="str">
        <f t="shared" si="21"/>
        <v/>
      </c>
      <c r="CO51" s="30"/>
      <c r="CP51" s="124"/>
      <c r="CQ51" s="124"/>
      <c r="CR51" s="86" t="str">
        <f t="shared" si="22"/>
        <v/>
      </c>
      <c r="CS51" s="30"/>
      <c r="CT51" s="124"/>
      <c r="CU51" s="124"/>
      <c r="CV51" s="86" t="str">
        <f t="shared" si="23"/>
        <v/>
      </c>
      <c r="CW51" s="30" t="s">
        <v>1</v>
      </c>
      <c r="CX51" s="90">
        <v>334891</v>
      </c>
      <c r="CY51" s="90">
        <v>2046000</v>
      </c>
      <c r="CZ51" s="86">
        <f t="shared" si="24"/>
        <v>6.1094505376376196</v>
      </c>
      <c r="DA51" s="70"/>
      <c r="DC51" s="90"/>
      <c r="DD51" s="86" t="str">
        <f t="shared" si="25"/>
        <v/>
      </c>
    </row>
    <row r="52" spans="1:108" x14ac:dyDescent="0.3">
      <c r="A52" s="30" t="s">
        <v>243</v>
      </c>
      <c r="B52" s="30" t="s">
        <v>75</v>
      </c>
      <c r="F52" s="86" t="str">
        <f t="shared" si="0"/>
        <v/>
      </c>
      <c r="G52" s="30"/>
      <c r="H52" s="30"/>
      <c r="I52" s="30"/>
      <c r="J52" s="86" t="str">
        <f t="shared" si="1"/>
        <v/>
      </c>
      <c r="K52" s="30"/>
      <c r="L52" s="30"/>
      <c r="M52" s="30"/>
      <c r="N52" s="86" t="str">
        <f t="shared" si="2"/>
        <v/>
      </c>
      <c r="O52" s="30"/>
      <c r="P52" s="30"/>
      <c r="Q52" s="30"/>
      <c r="R52" s="86" t="str">
        <f t="shared" si="3"/>
        <v/>
      </c>
      <c r="S52" s="30"/>
      <c r="T52" s="124"/>
      <c r="U52" s="124"/>
      <c r="V52" s="86" t="str">
        <f t="shared" si="4"/>
        <v/>
      </c>
      <c r="W52" s="124"/>
      <c r="X52" s="124"/>
      <c r="Y52" s="86" t="str">
        <f t="shared" si="5"/>
        <v/>
      </c>
      <c r="Z52" s="30"/>
      <c r="AA52" s="30"/>
      <c r="AB52" s="30"/>
      <c r="AC52" s="30"/>
      <c r="AD52" s="124"/>
      <c r="AE52" s="124"/>
      <c r="AF52" s="86" t="str">
        <f t="shared" si="6"/>
        <v/>
      </c>
      <c r="AG52" s="30"/>
      <c r="AH52" s="124"/>
      <c r="AI52" s="124"/>
      <c r="AJ52" s="86" t="str">
        <f t="shared" si="7"/>
        <v/>
      </c>
      <c r="AK52" s="30"/>
      <c r="AL52" s="30"/>
      <c r="AM52" s="30"/>
      <c r="AN52" s="86" t="str">
        <f t="shared" si="8"/>
        <v/>
      </c>
      <c r="AO52" s="30"/>
      <c r="AP52" s="124"/>
      <c r="AQ52" s="124"/>
      <c r="AR52" s="86" t="str">
        <f t="shared" si="9"/>
        <v/>
      </c>
      <c r="AS52" s="30"/>
      <c r="AT52" s="124"/>
      <c r="AU52" s="124"/>
      <c r="AV52" s="86" t="str">
        <f t="shared" si="10"/>
        <v/>
      </c>
      <c r="AW52" s="30"/>
      <c r="AX52" s="124"/>
      <c r="AY52" s="124"/>
      <c r="AZ52" s="86" t="str">
        <f t="shared" si="11"/>
        <v/>
      </c>
      <c r="BA52" s="30"/>
      <c r="BB52" s="124"/>
      <c r="BC52" s="124"/>
      <c r="BD52" s="86" t="str">
        <f t="shared" si="12"/>
        <v/>
      </c>
      <c r="BE52" s="30"/>
      <c r="BF52" s="124"/>
      <c r="BG52" s="124"/>
      <c r="BH52" s="86" t="str">
        <f t="shared" si="13"/>
        <v/>
      </c>
      <c r="BI52" s="30"/>
      <c r="BJ52" s="124"/>
      <c r="BK52" s="124"/>
      <c r="BL52" s="86" t="str">
        <f t="shared" si="14"/>
        <v/>
      </c>
      <c r="BM52" s="30"/>
      <c r="BN52" s="124"/>
      <c r="BO52" s="124"/>
      <c r="BP52" s="86" t="str">
        <f t="shared" si="15"/>
        <v/>
      </c>
      <c r="BQ52" s="30"/>
      <c r="BR52" s="124"/>
      <c r="BS52" s="124"/>
      <c r="BT52" s="86" t="str">
        <f t="shared" si="16"/>
        <v/>
      </c>
      <c r="BU52" s="30"/>
      <c r="BV52" s="124"/>
      <c r="BW52" s="124"/>
      <c r="BX52" s="86" t="str">
        <f t="shared" si="17"/>
        <v/>
      </c>
      <c r="BY52" s="30"/>
      <c r="BZ52" s="124"/>
      <c r="CA52" s="124"/>
      <c r="CB52" s="86" t="str">
        <f t="shared" si="18"/>
        <v/>
      </c>
      <c r="CC52" s="30"/>
      <c r="CD52" s="124"/>
      <c r="CE52" s="124"/>
      <c r="CF52" s="86" t="str">
        <f t="shared" si="19"/>
        <v/>
      </c>
      <c r="CG52" s="30"/>
      <c r="CH52" s="124"/>
      <c r="CI52" s="124"/>
      <c r="CJ52" s="86" t="str">
        <f t="shared" si="20"/>
        <v/>
      </c>
      <c r="CK52" s="30"/>
      <c r="CL52" s="124"/>
      <c r="CM52" s="124"/>
      <c r="CN52" s="86" t="str">
        <f t="shared" si="21"/>
        <v/>
      </c>
      <c r="CO52" s="30"/>
      <c r="CP52" s="124"/>
      <c r="CQ52" s="124"/>
      <c r="CR52" s="86" t="str">
        <f t="shared" si="22"/>
        <v/>
      </c>
      <c r="CS52" s="30"/>
      <c r="CT52" s="124"/>
      <c r="CU52" s="124"/>
      <c r="CV52" s="86" t="str">
        <f t="shared" si="23"/>
        <v/>
      </c>
      <c r="CW52" s="30" t="s">
        <v>1</v>
      </c>
      <c r="CX52" s="90">
        <v>261447</v>
      </c>
      <c r="CY52" s="90">
        <v>4458000</v>
      </c>
      <c r="CZ52" s="86">
        <f t="shared" si="24"/>
        <v>17.051257042536346</v>
      </c>
      <c r="DA52" s="70"/>
      <c r="DC52" s="90"/>
      <c r="DD52" s="86" t="str">
        <f t="shared" si="25"/>
        <v/>
      </c>
    </row>
    <row r="53" spans="1:108" x14ac:dyDescent="0.3">
      <c r="A53" s="30" t="s">
        <v>244</v>
      </c>
      <c r="B53" s="30" t="s">
        <v>75</v>
      </c>
      <c r="F53" s="86" t="str">
        <f t="shared" si="0"/>
        <v/>
      </c>
      <c r="G53" s="30"/>
      <c r="H53" s="30"/>
      <c r="I53" s="30"/>
      <c r="J53" s="86" t="str">
        <f t="shared" si="1"/>
        <v/>
      </c>
      <c r="K53" s="30"/>
      <c r="L53" s="30"/>
      <c r="M53" s="30"/>
      <c r="N53" s="86" t="str">
        <f t="shared" si="2"/>
        <v/>
      </c>
      <c r="O53" s="30"/>
      <c r="P53" s="30"/>
      <c r="Q53" s="30"/>
      <c r="R53" s="86" t="str">
        <f t="shared" si="3"/>
        <v/>
      </c>
      <c r="S53" s="30"/>
      <c r="T53" s="124"/>
      <c r="U53" s="124"/>
      <c r="V53" s="86" t="str">
        <f t="shared" si="4"/>
        <v/>
      </c>
      <c r="W53" s="124"/>
      <c r="X53" s="124"/>
      <c r="Y53" s="86" t="str">
        <f t="shared" si="5"/>
        <v/>
      </c>
      <c r="Z53" s="30"/>
      <c r="AA53" s="30"/>
      <c r="AB53" s="30"/>
      <c r="AC53" s="30"/>
      <c r="AD53" s="124"/>
      <c r="AE53" s="124"/>
      <c r="AF53" s="86" t="str">
        <f t="shared" si="6"/>
        <v/>
      </c>
      <c r="AG53" s="30"/>
      <c r="AH53" s="124"/>
      <c r="AI53" s="124"/>
      <c r="AJ53" s="86" t="str">
        <f t="shared" si="7"/>
        <v/>
      </c>
      <c r="AK53" s="30"/>
      <c r="AL53" s="30"/>
      <c r="AM53" s="30"/>
      <c r="AN53" s="86" t="str">
        <f t="shared" si="8"/>
        <v/>
      </c>
      <c r="AO53" s="30"/>
      <c r="AP53" s="124"/>
      <c r="AQ53" s="124"/>
      <c r="AR53" s="86" t="str">
        <f t="shared" si="9"/>
        <v/>
      </c>
      <c r="AS53" s="30"/>
      <c r="AT53" s="124"/>
      <c r="AU53" s="124"/>
      <c r="AV53" s="86" t="str">
        <f t="shared" si="10"/>
        <v/>
      </c>
      <c r="AW53" s="30"/>
      <c r="AX53" s="124"/>
      <c r="AY53" s="124"/>
      <c r="AZ53" s="86" t="str">
        <f t="shared" si="11"/>
        <v/>
      </c>
      <c r="BA53" s="30"/>
      <c r="BB53" s="124"/>
      <c r="BC53" s="124"/>
      <c r="BD53" s="86" t="str">
        <f t="shared" si="12"/>
        <v/>
      </c>
      <c r="BE53" s="30"/>
      <c r="BF53" s="124"/>
      <c r="BG53" s="124"/>
      <c r="BH53" s="86" t="str">
        <f t="shared" si="13"/>
        <v/>
      </c>
      <c r="BI53" s="30"/>
      <c r="BJ53" s="124"/>
      <c r="BK53" s="124"/>
      <c r="BL53" s="86" t="str">
        <f t="shared" si="14"/>
        <v/>
      </c>
      <c r="BM53" s="30"/>
      <c r="BN53" s="124"/>
      <c r="BO53" s="124"/>
      <c r="BP53" s="86" t="str">
        <f t="shared" si="15"/>
        <v/>
      </c>
      <c r="BQ53" s="30"/>
      <c r="BR53" s="124"/>
      <c r="BS53" s="124"/>
      <c r="BT53" s="86" t="str">
        <f t="shared" si="16"/>
        <v/>
      </c>
      <c r="BU53" s="30"/>
      <c r="BV53" s="124"/>
      <c r="BW53" s="124"/>
      <c r="BX53" s="86" t="str">
        <f t="shared" si="17"/>
        <v/>
      </c>
      <c r="BY53" s="30"/>
      <c r="BZ53" s="124"/>
      <c r="CA53" s="124"/>
      <c r="CB53" s="86" t="str">
        <f t="shared" si="18"/>
        <v/>
      </c>
      <c r="CC53" s="30"/>
      <c r="CD53" s="124"/>
      <c r="CE53" s="124"/>
      <c r="CF53" s="86" t="str">
        <f t="shared" si="19"/>
        <v/>
      </c>
      <c r="CG53" s="30"/>
      <c r="CH53" s="124"/>
      <c r="CI53" s="124"/>
      <c r="CJ53" s="86" t="str">
        <f t="shared" si="20"/>
        <v/>
      </c>
      <c r="CK53" s="30"/>
      <c r="CL53" s="124"/>
      <c r="CM53" s="124"/>
      <c r="CN53" s="86" t="str">
        <f t="shared" si="21"/>
        <v/>
      </c>
      <c r="CO53" s="30"/>
      <c r="CP53" s="124"/>
      <c r="CQ53" s="124"/>
      <c r="CR53" s="86" t="str">
        <f t="shared" si="22"/>
        <v/>
      </c>
      <c r="CS53" s="30"/>
      <c r="CT53" s="124"/>
      <c r="CU53" s="124"/>
      <c r="CV53" s="86" t="str">
        <f t="shared" si="23"/>
        <v/>
      </c>
      <c r="CW53" s="30" t="s">
        <v>1</v>
      </c>
      <c r="CX53" s="90">
        <v>53625</v>
      </c>
      <c r="CY53" s="90">
        <v>311000</v>
      </c>
      <c r="CZ53" s="86">
        <f t="shared" si="24"/>
        <v>5.7995337995337994</v>
      </c>
      <c r="DA53" s="70"/>
      <c r="DC53" s="90"/>
      <c r="DD53" s="86" t="str">
        <f t="shared" si="25"/>
        <v/>
      </c>
    </row>
    <row r="54" spans="1:108" x14ac:dyDescent="0.3">
      <c r="A54" s="30" t="s">
        <v>246</v>
      </c>
      <c r="B54" s="30" t="s">
        <v>75</v>
      </c>
      <c r="F54" s="86" t="str">
        <f t="shared" si="0"/>
        <v/>
      </c>
      <c r="G54" s="30"/>
      <c r="H54" s="30"/>
      <c r="I54" s="30"/>
      <c r="J54" s="86" t="str">
        <f t="shared" si="1"/>
        <v/>
      </c>
      <c r="K54" s="30"/>
      <c r="L54" s="30"/>
      <c r="M54" s="30"/>
      <c r="N54" s="86" t="str">
        <f t="shared" si="2"/>
        <v/>
      </c>
      <c r="O54" s="30"/>
      <c r="P54" s="30"/>
      <c r="Q54" s="30"/>
      <c r="R54" s="86" t="str">
        <f t="shared" si="3"/>
        <v/>
      </c>
      <c r="S54" s="30"/>
      <c r="T54" s="124"/>
      <c r="U54" s="124"/>
      <c r="V54" s="86" t="str">
        <f t="shared" si="4"/>
        <v/>
      </c>
      <c r="W54" s="124"/>
      <c r="X54" s="124"/>
      <c r="Y54" s="86" t="str">
        <f t="shared" si="5"/>
        <v/>
      </c>
      <c r="Z54" s="30"/>
      <c r="AA54" s="30"/>
      <c r="AB54" s="30"/>
      <c r="AC54" s="30"/>
      <c r="AD54" s="124"/>
      <c r="AE54" s="124"/>
      <c r="AF54" s="86" t="str">
        <f t="shared" si="6"/>
        <v/>
      </c>
      <c r="AG54" s="30"/>
      <c r="AH54" s="124"/>
      <c r="AI54" s="124"/>
      <c r="AJ54" s="86" t="str">
        <f t="shared" si="7"/>
        <v/>
      </c>
      <c r="AK54" s="30"/>
      <c r="AL54" s="30"/>
      <c r="AM54" s="30"/>
      <c r="AN54" s="86" t="str">
        <f t="shared" si="8"/>
        <v/>
      </c>
      <c r="AO54" s="30"/>
      <c r="AP54" s="124"/>
      <c r="AQ54" s="124"/>
      <c r="AR54" s="86" t="str">
        <f t="shared" si="9"/>
        <v/>
      </c>
      <c r="AS54" s="30"/>
      <c r="AT54" s="124"/>
      <c r="AU54" s="124"/>
      <c r="AV54" s="86" t="str">
        <f t="shared" si="10"/>
        <v/>
      </c>
      <c r="AW54" s="30"/>
      <c r="AX54" s="124"/>
      <c r="AY54" s="124"/>
      <c r="AZ54" s="86" t="str">
        <f t="shared" si="11"/>
        <v/>
      </c>
      <c r="BA54" s="30"/>
      <c r="BB54" s="124"/>
      <c r="BC54" s="124"/>
      <c r="BD54" s="86" t="str">
        <f t="shared" si="12"/>
        <v/>
      </c>
      <c r="BE54" s="30"/>
      <c r="BF54" s="124"/>
      <c r="BG54" s="124"/>
      <c r="BH54" s="86" t="str">
        <f t="shared" si="13"/>
        <v/>
      </c>
      <c r="BI54" s="30"/>
      <c r="BJ54" s="124"/>
      <c r="BK54" s="124"/>
      <c r="BL54" s="86" t="str">
        <f t="shared" si="14"/>
        <v/>
      </c>
      <c r="BM54" s="30"/>
      <c r="BN54" s="124"/>
      <c r="BO54" s="124"/>
      <c r="BP54" s="86" t="str">
        <f t="shared" si="15"/>
        <v/>
      </c>
      <c r="BQ54" s="30"/>
      <c r="BR54" s="124"/>
      <c r="BS54" s="124"/>
      <c r="BT54" s="86" t="str">
        <f t="shared" si="16"/>
        <v/>
      </c>
      <c r="BU54" s="30"/>
      <c r="BV54" s="124"/>
      <c r="BW54" s="124"/>
      <c r="BX54" s="86" t="str">
        <f t="shared" si="17"/>
        <v/>
      </c>
      <c r="BY54" s="30"/>
      <c r="BZ54" s="124"/>
      <c r="CA54" s="124"/>
      <c r="CB54" s="86" t="str">
        <f t="shared" si="18"/>
        <v/>
      </c>
      <c r="CC54" s="30"/>
      <c r="CD54" s="124"/>
      <c r="CE54" s="124"/>
      <c r="CF54" s="86" t="str">
        <f t="shared" si="19"/>
        <v/>
      </c>
      <c r="CG54" s="30"/>
      <c r="CH54" s="124"/>
      <c r="CI54" s="124"/>
      <c r="CJ54" s="86" t="str">
        <f t="shared" si="20"/>
        <v/>
      </c>
      <c r="CK54" s="30"/>
      <c r="CL54" s="124"/>
      <c r="CM54" s="124"/>
      <c r="CN54" s="86" t="str">
        <f t="shared" si="21"/>
        <v/>
      </c>
      <c r="CO54" s="30"/>
      <c r="CP54" s="124"/>
      <c r="CQ54" s="124"/>
      <c r="CR54" s="86" t="str">
        <f t="shared" si="22"/>
        <v/>
      </c>
      <c r="CS54" s="30"/>
      <c r="CT54" s="124"/>
      <c r="CU54" s="124"/>
      <c r="CV54" s="86" t="str">
        <f t="shared" si="23"/>
        <v/>
      </c>
      <c r="CW54" s="30" t="s">
        <v>1</v>
      </c>
      <c r="CX54" s="90">
        <v>5346</v>
      </c>
      <c r="CY54" s="90">
        <v>230000</v>
      </c>
      <c r="CZ54" s="86">
        <f t="shared" si="24"/>
        <v>43.022820800598581</v>
      </c>
      <c r="DA54" s="70"/>
      <c r="DC54" s="90"/>
      <c r="DD54" s="86" t="str">
        <f t="shared" si="25"/>
        <v/>
      </c>
    </row>
    <row r="55" spans="1:108" x14ac:dyDescent="0.3">
      <c r="A55" s="30" t="s">
        <v>247</v>
      </c>
      <c r="B55" s="30" t="s">
        <v>75</v>
      </c>
      <c r="F55" s="86" t="str">
        <f t="shared" si="0"/>
        <v/>
      </c>
      <c r="G55" s="30"/>
      <c r="H55" s="30"/>
      <c r="I55" s="30"/>
      <c r="J55" s="86" t="str">
        <f t="shared" si="1"/>
        <v/>
      </c>
      <c r="K55" s="30"/>
      <c r="L55" s="30"/>
      <c r="M55" s="30"/>
      <c r="N55" s="86" t="str">
        <f t="shared" si="2"/>
        <v/>
      </c>
      <c r="O55" s="30"/>
      <c r="P55" s="30"/>
      <c r="Q55" s="30"/>
      <c r="R55" s="86" t="str">
        <f t="shared" si="3"/>
        <v/>
      </c>
      <c r="S55" s="30"/>
      <c r="T55" s="124"/>
      <c r="U55" s="124"/>
      <c r="V55" s="86" t="str">
        <f t="shared" si="4"/>
        <v/>
      </c>
      <c r="W55" s="124"/>
      <c r="X55" s="124"/>
      <c r="Y55" s="86" t="str">
        <f t="shared" si="5"/>
        <v/>
      </c>
      <c r="Z55" s="30"/>
      <c r="AA55" s="30"/>
      <c r="AB55" s="30"/>
      <c r="AC55" s="30"/>
      <c r="AD55" s="124"/>
      <c r="AE55" s="124"/>
      <c r="AF55" s="86" t="str">
        <f t="shared" si="6"/>
        <v/>
      </c>
      <c r="AG55" s="30"/>
      <c r="AH55" s="124"/>
      <c r="AI55" s="124"/>
      <c r="AJ55" s="86" t="str">
        <f t="shared" si="7"/>
        <v/>
      </c>
      <c r="AK55" s="30"/>
      <c r="AL55" s="30"/>
      <c r="AM55" s="30"/>
      <c r="AN55" s="86" t="str">
        <f t="shared" si="8"/>
        <v/>
      </c>
      <c r="AO55" s="30"/>
      <c r="AP55" s="124"/>
      <c r="AQ55" s="124"/>
      <c r="AR55" s="86" t="str">
        <f t="shared" si="9"/>
        <v/>
      </c>
      <c r="AS55" s="30"/>
      <c r="AT55" s="124"/>
      <c r="AU55" s="124"/>
      <c r="AV55" s="86" t="str">
        <f t="shared" si="10"/>
        <v/>
      </c>
      <c r="AW55" s="30"/>
      <c r="AX55" s="124"/>
      <c r="AY55" s="124"/>
      <c r="AZ55" s="86" t="str">
        <f t="shared" si="11"/>
        <v/>
      </c>
      <c r="BA55" s="30"/>
      <c r="BB55" s="124"/>
      <c r="BC55" s="124"/>
      <c r="BD55" s="86" t="str">
        <f t="shared" si="12"/>
        <v/>
      </c>
      <c r="BE55" s="30"/>
      <c r="BF55" s="124"/>
      <c r="BG55" s="124"/>
      <c r="BH55" s="86" t="str">
        <f t="shared" si="13"/>
        <v/>
      </c>
      <c r="BI55" s="30"/>
      <c r="BJ55" s="124"/>
      <c r="BK55" s="124"/>
      <c r="BL55" s="86" t="str">
        <f t="shared" si="14"/>
        <v/>
      </c>
      <c r="BM55" s="30"/>
      <c r="BN55" s="124"/>
      <c r="BO55" s="124"/>
      <c r="BP55" s="86" t="str">
        <f t="shared" si="15"/>
        <v/>
      </c>
      <c r="BQ55" s="30"/>
      <c r="BR55" s="124"/>
      <c r="BS55" s="124"/>
      <c r="BT55" s="86" t="str">
        <f t="shared" si="16"/>
        <v/>
      </c>
      <c r="BU55" s="30"/>
      <c r="BV55" s="124"/>
      <c r="BW55" s="124"/>
      <c r="BX55" s="86" t="str">
        <f t="shared" si="17"/>
        <v/>
      </c>
      <c r="BY55" s="30"/>
      <c r="BZ55" s="124"/>
      <c r="CA55" s="124"/>
      <c r="CB55" s="86" t="str">
        <f t="shared" si="18"/>
        <v/>
      </c>
      <c r="CC55" s="30"/>
      <c r="CD55" s="124"/>
      <c r="CE55" s="124"/>
      <c r="CF55" s="86" t="str">
        <f t="shared" si="19"/>
        <v/>
      </c>
      <c r="CG55" s="30"/>
      <c r="CH55" s="124"/>
      <c r="CI55" s="124"/>
      <c r="CJ55" s="86" t="str">
        <f t="shared" si="20"/>
        <v/>
      </c>
      <c r="CK55" s="30"/>
      <c r="CL55" s="124"/>
      <c r="CM55" s="124"/>
      <c r="CN55" s="86" t="str">
        <f t="shared" si="21"/>
        <v/>
      </c>
      <c r="CO55" s="30"/>
      <c r="CP55" s="124"/>
      <c r="CQ55" s="124"/>
      <c r="CR55" s="86" t="str">
        <f t="shared" si="22"/>
        <v/>
      </c>
      <c r="CS55" s="30"/>
      <c r="CT55" s="124"/>
      <c r="CU55" s="124"/>
      <c r="CV55" s="86" t="str">
        <f t="shared" si="23"/>
        <v/>
      </c>
      <c r="CW55" s="30" t="s">
        <v>1</v>
      </c>
      <c r="CX55" s="90">
        <v>3703</v>
      </c>
      <c r="CY55" s="90">
        <v>102000</v>
      </c>
      <c r="CZ55" s="86">
        <f t="shared" si="24"/>
        <v>27.545233594382932</v>
      </c>
      <c r="DA55" s="70"/>
      <c r="DC55" s="90"/>
      <c r="DD55" s="86" t="str">
        <f t="shared" si="25"/>
        <v/>
      </c>
    </row>
    <row r="56" spans="1:108" x14ac:dyDescent="0.3">
      <c r="A56" s="30" t="s">
        <v>249</v>
      </c>
      <c r="B56" s="30" t="s">
        <v>75</v>
      </c>
      <c r="F56" s="86" t="str">
        <f t="shared" si="0"/>
        <v/>
      </c>
      <c r="G56" s="30"/>
      <c r="H56" s="30"/>
      <c r="I56" s="30"/>
      <c r="J56" s="86" t="str">
        <f t="shared" si="1"/>
        <v/>
      </c>
      <c r="K56" s="30"/>
      <c r="L56" s="30"/>
      <c r="M56" s="30"/>
      <c r="N56" s="86" t="str">
        <f t="shared" si="2"/>
        <v/>
      </c>
      <c r="O56" s="30"/>
      <c r="P56" s="30"/>
      <c r="Q56" s="30"/>
      <c r="R56" s="86" t="str">
        <f t="shared" si="3"/>
        <v/>
      </c>
      <c r="S56" s="30"/>
      <c r="T56" s="124"/>
      <c r="U56" s="124"/>
      <c r="V56" s="86" t="str">
        <f t="shared" si="4"/>
        <v/>
      </c>
      <c r="W56" s="124"/>
      <c r="X56" s="124"/>
      <c r="Y56" s="86" t="str">
        <f t="shared" si="5"/>
        <v/>
      </c>
      <c r="Z56" s="30"/>
      <c r="AA56" s="30"/>
      <c r="AB56" s="30"/>
      <c r="AC56" s="30"/>
      <c r="AD56" s="124"/>
      <c r="AE56" s="124"/>
      <c r="AF56" s="86" t="str">
        <f t="shared" si="6"/>
        <v/>
      </c>
      <c r="AG56" s="30"/>
      <c r="AH56" s="124"/>
      <c r="AI56" s="124"/>
      <c r="AJ56" s="86" t="str">
        <f t="shared" si="7"/>
        <v/>
      </c>
      <c r="AK56" s="30"/>
      <c r="AL56" s="30"/>
      <c r="AM56" s="30"/>
      <c r="AN56" s="86" t="str">
        <f t="shared" si="8"/>
        <v/>
      </c>
      <c r="AO56" s="30"/>
      <c r="AP56" s="124"/>
      <c r="AQ56" s="124"/>
      <c r="AR56" s="86" t="str">
        <f t="shared" si="9"/>
        <v/>
      </c>
      <c r="AS56" s="30"/>
      <c r="AT56" s="124"/>
      <c r="AU56" s="124"/>
      <c r="AV56" s="86" t="str">
        <f t="shared" si="10"/>
        <v/>
      </c>
      <c r="AW56" s="30"/>
      <c r="AX56" s="124"/>
      <c r="AY56" s="124"/>
      <c r="AZ56" s="86" t="str">
        <f t="shared" si="11"/>
        <v/>
      </c>
      <c r="BA56" s="30"/>
      <c r="BB56" s="124"/>
      <c r="BC56" s="124"/>
      <c r="BD56" s="86" t="str">
        <f t="shared" si="12"/>
        <v/>
      </c>
      <c r="BE56" s="30"/>
      <c r="BF56" s="124"/>
      <c r="BG56" s="124"/>
      <c r="BH56" s="86" t="str">
        <f t="shared" si="13"/>
        <v/>
      </c>
      <c r="BI56" s="30"/>
      <c r="BJ56" s="124"/>
      <c r="BK56" s="124"/>
      <c r="BL56" s="86" t="str">
        <f t="shared" si="14"/>
        <v/>
      </c>
      <c r="BM56" s="30"/>
      <c r="BN56" s="124"/>
      <c r="BO56" s="124"/>
      <c r="BP56" s="86" t="str">
        <f t="shared" si="15"/>
        <v/>
      </c>
      <c r="BQ56" s="30"/>
      <c r="BR56" s="124"/>
      <c r="BS56" s="124"/>
      <c r="BT56" s="86" t="str">
        <f t="shared" si="16"/>
        <v/>
      </c>
      <c r="BU56" s="30"/>
      <c r="BV56" s="124"/>
      <c r="BW56" s="124"/>
      <c r="BX56" s="86" t="str">
        <f t="shared" si="17"/>
        <v/>
      </c>
      <c r="BY56" s="30"/>
      <c r="BZ56" s="124"/>
      <c r="CA56" s="124"/>
      <c r="CB56" s="86" t="str">
        <f t="shared" si="18"/>
        <v/>
      </c>
      <c r="CC56" s="30"/>
      <c r="CD56" s="124"/>
      <c r="CE56" s="124"/>
      <c r="CF56" s="86" t="str">
        <f t="shared" si="19"/>
        <v/>
      </c>
      <c r="CG56" s="30"/>
      <c r="CH56" s="124"/>
      <c r="CI56" s="124"/>
      <c r="CJ56" s="86" t="str">
        <f t="shared" si="20"/>
        <v/>
      </c>
      <c r="CK56" s="30"/>
      <c r="CL56" s="124"/>
      <c r="CM56" s="124"/>
      <c r="CN56" s="86" t="str">
        <f t="shared" si="21"/>
        <v/>
      </c>
      <c r="CO56" s="30"/>
      <c r="CP56" s="124"/>
      <c r="CQ56" s="124"/>
      <c r="CR56" s="86" t="str">
        <f t="shared" si="22"/>
        <v/>
      </c>
      <c r="CS56" s="30"/>
      <c r="CT56" s="124"/>
      <c r="CU56" s="124"/>
      <c r="CV56" s="86" t="str">
        <f t="shared" si="23"/>
        <v/>
      </c>
      <c r="CW56" s="30" t="s">
        <v>1</v>
      </c>
      <c r="CX56" s="90">
        <v>555</v>
      </c>
      <c r="CY56" s="90">
        <v>13000</v>
      </c>
      <c r="CZ56" s="86">
        <f t="shared" si="24"/>
        <v>23.423423423423422</v>
      </c>
      <c r="DA56" s="70"/>
      <c r="DC56" s="90"/>
      <c r="DD56" s="86" t="str">
        <f t="shared" si="25"/>
        <v/>
      </c>
    </row>
    <row r="57" spans="1:108" x14ac:dyDescent="0.3">
      <c r="A57" s="30" t="s">
        <v>248</v>
      </c>
      <c r="B57" s="30" t="s">
        <v>75</v>
      </c>
      <c r="F57" s="86" t="str">
        <f t="shared" si="0"/>
        <v/>
      </c>
      <c r="G57" s="30"/>
      <c r="H57" s="30"/>
      <c r="I57" s="30"/>
      <c r="J57" s="86" t="str">
        <f t="shared" si="1"/>
        <v/>
      </c>
      <c r="K57" s="30"/>
      <c r="L57" s="30"/>
      <c r="M57" s="30"/>
      <c r="N57" s="86" t="str">
        <f t="shared" si="2"/>
        <v/>
      </c>
      <c r="O57" s="30"/>
      <c r="P57" s="30"/>
      <c r="Q57" s="30"/>
      <c r="R57" s="86" t="str">
        <f t="shared" si="3"/>
        <v/>
      </c>
      <c r="S57" s="30"/>
      <c r="T57" s="124"/>
      <c r="U57" s="124"/>
      <c r="V57" s="86" t="str">
        <f t="shared" si="4"/>
        <v/>
      </c>
      <c r="W57" s="124"/>
      <c r="X57" s="124"/>
      <c r="Y57" s="86" t="str">
        <f t="shared" si="5"/>
        <v/>
      </c>
      <c r="Z57" s="30"/>
      <c r="AA57" s="30"/>
      <c r="AB57" s="30"/>
      <c r="AC57" s="30"/>
      <c r="AD57" s="124"/>
      <c r="AE57" s="124"/>
      <c r="AF57" s="86" t="str">
        <f t="shared" si="6"/>
        <v/>
      </c>
      <c r="AG57" s="30"/>
      <c r="AH57" s="124"/>
      <c r="AI57" s="124"/>
      <c r="AJ57" s="86" t="str">
        <f t="shared" si="7"/>
        <v/>
      </c>
      <c r="AK57" s="30"/>
      <c r="AL57" s="30"/>
      <c r="AM57" s="30"/>
      <c r="AN57" s="86" t="str">
        <f t="shared" si="8"/>
        <v/>
      </c>
      <c r="AO57" s="30"/>
      <c r="AP57" s="124"/>
      <c r="AQ57" s="124"/>
      <c r="AR57" s="86" t="str">
        <f t="shared" si="9"/>
        <v/>
      </c>
      <c r="AS57" s="30"/>
      <c r="AT57" s="124"/>
      <c r="AU57" s="124"/>
      <c r="AV57" s="86" t="str">
        <f t="shared" si="10"/>
        <v/>
      </c>
      <c r="AW57" s="30"/>
      <c r="AX57" s="124"/>
      <c r="AY57" s="124"/>
      <c r="AZ57" s="86" t="str">
        <f t="shared" si="11"/>
        <v/>
      </c>
      <c r="BA57" s="30"/>
      <c r="BB57" s="124"/>
      <c r="BC57" s="124"/>
      <c r="BD57" s="86" t="str">
        <f t="shared" si="12"/>
        <v/>
      </c>
      <c r="BE57" s="30"/>
      <c r="BF57" s="124"/>
      <c r="BG57" s="124"/>
      <c r="BH57" s="86" t="str">
        <f t="shared" si="13"/>
        <v/>
      </c>
      <c r="BI57" s="30"/>
      <c r="BJ57" s="124"/>
      <c r="BK57" s="124"/>
      <c r="BL57" s="86" t="str">
        <f t="shared" si="14"/>
        <v/>
      </c>
      <c r="BM57" s="30"/>
      <c r="BN57" s="124"/>
      <c r="BO57" s="124"/>
      <c r="BP57" s="86" t="str">
        <f t="shared" si="15"/>
        <v/>
      </c>
      <c r="BQ57" s="30"/>
      <c r="BR57" s="124"/>
      <c r="BS57" s="124"/>
      <c r="BT57" s="86" t="str">
        <f t="shared" si="16"/>
        <v/>
      </c>
      <c r="BU57" s="30"/>
      <c r="BV57" s="124"/>
      <c r="BW57" s="124"/>
      <c r="BX57" s="86" t="str">
        <f t="shared" si="17"/>
        <v/>
      </c>
      <c r="BY57" s="30"/>
      <c r="BZ57" s="124"/>
      <c r="CA57" s="124"/>
      <c r="CB57" s="86" t="str">
        <f t="shared" si="18"/>
        <v/>
      </c>
      <c r="CC57" s="30"/>
      <c r="CD57" s="124"/>
      <c r="CE57" s="124"/>
      <c r="CF57" s="86" t="str">
        <f t="shared" si="19"/>
        <v/>
      </c>
      <c r="CG57" s="30"/>
      <c r="CH57" s="124"/>
      <c r="CI57" s="124"/>
      <c r="CJ57" s="86" t="str">
        <f t="shared" si="20"/>
        <v/>
      </c>
      <c r="CK57" s="30"/>
      <c r="CL57" s="124"/>
      <c r="CM57" s="124"/>
      <c r="CN57" s="86" t="str">
        <f t="shared" si="21"/>
        <v/>
      </c>
      <c r="CO57" s="30"/>
      <c r="CP57" s="124"/>
      <c r="CQ57" s="124"/>
      <c r="CR57" s="86" t="str">
        <f t="shared" si="22"/>
        <v/>
      </c>
      <c r="CS57" s="30"/>
      <c r="CT57" s="124"/>
      <c r="CU57" s="124"/>
      <c r="CV57" s="86" t="str">
        <f t="shared" si="23"/>
        <v/>
      </c>
      <c r="CW57" s="30" t="s">
        <v>1</v>
      </c>
      <c r="CX57" s="90">
        <v>23030</v>
      </c>
      <c r="CY57" s="90">
        <v>964000</v>
      </c>
      <c r="CZ57" s="86">
        <f t="shared" si="24"/>
        <v>41.858445505861923</v>
      </c>
      <c r="DA57" s="70"/>
      <c r="DC57" s="90"/>
      <c r="DD57" s="86" t="str">
        <f t="shared" si="25"/>
        <v/>
      </c>
    </row>
    <row r="58" spans="1:108" x14ac:dyDescent="0.3">
      <c r="A58" s="30" t="s">
        <v>250</v>
      </c>
      <c r="B58" s="30" t="s">
        <v>75</v>
      </c>
      <c r="F58" s="86" t="str">
        <f t="shared" si="0"/>
        <v/>
      </c>
      <c r="G58" s="30"/>
      <c r="H58" s="30"/>
      <c r="I58" s="30"/>
      <c r="J58" s="86" t="str">
        <f t="shared" si="1"/>
        <v/>
      </c>
      <c r="K58" s="30"/>
      <c r="L58" s="30"/>
      <c r="M58" s="30"/>
      <c r="N58" s="86" t="str">
        <f t="shared" si="2"/>
        <v/>
      </c>
      <c r="O58" s="30"/>
      <c r="P58" s="30"/>
      <c r="Q58" s="30"/>
      <c r="R58" s="86" t="str">
        <f t="shared" si="3"/>
        <v/>
      </c>
      <c r="S58" s="30"/>
      <c r="T58" s="124"/>
      <c r="U58" s="124"/>
      <c r="V58" s="86" t="str">
        <f t="shared" si="4"/>
        <v/>
      </c>
      <c r="W58" s="124"/>
      <c r="X58" s="124"/>
      <c r="Y58" s="86" t="str">
        <f t="shared" si="5"/>
        <v/>
      </c>
      <c r="Z58" s="30"/>
      <c r="AA58" s="30"/>
      <c r="AB58" s="30"/>
      <c r="AC58" s="30"/>
      <c r="AD58" s="124"/>
      <c r="AE58" s="124"/>
      <c r="AF58" s="86" t="str">
        <f t="shared" si="6"/>
        <v/>
      </c>
      <c r="AG58" s="30"/>
      <c r="AH58" s="124"/>
      <c r="AI58" s="124"/>
      <c r="AJ58" s="86" t="str">
        <f t="shared" si="7"/>
        <v/>
      </c>
      <c r="AK58" s="30"/>
      <c r="AL58" s="30"/>
      <c r="AM58" s="30"/>
      <c r="AN58" s="86" t="str">
        <f t="shared" si="8"/>
        <v/>
      </c>
      <c r="AO58" s="30"/>
      <c r="AP58" s="124"/>
      <c r="AQ58" s="124"/>
      <c r="AR58" s="86" t="str">
        <f t="shared" si="9"/>
        <v/>
      </c>
      <c r="AS58" s="30"/>
      <c r="AT58" s="124"/>
      <c r="AU58" s="124"/>
      <c r="AV58" s="86" t="str">
        <f t="shared" si="10"/>
        <v/>
      </c>
      <c r="AW58" s="30"/>
      <c r="AX58" s="124"/>
      <c r="AY58" s="124"/>
      <c r="AZ58" s="86" t="str">
        <f t="shared" si="11"/>
        <v/>
      </c>
      <c r="BA58" s="30"/>
      <c r="BB58" s="124"/>
      <c r="BC58" s="124"/>
      <c r="BD58" s="86" t="str">
        <f t="shared" si="12"/>
        <v/>
      </c>
      <c r="BE58" s="30"/>
      <c r="BF58" s="124"/>
      <c r="BG58" s="124"/>
      <c r="BH58" s="86" t="str">
        <f t="shared" si="13"/>
        <v/>
      </c>
      <c r="BI58" s="30"/>
      <c r="BJ58" s="124"/>
      <c r="BK58" s="124"/>
      <c r="BL58" s="86" t="str">
        <f t="shared" si="14"/>
        <v/>
      </c>
      <c r="BM58" s="30"/>
      <c r="BN58" s="124"/>
      <c r="BO58" s="124"/>
      <c r="BP58" s="86" t="str">
        <f t="shared" si="15"/>
        <v/>
      </c>
      <c r="BQ58" s="30"/>
      <c r="BR58" s="124"/>
      <c r="BS58" s="124"/>
      <c r="BT58" s="86" t="str">
        <f t="shared" si="16"/>
        <v/>
      </c>
      <c r="BU58" s="30"/>
      <c r="BV58" s="124"/>
      <c r="BW58" s="124"/>
      <c r="BX58" s="86" t="str">
        <f t="shared" si="17"/>
        <v/>
      </c>
      <c r="BY58" s="30"/>
      <c r="BZ58" s="124"/>
      <c r="CA58" s="124"/>
      <c r="CB58" s="86" t="str">
        <f t="shared" si="18"/>
        <v/>
      </c>
      <c r="CC58" s="30"/>
      <c r="CD58" s="124"/>
      <c r="CE58" s="124"/>
      <c r="CF58" s="86" t="str">
        <f t="shared" si="19"/>
        <v/>
      </c>
      <c r="CG58" s="30"/>
      <c r="CH58" s="124"/>
      <c r="CI58" s="124"/>
      <c r="CJ58" s="86" t="str">
        <f t="shared" si="20"/>
        <v/>
      </c>
      <c r="CK58" s="30"/>
      <c r="CL58" s="124"/>
      <c r="CM58" s="124"/>
      <c r="CN58" s="86" t="str">
        <f t="shared" si="21"/>
        <v/>
      </c>
      <c r="CO58" s="30"/>
      <c r="CP58" s="124"/>
      <c r="CQ58" s="124"/>
      <c r="CR58" s="86" t="str">
        <f t="shared" si="22"/>
        <v/>
      </c>
      <c r="CS58" s="30"/>
      <c r="CT58" s="124"/>
      <c r="CU58" s="124"/>
      <c r="CV58" s="86" t="str">
        <f t="shared" si="23"/>
        <v/>
      </c>
      <c r="CW58" s="30" t="s">
        <v>1</v>
      </c>
      <c r="CX58" s="90">
        <v>227303</v>
      </c>
      <c r="CY58" s="90">
        <v>514000</v>
      </c>
      <c r="CZ58" s="86">
        <f t="shared" si="24"/>
        <v>2.2612987950005059</v>
      </c>
      <c r="DA58" s="70"/>
      <c r="DC58" s="90"/>
      <c r="DD58" s="86" t="str">
        <f t="shared" si="25"/>
        <v/>
      </c>
    </row>
    <row r="59" spans="1:108" x14ac:dyDescent="0.3">
      <c r="A59" s="30" t="s">
        <v>251</v>
      </c>
      <c r="B59" s="30" t="s">
        <v>75</v>
      </c>
      <c r="F59" s="86" t="str">
        <f t="shared" si="0"/>
        <v/>
      </c>
      <c r="G59" s="30"/>
      <c r="H59" s="30"/>
      <c r="I59" s="30"/>
      <c r="J59" s="86" t="str">
        <f t="shared" si="1"/>
        <v/>
      </c>
      <c r="K59" s="30"/>
      <c r="L59" s="30"/>
      <c r="M59" s="30"/>
      <c r="N59" s="86" t="str">
        <f t="shared" si="2"/>
        <v/>
      </c>
      <c r="O59" s="30"/>
      <c r="P59" s="30"/>
      <c r="Q59" s="30"/>
      <c r="R59" s="86" t="str">
        <f t="shared" si="3"/>
        <v/>
      </c>
      <c r="S59" s="30"/>
      <c r="T59" s="124"/>
      <c r="U59" s="124"/>
      <c r="V59" s="86" t="str">
        <f t="shared" si="4"/>
        <v/>
      </c>
      <c r="W59" s="124"/>
      <c r="X59" s="124"/>
      <c r="Y59" s="86" t="str">
        <f t="shared" si="5"/>
        <v/>
      </c>
      <c r="Z59" s="30"/>
      <c r="AA59" s="30"/>
      <c r="AB59" s="30"/>
      <c r="AC59" s="30"/>
      <c r="AD59" s="124"/>
      <c r="AE59" s="124"/>
      <c r="AF59" s="86" t="str">
        <f t="shared" si="6"/>
        <v/>
      </c>
      <c r="AG59" s="30"/>
      <c r="AH59" s="124"/>
      <c r="AI59" s="124"/>
      <c r="AJ59" s="86" t="str">
        <f t="shared" si="7"/>
        <v/>
      </c>
      <c r="AK59" s="30"/>
      <c r="AL59" s="30"/>
      <c r="AM59" s="30"/>
      <c r="AN59" s="86" t="str">
        <f t="shared" si="8"/>
        <v/>
      </c>
      <c r="AO59" s="30"/>
      <c r="AP59" s="124"/>
      <c r="AQ59" s="124"/>
      <c r="AR59" s="86" t="str">
        <f t="shared" si="9"/>
        <v/>
      </c>
      <c r="AS59" s="30"/>
      <c r="AT59" s="124"/>
      <c r="AU59" s="124"/>
      <c r="AV59" s="86" t="str">
        <f t="shared" si="10"/>
        <v/>
      </c>
      <c r="AW59" s="30"/>
      <c r="AX59" s="124"/>
      <c r="AY59" s="124"/>
      <c r="AZ59" s="86" t="str">
        <f t="shared" si="11"/>
        <v/>
      </c>
      <c r="BA59" s="30"/>
      <c r="BB59" s="124"/>
      <c r="BC59" s="124"/>
      <c r="BD59" s="86" t="str">
        <f t="shared" si="12"/>
        <v/>
      </c>
      <c r="BE59" s="30"/>
      <c r="BF59" s="124"/>
      <c r="BG59" s="124"/>
      <c r="BH59" s="86" t="str">
        <f t="shared" si="13"/>
        <v/>
      </c>
      <c r="BI59" s="30"/>
      <c r="BJ59" s="124"/>
      <c r="BK59" s="124"/>
      <c r="BL59" s="86" t="str">
        <f t="shared" si="14"/>
        <v/>
      </c>
      <c r="BM59" s="30"/>
      <c r="BN59" s="124"/>
      <c r="BO59" s="124"/>
      <c r="BP59" s="86" t="str">
        <f t="shared" si="15"/>
        <v/>
      </c>
      <c r="BQ59" s="30"/>
      <c r="BR59" s="124"/>
      <c r="BS59" s="124"/>
      <c r="BT59" s="86" t="str">
        <f t="shared" si="16"/>
        <v/>
      </c>
      <c r="BU59" s="30"/>
      <c r="BV59" s="124"/>
      <c r="BW59" s="124"/>
      <c r="BX59" s="86" t="str">
        <f t="shared" si="17"/>
        <v/>
      </c>
      <c r="BY59" s="30"/>
      <c r="BZ59" s="124"/>
      <c r="CA59" s="124"/>
      <c r="CB59" s="86" t="str">
        <f t="shared" si="18"/>
        <v/>
      </c>
      <c r="CC59" s="30"/>
      <c r="CD59" s="124"/>
      <c r="CE59" s="124"/>
      <c r="CF59" s="86" t="str">
        <f t="shared" si="19"/>
        <v/>
      </c>
      <c r="CG59" s="30"/>
      <c r="CH59" s="124"/>
      <c r="CI59" s="124"/>
      <c r="CJ59" s="86" t="str">
        <f t="shared" si="20"/>
        <v/>
      </c>
      <c r="CK59" s="30"/>
      <c r="CL59" s="124"/>
      <c r="CM59" s="124"/>
      <c r="CN59" s="86" t="str">
        <f t="shared" si="21"/>
        <v/>
      </c>
      <c r="CO59" s="30"/>
      <c r="CP59" s="124"/>
      <c r="CQ59" s="124"/>
      <c r="CR59" s="86" t="str">
        <f t="shared" si="22"/>
        <v/>
      </c>
      <c r="CS59" s="30"/>
      <c r="CT59" s="124"/>
      <c r="CU59" s="124"/>
      <c r="CV59" s="86" t="str">
        <f t="shared" si="23"/>
        <v/>
      </c>
      <c r="CW59" s="30" t="s">
        <v>1</v>
      </c>
      <c r="CX59" s="90">
        <v>78242</v>
      </c>
      <c r="CY59" s="90">
        <v>724000</v>
      </c>
      <c r="CZ59" s="86">
        <f t="shared" si="24"/>
        <v>9.2533421947291732</v>
      </c>
      <c r="DA59" s="70"/>
      <c r="DC59" s="90"/>
      <c r="DD59" s="86" t="str">
        <f t="shared" si="25"/>
        <v/>
      </c>
    </row>
    <row r="60" spans="1:108" x14ac:dyDescent="0.3">
      <c r="A60" s="30" t="s">
        <v>252</v>
      </c>
      <c r="B60" s="30" t="s">
        <v>75</v>
      </c>
      <c r="F60" s="86" t="str">
        <f t="shared" si="0"/>
        <v/>
      </c>
      <c r="G60" s="30"/>
      <c r="H60" s="30"/>
      <c r="I60" s="30"/>
      <c r="J60" s="86" t="str">
        <f t="shared" si="1"/>
        <v/>
      </c>
      <c r="K60" s="30"/>
      <c r="L60" s="30"/>
      <c r="M60" s="30"/>
      <c r="N60" s="86" t="str">
        <f t="shared" si="2"/>
        <v/>
      </c>
      <c r="O60" s="30"/>
      <c r="P60" s="30"/>
      <c r="Q60" s="30"/>
      <c r="R60" s="86" t="str">
        <f t="shared" si="3"/>
        <v/>
      </c>
      <c r="S60" s="30"/>
      <c r="T60" s="124"/>
      <c r="U60" s="124"/>
      <c r="V60" s="86" t="str">
        <f t="shared" si="4"/>
        <v/>
      </c>
      <c r="W60" s="124"/>
      <c r="X60" s="124"/>
      <c r="Y60" s="86" t="str">
        <f t="shared" si="5"/>
        <v/>
      </c>
      <c r="Z60" s="30"/>
      <c r="AA60" s="30"/>
      <c r="AB60" s="30"/>
      <c r="AC60" s="30"/>
      <c r="AD60" s="124"/>
      <c r="AE60" s="124"/>
      <c r="AF60" s="86" t="str">
        <f t="shared" si="6"/>
        <v/>
      </c>
      <c r="AG60" s="30"/>
      <c r="AH60" s="124"/>
      <c r="AI60" s="124"/>
      <c r="AJ60" s="86" t="str">
        <f t="shared" si="7"/>
        <v/>
      </c>
      <c r="AK60" s="30"/>
      <c r="AL60" s="30"/>
      <c r="AM60" s="30"/>
      <c r="AN60" s="86" t="str">
        <f t="shared" si="8"/>
        <v/>
      </c>
      <c r="AO60" s="30"/>
      <c r="AP60" s="124"/>
      <c r="AQ60" s="124"/>
      <c r="AR60" s="86" t="str">
        <f t="shared" si="9"/>
        <v/>
      </c>
      <c r="AS60" s="30"/>
      <c r="AT60" s="124"/>
      <c r="AU60" s="124"/>
      <c r="AV60" s="86" t="str">
        <f t="shared" si="10"/>
        <v/>
      </c>
      <c r="AW60" s="30"/>
      <c r="AX60" s="124"/>
      <c r="AY60" s="124"/>
      <c r="AZ60" s="86" t="str">
        <f t="shared" si="11"/>
        <v/>
      </c>
      <c r="BA60" s="30"/>
      <c r="BB60" s="124"/>
      <c r="BC60" s="124"/>
      <c r="BD60" s="86" t="str">
        <f t="shared" si="12"/>
        <v/>
      </c>
      <c r="BE60" s="30"/>
      <c r="BF60" s="124"/>
      <c r="BG60" s="124"/>
      <c r="BH60" s="86" t="str">
        <f t="shared" si="13"/>
        <v/>
      </c>
      <c r="BI60" s="30"/>
      <c r="BJ60" s="124"/>
      <c r="BK60" s="124"/>
      <c r="BL60" s="86" t="str">
        <f t="shared" si="14"/>
        <v/>
      </c>
      <c r="BM60" s="30"/>
      <c r="BN60" s="124"/>
      <c r="BO60" s="124"/>
      <c r="BP60" s="86" t="str">
        <f t="shared" si="15"/>
        <v/>
      </c>
      <c r="BQ60" s="30"/>
      <c r="BR60" s="124"/>
      <c r="BS60" s="124"/>
      <c r="BT60" s="86" t="str">
        <f t="shared" si="16"/>
        <v/>
      </c>
      <c r="BU60" s="30"/>
      <c r="BV60" s="124"/>
      <c r="BW60" s="124"/>
      <c r="BX60" s="86" t="str">
        <f t="shared" si="17"/>
        <v/>
      </c>
      <c r="BY60" s="30"/>
      <c r="BZ60" s="124"/>
      <c r="CA60" s="124"/>
      <c r="CB60" s="86" t="str">
        <f t="shared" si="18"/>
        <v/>
      </c>
      <c r="CC60" s="30"/>
      <c r="CD60" s="124"/>
      <c r="CE60" s="124"/>
      <c r="CF60" s="86" t="str">
        <f t="shared" si="19"/>
        <v/>
      </c>
      <c r="CG60" s="30"/>
      <c r="CH60" s="124"/>
      <c r="CI60" s="124"/>
      <c r="CJ60" s="86" t="str">
        <f t="shared" si="20"/>
        <v/>
      </c>
      <c r="CK60" s="30"/>
      <c r="CL60" s="124"/>
      <c r="CM60" s="124"/>
      <c r="CN60" s="86" t="str">
        <f t="shared" si="21"/>
        <v/>
      </c>
      <c r="CO60" s="30"/>
      <c r="CP60" s="124"/>
      <c r="CQ60" s="124"/>
      <c r="CR60" s="86" t="str">
        <f t="shared" si="22"/>
        <v/>
      </c>
      <c r="CS60" s="30"/>
      <c r="CT60" s="124"/>
      <c r="CU60" s="124"/>
      <c r="CV60" s="86" t="str">
        <f t="shared" si="23"/>
        <v/>
      </c>
      <c r="CW60" s="30" t="s">
        <v>1</v>
      </c>
      <c r="CX60" s="90">
        <v>52512</v>
      </c>
      <c r="CY60" s="90">
        <v>1435000</v>
      </c>
      <c r="CZ60" s="86">
        <f t="shared" si="24"/>
        <v>27.327087141986592</v>
      </c>
      <c r="DA60" s="70"/>
      <c r="DC60" s="90"/>
      <c r="DD60" s="86" t="str">
        <f t="shared" si="25"/>
        <v/>
      </c>
    </row>
    <row r="61" spans="1:108" x14ac:dyDescent="0.3">
      <c r="A61" s="30" t="s">
        <v>245</v>
      </c>
      <c r="B61" s="30" t="s">
        <v>75</v>
      </c>
      <c r="F61" s="86" t="str">
        <f t="shared" si="0"/>
        <v/>
      </c>
      <c r="G61" s="30"/>
      <c r="H61" s="30"/>
      <c r="I61" s="30"/>
      <c r="J61" s="86" t="str">
        <f t="shared" si="1"/>
        <v/>
      </c>
      <c r="K61" s="30"/>
      <c r="L61" s="30"/>
      <c r="M61" s="30"/>
      <c r="N61" s="86" t="str">
        <f t="shared" si="2"/>
        <v/>
      </c>
      <c r="O61" s="30"/>
      <c r="P61" s="30"/>
      <c r="Q61" s="30"/>
      <c r="R61" s="86" t="str">
        <f t="shared" si="3"/>
        <v/>
      </c>
      <c r="S61" s="30"/>
      <c r="T61" s="124"/>
      <c r="U61" s="124"/>
      <c r="V61" s="86" t="str">
        <f t="shared" si="4"/>
        <v/>
      </c>
      <c r="W61" s="124"/>
      <c r="X61" s="124"/>
      <c r="Y61" s="86" t="str">
        <f t="shared" si="5"/>
        <v/>
      </c>
      <c r="Z61" s="30"/>
      <c r="AA61" s="30"/>
      <c r="AB61" s="30"/>
      <c r="AC61" s="30"/>
      <c r="AD61" s="124"/>
      <c r="AE61" s="124"/>
      <c r="AF61" s="86" t="str">
        <f t="shared" si="6"/>
        <v/>
      </c>
      <c r="AG61" s="30"/>
      <c r="AH61" s="124"/>
      <c r="AI61" s="124"/>
      <c r="AJ61" s="86" t="str">
        <f t="shared" si="7"/>
        <v/>
      </c>
      <c r="AK61" s="30"/>
      <c r="AL61" s="30"/>
      <c r="AM61" s="30"/>
      <c r="AN61" s="86" t="str">
        <f t="shared" si="8"/>
        <v/>
      </c>
      <c r="AO61" s="30"/>
      <c r="AP61" s="124"/>
      <c r="AQ61" s="124"/>
      <c r="AR61" s="86" t="str">
        <f t="shared" si="9"/>
        <v/>
      </c>
      <c r="AS61" s="30"/>
      <c r="AT61" s="124"/>
      <c r="AU61" s="124"/>
      <c r="AV61" s="86" t="str">
        <f t="shared" si="10"/>
        <v/>
      </c>
      <c r="AW61" s="30"/>
      <c r="AX61" s="124"/>
      <c r="AY61" s="124"/>
      <c r="AZ61" s="86" t="str">
        <f t="shared" si="11"/>
        <v/>
      </c>
      <c r="BA61" s="30"/>
      <c r="BB61" s="124"/>
      <c r="BC61" s="124"/>
      <c r="BD61" s="86" t="str">
        <f t="shared" si="12"/>
        <v/>
      </c>
      <c r="BE61" s="30"/>
      <c r="BF61" s="124"/>
      <c r="BG61" s="124"/>
      <c r="BH61" s="86" t="str">
        <f t="shared" si="13"/>
        <v/>
      </c>
      <c r="BI61" s="30"/>
      <c r="BJ61" s="124"/>
      <c r="BK61" s="124"/>
      <c r="BL61" s="86" t="str">
        <f t="shared" si="14"/>
        <v/>
      </c>
      <c r="BM61" s="30"/>
      <c r="BN61" s="124"/>
      <c r="BO61" s="124"/>
      <c r="BP61" s="86" t="str">
        <f t="shared" si="15"/>
        <v/>
      </c>
      <c r="BQ61" s="30"/>
      <c r="BR61" s="124"/>
      <c r="BS61" s="124"/>
      <c r="BT61" s="86" t="str">
        <f t="shared" si="16"/>
        <v/>
      </c>
      <c r="BU61" s="30"/>
      <c r="BV61" s="124"/>
      <c r="BW61" s="124"/>
      <c r="BX61" s="86" t="str">
        <f t="shared" si="17"/>
        <v/>
      </c>
      <c r="BY61" s="30"/>
      <c r="BZ61" s="124"/>
      <c r="CA61" s="124"/>
      <c r="CB61" s="86" t="str">
        <f t="shared" si="18"/>
        <v/>
      </c>
      <c r="CC61" s="30"/>
      <c r="CD61" s="124"/>
      <c r="CE61" s="124"/>
      <c r="CF61" s="86" t="str">
        <f t="shared" si="19"/>
        <v/>
      </c>
      <c r="CG61" s="30"/>
      <c r="CH61" s="124"/>
      <c r="CI61" s="124"/>
      <c r="CJ61" s="86" t="str">
        <f t="shared" si="20"/>
        <v/>
      </c>
      <c r="CK61" s="30"/>
      <c r="CL61" s="124"/>
      <c r="CM61" s="124"/>
      <c r="CN61" s="86" t="str">
        <f t="shared" si="21"/>
        <v/>
      </c>
      <c r="CO61" s="30"/>
      <c r="CP61" s="124"/>
      <c r="CQ61" s="124"/>
      <c r="CR61" s="86" t="str">
        <f t="shared" si="22"/>
        <v/>
      </c>
      <c r="CS61" s="30"/>
      <c r="CT61" s="124"/>
      <c r="CU61" s="124"/>
      <c r="CV61" s="86" t="str">
        <f t="shared" si="23"/>
        <v/>
      </c>
      <c r="CW61" s="30" t="s">
        <v>1</v>
      </c>
      <c r="CX61" s="90">
        <v>8442</v>
      </c>
      <c r="CY61" s="90">
        <v>117000</v>
      </c>
      <c r="CZ61" s="86">
        <f t="shared" si="24"/>
        <v>13.859275053304904</v>
      </c>
      <c r="DA61" s="70"/>
      <c r="DC61" s="90"/>
      <c r="DD61" s="86" t="str">
        <f t="shared" si="25"/>
        <v/>
      </c>
    </row>
    <row r="62" spans="1:108" x14ac:dyDescent="0.3">
      <c r="A62" s="30" t="s">
        <v>406</v>
      </c>
      <c r="B62" s="30" t="s">
        <v>75</v>
      </c>
      <c r="F62" s="86" t="str">
        <f t="shared" si="0"/>
        <v/>
      </c>
      <c r="G62" s="30"/>
      <c r="H62" s="30"/>
      <c r="I62" s="30"/>
      <c r="J62" s="86" t="str">
        <f t="shared" si="1"/>
        <v/>
      </c>
      <c r="K62" s="30"/>
      <c r="L62" s="30"/>
      <c r="M62" s="30"/>
      <c r="N62" s="86" t="str">
        <f t="shared" si="2"/>
        <v/>
      </c>
      <c r="O62" s="30"/>
      <c r="P62" s="30"/>
      <c r="Q62" s="30"/>
      <c r="R62" s="86" t="str">
        <f t="shared" si="3"/>
        <v/>
      </c>
      <c r="S62" s="30"/>
      <c r="T62" s="124"/>
      <c r="U62" s="124"/>
      <c r="V62" s="86" t="str">
        <f t="shared" si="4"/>
        <v/>
      </c>
      <c r="W62" s="124"/>
      <c r="X62" s="124"/>
      <c r="Y62" s="86" t="str">
        <f t="shared" si="5"/>
        <v/>
      </c>
      <c r="Z62" s="30"/>
      <c r="AA62" s="30"/>
      <c r="AB62" s="30"/>
      <c r="AC62" s="30"/>
      <c r="AD62" s="124"/>
      <c r="AE62" s="124"/>
      <c r="AF62" s="86" t="str">
        <f t="shared" si="6"/>
        <v/>
      </c>
      <c r="AG62" s="30"/>
      <c r="AH62" s="124"/>
      <c r="AI62" s="124"/>
      <c r="AJ62" s="86" t="str">
        <f t="shared" si="7"/>
        <v/>
      </c>
      <c r="AK62" s="30"/>
      <c r="AL62" s="30"/>
      <c r="AM62" s="30"/>
      <c r="AN62" s="86" t="str">
        <f t="shared" si="8"/>
        <v/>
      </c>
      <c r="AO62" s="30"/>
      <c r="AP62" s="124"/>
      <c r="AQ62" s="124"/>
      <c r="AR62" s="86" t="str">
        <f t="shared" si="9"/>
        <v/>
      </c>
      <c r="AS62" s="30"/>
      <c r="AT62" s="124"/>
      <c r="AU62" s="124"/>
      <c r="AV62" s="86" t="str">
        <f t="shared" si="10"/>
        <v/>
      </c>
      <c r="AW62" s="30"/>
      <c r="AX62" s="124"/>
      <c r="AY62" s="124"/>
      <c r="AZ62" s="86" t="str">
        <f t="shared" si="11"/>
        <v/>
      </c>
      <c r="BA62" s="30"/>
      <c r="BB62" s="124"/>
      <c r="BC62" s="124"/>
      <c r="BD62" s="86" t="str">
        <f t="shared" si="12"/>
        <v/>
      </c>
      <c r="BE62" s="30"/>
      <c r="BF62" s="124"/>
      <c r="BG62" s="124"/>
      <c r="BH62" s="86" t="str">
        <f t="shared" si="13"/>
        <v/>
      </c>
      <c r="BI62" s="30"/>
      <c r="BJ62" s="124"/>
      <c r="BK62" s="124"/>
      <c r="BL62" s="86" t="str">
        <f t="shared" si="14"/>
        <v/>
      </c>
      <c r="BM62" s="30"/>
      <c r="BN62" s="124"/>
      <c r="BO62" s="124"/>
      <c r="BP62" s="86" t="str">
        <f t="shared" si="15"/>
        <v/>
      </c>
      <c r="BQ62" s="30"/>
      <c r="BR62" s="124"/>
      <c r="BS62" s="124"/>
      <c r="BT62" s="86" t="str">
        <f t="shared" si="16"/>
        <v/>
      </c>
      <c r="BU62" s="30"/>
      <c r="BV62" s="124"/>
      <c r="BW62" s="124"/>
      <c r="BX62" s="86" t="str">
        <f t="shared" si="17"/>
        <v/>
      </c>
      <c r="BY62" s="30"/>
      <c r="BZ62" s="124"/>
      <c r="CA62" s="124"/>
      <c r="CB62" s="86" t="str">
        <f t="shared" si="18"/>
        <v/>
      </c>
      <c r="CC62" s="30"/>
      <c r="CD62" s="124"/>
      <c r="CE62" s="124"/>
      <c r="CF62" s="86" t="str">
        <f t="shared" si="19"/>
        <v/>
      </c>
      <c r="CG62" s="30"/>
      <c r="CH62" s="124"/>
      <c r="CI62" s="124"/>
      <c r="CJ62" s="86" t="str">
        <f t="shared" si="20"/>
        <v/>
      </c>
      <c r="CK62" s="30"/>
      <c r="CL62" s="124"/>
      <c r="CM62" s="124"/>
      <c r="CN62" s="86" t="str">
        <f t="shared" si="21"/>
        <v/>
      </c>
      <c r="CO62" s="30"/>
      <c r="CP62" s="124"/>
      <c r="CQ62" s="124"/>
      <c r="CR62" s="86" t="str">
        <f t="shared" si="22"/>
        <v/>
      </c>
      <c r="CS62" s="30"/>
      <c r="CT62" s="124"/>
      <c r="CU62" s="124"/>
      <c r="CV62" s="86" t="str">
        <f t="shared" si="23"/>
        <v/>
      </c>
      <c r="CW62" s="30" t="s">
        <v>1</v>
      </c>
      <c r="CX62" s="90">
        <v>15</v>
      </c>
      <c r="CY62" s="90">
        <v>15000</v>
      </c>
      <c r="CZ62" s="86">
        <f t="shared" si="24"/>
        <v>1000</v>
      </c>
      <c r="DA62" s="70"/>
      <c r="DC62" s="90"/>
      <c r="DD62" s="86" t="str">
        <f t="shared" si="25"/>
        <v/>
      </c>
    </row>
    <row r="63" spans="1:108" x14ac:dyDescent="0.3">
      <c r="A63" s="30" t="s">
        <v>253</v>
      </c>
      <c r="B63" s="30" t="s">
        <v>75</v>
      </c>
      <c r="F63" s="86" t="str">
        <f t="shared" si="0"/>
        <v/>
      </c>
      <c r="G63" s="30"/>
      <c r="H63" s="30"/>
      <c r="I63" s="30"/>
      <c r="J63" s="86" t="str">
        <f t="shared" si="1"/>
        <v/>
      </c>
      <c r="K63" s="30"/>
      <c r="L63" s="30"/>
      <c r="M63" s="30"/>
      <c r="N63" s="86" t="str">
        <f t="shared" si="2"/>
        <v/>
      </c>
      <c r="O63" s="30"/>
      <c r="P63" s="30"/>
      <c r="Q63" s="30"/>
      <c r="R63" s="86" t="str">
        <f t="shared" si="3"/>
        <v/>
      </c>
      <c r="S63" s="30"/>
      <c r="T63" s="124"/>
      <c r="U63" s="124"/>
      <c r="V63" s="86" t="str">
        <f t="shared" si="4"/>
        <v/>
      </c>
      <c r="W63" s="124"/>
      <c r="X63" s="124"/>
      <c r="Y63" s="86" t="str">
        <f t="shared" si="5"/>
        <v/>
      </c>
      <c r="Z63" s="30"/>
      <c r="AA63" s="30"/>
      <c r="AB63" s="30"/>
      <c r="AC63" s="30"/>
      <c r="AD63" s="124"/>
      <c r="AE63" s="124"/>
      <c r="AF63" s="86" t="str">
        <f t="shared" si="6"/>
        <v/>
      </c>
      <c r="AG63" s="30"/>
      <c r="AH63" s="124"/>
      <c r="AI63" s="124"/>
      <c r="AJ63" s="86" t="str">
        <f t="shared" si="7"/>
        <v/>
      </c>
      <c r="AK63" s="30"/>
      <c r="AL63" s="30"/>
      <c r="AM63" s="30"/>
      <c r="AN63" s="86" t="str">
        <f t="shared" si="8"/>
        <v/>
      </c>
      <c r="AO63" s="30"/>
      <c r="AP63" s="124"/>
      <c r="AQ63" s="124"/>
      <c r="AR63" s="86" t="str">
        <f t="shared" si="9"/>
        <v/>
      </c>
      <c r="AS63" s="30"/>
      <c r="AT63" s="124"/>
      <c r="AU63" s="124"/>
      <c r="AV63" s="86" t="str">
        <f t="shared" si="10"/>
        <v/>
      </c>
      <c r="AW63" s="30"/>
      <c r="AX63" s="124"/>
      <c r="AY63" s="124"/>
      <c r="AZ63" s="86" t="str">
        <f t="shared" si="11"/>
        <v/>
      </c>
      <c r="BA63" s="30"/>
      <c r="BB63" s="124"/>
      <c r="BC63" s="124"/>
      <c r="BD63" s="86" t="str">
        <f t="shared" si="12"/>
        <v/>
      </c>
      <c r="BE63" s="30"/>
      <c r="BF63" s="124"/>
      <c r="BG63" s="124"/>
      <c r="BH63" s="86" t="str">
        <f t="shared" si="13"/>
        <v/>
      </c>
      <c r="BI63" s="30"/>
      <c r="BJ63" s="124"/>
      <c r="BK63" s="124"/>
      <c r="BL63" s="86" t="str">
        <f t="shared" si="14"/>
        <v/>
      </c>
      <c r="BM63" s="30"/>
      <c r="BN63" s="124"/>
      <c r="BO63" s="124"/>
      <c r="BP63" s="86" t="str">
        <f t="shared" si="15"/>
        <v/>
      </c>
      <c r="BQ63" s="30"/>
      <c r="BR63" s="124"/>
      <c r="BS63" s="124"/>
      <c r="BT63" s="86" t="str">
        <f t="shared" si="16"/>
        <v/>
      </c>
      <c r="BU63" s="30"/>
      <c r="BV63" s="124"/>
      <c r="BW63" s="124"/>
      <c r="BX63" s="86" t="str">
        <f t="shared" si="17"/>
        <v/>
      </c>
      <c r="BY63" s="30"/>
      <c r="BZ63" s="124"/>
      <c r="CA63" s="124"/>
      <c r="CB63" s="86" t="str">
        <f t="shared" si="18"/>
        <v/>
      </c>
      <c r="CC63" s="30"/>
      <c r="CD63" s="124"/>
      <c r="CE63" s="124"/>
      <c r="CF63" s="86" t="str">
        <f t="shared" si="19"/>
        <v/>
      </c>
      <c r="CG63" s="30"/>
      <c r="CH63" s="124"/>
      <c r="CI63" s="124"/>
      <c r="CJ63" s="86" t="str">
        <f t="shared" si="20"/>
        <v/>
      </c>
      <c r="CK63" s="30"/>
      <c r="CL63" s="124"/>
      <c r="CM63" s="124"/>
      <c r="CN63" s="86" t="str">
        <f t="shared" si="21"/>
        <v/>
      </c>
      <c r="CO63" s="30"/>
      <c r="CP63" s="124"/>
      <c r="CQ63" s="124"/>
      <c r="CR63" s="86" t="str">
        <f t="shared" si="22"/>
        <v/>
      </c>
      <c r="CS63" s="30"/>
      <c r="CT63" s="124"/>
      <c r="CU63" s="124"/>
      <c r="CV63" s="86" t="str">
        <f t="shared" si="23"/>
        <v/>
      </c>
      <c r="CW63" s="30" t="s">
        <v>1</v>
      </c>
      <c r="CX63" s="90">
        <v>43263</v>
      </c>
      <c r="CY63" s="90">
        <v>128000</v>
      </c>
      <c r="CZ63" s="86">
        <f t="shared" si="24"/>
        <v>2.9586482675727526</v>
      </c>
      <c r="DA63" s="70"/>
      <c r="DC63" s="90"/>
      <c r="DD63" s="86" t="str">
        <f t="shared" si="25"/>
        <v/>
      </c>
    </row>
    <row r="64" spans="1:108" x14ac:dyDescent="0.3">
      <c r="A64" s="30" t="s">
        <v>408</v>
      </c>
      <c r="B64" s="30" t="s">
        <v>75</v>
      </c>
      <c r="F64" s="86" t="str">
        <f t="shared" si="0"/>
        <v/>
      </c>
      <c r="G64" s="30"/>
      <c r="H64" s="30"/>
      <c r="I64" s="30"/>
      <c r="J64" s="86" t="str">
        <f t="shared" si="1"/>
        <v/>
      </c>
      <c r="K64" s="30"/>
      <c r="L64" s="30"/>
      <c r="M64" s="30"/>
      <c r="N64" s="86" t="str">
        <f t="shared" si="2"/>
        <v/>
      </c>
      <c r="O64" s="30"/>
      <c r="P64" s="30"/>
      <c r="Q64" s="30"/>
      <c r="R64" s="86" t="str">
        <f t="shared" si="3"/>
        <v/>
      </c>
      <c r="S64" s="30"/>
      <c r="T64" s="124"/>
      <c r="U64" s="124"/>
      <c r="V64" s="86" t="str">
        <f t="shared" si="4"/>
        <v/>
      </c>
      <c r="W64" s="124"/>
      <c r="X64" s="124"/>
      <c r="Y64" s="86" t="str">
        <f t="shared" si="5"/>
        <v/>
      </c>
      <c r="Z64" s="30"/>
      <c r="AA64" s="30"/>
      <c r="AB64" s="30"/>
      <c r="AC64" s="30"/>
      <c r="AD64" s="124"/>
      <c r="AE64" s="124"/>
      <c r="AF64" s="86" t="str">
        <f t="shared" si="6"/>
        <v/>
      </c>
      <c r="AG64" s="30"/>
      <c r="AH64" s="124"/>
      <c r="AI64" s="124"/>
      <c r="AJ64" s="86" t="str">
        <f t="shared" si="7"/>
        <v/>
      </c>
      <c r="AK64" s="30"/>
      <c r="AL64" s="30"/>
      <c r="AM64" s="30"/>
      <c r="AN64" s="86" t="str">
        <f t="shared" si="8"/>
        <v/>
      </c>
      <c r="AO64" s="30"/>
      <c r="AP64" s="124"/>
      <c r="AQ64" s="124"/>
      <c r="AR64" s="86" t="str">
        <f t="shared" si="9"/>
        <v/>
      </c>
      <c r="AS64" s="30"/>
      <c r="AT64" s="124"/>
      <c r="AU64" s="124"/>
      <c r="AV64" s="86" t="str">
        <f t="shared" si="10"/>
        <v/>
      </c>
      <c r="AW64" s="30"/>
      <c r="AX64" s="124"/>
      <c r="AY64" s="124"/>
      <c r="AZ64" s="86" t="str">
        <f t="shared" si="11"/>
        <v/>
      </c>
      <c r="BA64" s="30"/>
      <c r="BB64" s="124"/>
      <c r="BC64" s="124"/>
      <c r="BD64" s="86" t="str">
        <f t="shared" si="12"/>
        <v/>
      </c>
      <c r="BE64" s="30"/>
      <c r="BF64" s="124"/>
      <c r="BG64" s="124"/>
      <c r="BH64" s="86" t="str">
        <f t="shared" si="13"/>
        <v/>
      </c>
      <c r="BI64" s="30"/>
      <c r="BJ64" s="124"/>
      <c r="BK64" s="124"/>
      <c r="BL64" s="86" t="str">
        <f t="shared" si="14"/>
        <v/>
      </c>
      <c r="BM64" s="30"/>
      <c r="BN64" s="124"/>
      <c r="BO64" s="124"/>
      <c r="BP64" s="86" t="str">
        <f t="shared" si="15"/>
        <v/>
      </c>
      <c r="BQ64" s="30"/>
      <c r="BR64" s="124"/>
      <c r="BS64" s="124"/>
      <c r="BT64" s="86" t="str">
        <f t="shared" si="16"/>
        <v/>
      </c>
      <c r="BU64" s="30"/>
      <c r="BV64" s="124"/>
      <c r="BW64" s="124"/>
      <c r="BX64" s="86" t="str">
        <f t="shared" si="17"/>
        <v/>
      </c>
      <c r="BY64" s="30"/>
      <c r="BZ64" s="124"/>
      <c r="CA64" s="124"/>
      <c r="CB64" s="86" t="str">
        <f t="shared" si="18"/>
        <v/>
      </c>
      <c r="CC64" s="30"/>
      <c r="CD64" s="124"/>
      <c r="CE64" s="124"/>
      <c r="CF64" s="86" t="str">
        <f t="shared" si="19"/>
        <v/>
      </c>
      <c r="CG64" s="30"/>
      <c r="CH64" s="124"/>
      <c r="CI64" s="124"/>
      <c r="CJ64" s="86" t="str">
        <f t="shared" si="20"/>
        <v/>
      </c>
      <c r="CK64" s="30"/>
      <c r="CL64" s="124"/>
      <c r="CM64" s="124"/>
      <c r="CN64" s="86" t="str">
        <f t="shared" si="21"/>
        <v/>
      </c>
      <c r="CO64" s="30"/>
      <c r="CP64" s="124"/>
      <c r="CQ64" s="124"/>
      <c r="CR64" s="86" t="str">
        <f t="shared" si="22"/>
        <v/>
      </c>
      <c r="CS64" s="30"/>
      <c r="CT64" s="124"/>
      <c r="CU64" s="124"/>
      <c r="CV64" s="86" t="str">
        <f t="shared" si="23"/>
        <v/>
      </c>
      <c r="CW64" s="30" t="s">
        <v>1</v>
      </c>
      <c r="CX64" s="90">
        <v>91382</v>
      </c>
      <c r="CY64" s="90">
        <v>279000</v>
      </c>
      <c r="CZ64" s="86">
        <f t="shared" si="24"/>
        <v>3.0531176818191765</v>
      </c>
      <c r="DA64" s="70"/>
      <c r="DC64" s="90"/>
      <c r="DD64" s="86" t="str">
        <f t="shared" si="25"/>
        <v/>
      </c>
    </row>
    <row r="65" spans="1:125" x14ac:dyDescent="0.3">
      <c r="A65" s="30" t="s">
        <v>254</v>
      </c>
      <c r="B65" s="30" t="s">
        <v>75</v>
      </c>
      <c r="F65" s="86" t="str">
        <f t="shared" si="0"/>
        <v/>
      </c>
      <c r="G65" s="30"/>
      <c r="H65" s="30"/>
      <c r="I65" s="30"/>
      <c r="J65" s="86" t="str">
        <f t="shared" si="1"/>
        <v/>
      </c>
      <c r="K65" s="30"/>
      <c r="L65" s="30"/>
      <c r="M65" s="30"/>
      <c r="N65" s="86" t="str">
        <f t="shared" si="2"/>
        <v/>
      </c>
      <c r="O65" s="30"/>
      <c r="P65" s="30"/>
      <c r="Q65" s="30"/>
      <c r="R65" s="86" t="str">
        <f t="shared" si="3"/>
        <v/>
      </c>
      <c r="S65" s="30"/>
      <c r="T65" s="124"/>
      <c r="U65" s="124"/>
      <c r="V65" s="86" t="str">
        <f t="shared" si="4"/>
        <v/>
      </c>
      <c r="W65" s="124"/>
      <c r="X65" s="124"/>
      <c r="Y65" s="86" t="str">
        <f t="shared" si="5"/>
        <v/>
      </c>
      <c r="Z65" s="30"/>
      <c r="AA65" s="30"/>
      <c r="AB65" s="30"/>
      <c r="AC65" s="30"/>
      <c r="AD65" s="124"/>
      <c r="AE65" s="124"/>
      <c r="AF65" s="86" t="str">
        <f t="shared" si="6"/>
        <v/>
      </c>
      <c r="AG65" s="30"/>
      <c r="AH65" s="124"/>
      <c r="AI65" s="124"/>
      <c r="AJ65" s="86" t="str">
        <f t="shared" si="7"/>
        <v/>
      </c>
      <c r="AK65" s="30"/>
      <c r="AL65" s="30"/>
      <c r="AM65" s="30"/>
      <c r="AN65" s="86" t="str">
        <f t="shared" si="8"/>
        <v/>
      </c>
      <c r="AO65" s="30"/>
      <c r="AP65" s="124"/>
      <c r="AQ65" s="124"/>
      <c r="AR65" s="86" t="str">
        <f t="shared" si="9"/>
        <v/>
      </c>
      <c r="AS65" s="30"/>
      <c r="AT65" s="124"/>
      <c r="AU65" s="124"/>
      <c r="AV65" s="86" t="str">
        <f t="shared" si="10"/>
        <v/>
      </c>
      <c r="AW65" s="30"/>
      <c r="AX65" s="124"/>
      <c r="AY65" s="124"/>
      <c r="AZ65" s="86" t="str">
        <f t="shared" si="11"/>
        <v/>
      </c>
      <c r="BA65" s="30"/>
      <c r="BB65" s="124"/>
      <c r="BC65" s="124"/>
      <c r="BD65" s="86" t="str">
        <f t="shared" si="12"/>
        <v/>
      </c>
      <c r="BE65" s="30"/>
      <c r="BF65" s="124"/>
      <c r="BG65" s="124"/>
      <c r="BH65" s="86" t="str">
        <f t="shared" si="13"/>
        <v/>
      </c>
      <c r="BI65" s="30"/>
      <c r="BJ65" s="124"/>
      <c r="BK65" s="124"/>
      <c r="BL65" s="86" t="str">
        <f t="shared" si="14"/>
        <v/>
      </c>
      <c r="BM65" s="30"/>
      <c r="BN65" s="124"/>
      <c r="BO65" s="124"/>
      <c r="BP65" s="86" t="str">
        <f t="shared" si="15"/>
        <v/>
      </c>
      <c r="BQ65" s="30"/>
      <c r="BR65" s="124"/>
      <c r="BS65" s="124"/>
      <c r="BT65" s="86" t="str">
        <f t="shared" si="16"/>
        <v/>
      </c>
      <c r="BU65" s="30"/>
      <c r="BV65" s="124"/>
      <c r="BW65" s="124"/>
      <c r="BX65" s="86" t="str">
        <f t="shared" si="17"/>
        <v/>
      </c>
      <c r="BY65" s="30"/>
      <c r="BZ65" s="124"/>
      <c r="CA65" s="124"/>
      <c r="CB65" s="86" t="str">
        <f t="shared" si="18"/>
        <v/>
      </c>
      <c r="CC65" s="30"/>
      <c r="CD65" s="124"/>
      <c r="CE65" s="124"/>
      <c r="CF65" s="86" t="str">
        <f t="shared" si="19"/>
        <v/>
      </c>
      <c r="CG65" s="30"/>
      <c r="CH65" s="124"/>
      <c r="CI65" s="124"/>
      <c r="CJ65" s="86" t="str">
        <f t="shared" si="20"/>
        <v/>
      </c>
      <c r="CK65" s="30"/>
      <c r="CL65" s="124"/>
      <c r="CM65" s="124"/>
      <c r="CN65" s="86" t="str">
        <f t="shared" si="21"/>
        <v/>
      </c>
      <c r="CO65" s="30"/>
      <c r="CP65" s="124"/>
      <c r="CQ65" s="124"/>
      <c r="CR65" s="86" t="str">
        <f t="shared" si="22"/>
        <v/>
      </c>
      <c r="CS65" s="30"/>
      <c r="CT65" s="124"/>
      <c r="CU65" s="124"/>
      <c r="CV65" s="86" t="str">
        <f t="shared" si="23"/>
        <v/>
      </c>
      <c r="CW65" s="30" t="s">
        <v>1</v>
      </c>
      <c r="CX65" s="90">
        <v>3531</v>
      </c>
      <c r="CY65" s="90">
        <v>44000</v>
      </c>
      <c r="CZ65" s="86">
        <f t="shared" si="24"/>
        <v>12.461059190031152</v>
      </c>
      <c r="DA65" s="70"/>
      <c r="DC65" s="90"/>
      <c r="DD65" s="86" t="str">
        <f t="shared" si="25"/>
        <v/>
      </c>
    </row>
    <row r="66" spans="1:125" x14ac:dyDescent="0.3">
      <c r="A66" s="30" t="s">
        <v>256</v>
      </c>
      <c r="B66" s="30" t="s">
        <v>75</v>
      </c>
      <c r="F66" s="86" t="str">
        <f t="shared" si="0"/>
        <v/>
      </c>
      <c r="G66" s="30"/>
      <c r="H66" s="30"/>
      <c r="I66" s="30"/>
      <c r="J66" s="86" t="str">
        <f t="shared" si="1"/>
        <v/>
      </c>
      <c r="K66" s="30"/>
      <c r="L66" s="30"/>
      <c r="M66" s="30"/>
      <c r="N66" s="86" t="str">
        <f t="shared" si="2"/>
        <v/>
      </c>
      <c r="O66" s="30"/>
      <c r="P66" s="30"/>
      <c r="Q66" s="30"/>
      <c r="R66" s="86" t="str">
        <f t="shared" si="3"/>
        <v/>
      </c>
      <c r="S66" s="30"/>
      <c r="T66" s="124"/>
      <c r="U66" s="124"/>
      <c r="V66" s="86" t="str">
        <f t="shared" si="4"/>
        <v/>
      </c>
      <c r="W66" s="124"/>
      <c r="X66" s="124"/>
      <c r="Y66" s="86" t="str">
        <f t="shared" si="5"/>
        <v/>
      </c>
      <c r="Z66" s="30"/>
      <c r="AA66" s="30"/>
      <c r="AB66" s="30"/>
      <c r="AC66" s="30"/>
      <c r="AD66" s="124"/>
      <c r="AE66" s="124"/>
      <c r="AF66" s="86" t="str">
        <f t="shared" si="6"/>
        <v/>
      </c>
      <c r="AG66" s="30"/>
      <c r="AH66" s="124"/>
      <c r="AI66" s="124"/>
      <c r="AJ66" s="86" t="str">
        <f t="shared" si="7"/>
        <v/>
      </c>
      <c r="AK66" s="30"/>
      <c r="AL66" s="30"/>
      <c r="AM66" s="30"/>
      <c r="AN66" s="86" t="str">
        <f t="shared" si="8"/>
        <v/>
      </c>
      <c r="AO66" s="30"/>
      <c r="AP66" s="124"/>
      <c r="AQ66" s="124"/>
      <c r="AR66" s="86" t="str">
        <f t="shared" si="9"/>
        <v/>
      </c>
      <c r="AS66" s="30"/>
      <c r="AT66" s="124"/>
      <c r="AU66" s="124"/>
      <c r="AV66" s="86" t="str">
        <f t="shared" si="10"/>
        <v/>
      </c>
      <c r="AW66" s="30"/>
      <c r="AX66" s="124"/>
      <c r="AY66" s="124"/>
      <c r="AZ66" s="86" t="str">
        <f t="shared" si="11"/>
        <v/>
      </c>
      <c r="BA66" s="30"/>
      <c r="BB66" s="124"/>
      <c r="BC66" s="124"/>
      <c r="BD66" s="86" t="str">
        <f t="shared" si="12"/>
        <v/>
      </c>
      <c r="BE66" s="30"/>
      <c r="BF66" s="124"/>
      <c r="BG66" s="124"/>
      <c r="BH66" s="86" t="str">
        <f t="shared" si="13"/>
        <v/>
      </c>
      <c r="BI66" s="30"/>
      <c r="BJ66" s="124"/>
      <c r="BK66" s="124"/>
      <c r="BL66" s="86" t="str">
        <f t="shared" si="14"/>
        <v/>
      </c>
      <c r="BM66" s="30"/>
      <c r="BN66" s="124"/>
      <c r="BO66" s="124"/>
      <c r="BP66" s="86" t="str">
        <f t="shared" si="15"/>
        <v/>
      </c>
      <c r="BQ66" s="30"/>
      <c r="BR66" s="124"/>
      <c r="BS66" s="124"/>
      <c r="BT66" s="86" t="str">
        <f t="shared" si="16"/>
        <v/>
      </c>
      <c r="BU66" s="30"/>
      <c r="BV66" s="124"/>
      <c r="BW66" s="124"/>
      <c r="BX66" s="86" t="str">
        <f t="shared" si="17"/>
        <v/>
      </c>
      <c r="BY66" s="30"/>
      <c r="BZ66" s="124"/>
      <c r="CA66" s="124"/>
      <c r="CB66" s="86" t="str">
        <f t="shared" si="18"/>
        <v/>
      </c>
      <c r="CC66" s="30"/>
      <c r="CD66" s="124"/>
      <c r="CE66" s="124"/>
      <c r="CF66" s="86" t="str">
        <f t="shared" si="19"/>
        <v/>
      </c>
      <c r="CG66" s="30"/>
      <c r="CH66" s="124"/>
      <c r="CI66" s="124"/>
      <c r="CJ66" s="86" t="str">
        <f t="shared" si="20"/>
        <v/>
      </c>
      <c r="CK66" s="30"/>
      <c r="CL66" s="124"/>
      <c r="CM66" s="124"/>
      <c r="CN66" s="86" t="str">
        <f t="shared" si="21"/>
        <v/>
      </c>
      <c r="CO66" s="30"/>
      <c r="CP66" s="124"/>
      <c r="CQ66" s="124"/>
      <c r="CR66" s="86" t="str">
        <f t="shared" si="22"/>
        <v/>
      </c>
      <c r="CS66" s="30"/>
      <c r="CT66" s="124"/>
      <c r="CU66" s="124"/>
      <c r="CV66" s="86" t="str">
        <f t="shared" si="23"/>
        <v/>
      </c>
      <c r="CW66" s="30" t="s">
        <v>1</v>
      </c>
      <c r="CX66" s="90">
        <v>14365</v>
      </c>
      <c r="CY66" s="90">
        <v>801000</v>
      </c>
      <c r="CZ66" s="86">
        <f t="shared" si="24"/>
        <v>55.760529063696481</v>
      </c>
      <c r="DA66" s="70"/>
      <c r="DC66" s="90"/>
      <c r="DD66" s="86" t="str">
        <f t="shared" si="25"/>
        <v/>
      </c>
    </row>
    <row r="67" spans="1:125" x14ac:dyDescent="0.3">
      <c r="A67" s="30" t="s">
        <v>257</v>
      </c>
      <c r="B67" s="30" t="s">
        <v>75</v>
      </c>
      <c r="F67" s="86" t="str">
        <f t="shared" si="0"/>
        <v/>
      </c>
      <c r="G67" s="30"/>
      <c r="H67" s="30"/>
      <c r="I67" s="30"/>
      <c r="J67" s="86" t="str">
        <f t="shared" si="1"/>
        <v/>
      </c>
      <c r="K67" s="30"/>
      <c r="L67" s="30"/>
      <c r="M67" s="30"/>
      <c r="N67" s="86" t="str">
        <f t="shared" si="2"/>
        <v/>
      </c>
      <c r="O67" s="30"/>
      <c r="P67" s="30"/>
      <c r="Q67" s="30"/>
      <c r="R67" s="86" t="str">
        <f t="shared" si="3"/>
        <v/>
      </c>
      <c r="S67" s="30"/>
      <c r="T67" s="124"/>
      <c r="U67" s="124"/>
      <c r="V67" s="86" t="str">
        <f t="shared" si="4"/>
        <v/>
      </c>
      <c r="W67" s="124"/>
      <c r="X67" s="124"/>
      <c r="Y67" s="86" t="str">
        <f t="shared" si="5"/>
        <v/>
      </c>
      <c r="Z67" s="30"/>
      <c r="AA67" s="30"/>
      <c r="AB67" s="30"/>
      <c r="AC67" s="30"/>
      <c r="AD67" s="124"/>
      <c r="AE67" s="124"/>
      <c r="AF67" s="86" t="str">
        <f t="shared" si="6"/>
        <v/>
      </c>
      <c r="AG67" s="30"/>
      <c r="AH67" s="124"/>
      <c r="AI67" s="124"/>
      <c r="AJ67" s="86" t="str">
        <f t="shared" si="7"/>
        <v/>
      </c>
      <c r="AK67" s="30"/>
      <c r="AL67" s="30"/>
      <c r="AM67" s="30"/>
      <c r="AN67" s="86" t="str">
        <f t="shared" si="8"/>
        <v/>
      </c>
      <c r="AO67" s="30"/>
      <c r="AP67" s="124"/>
      <c r="AQ67" s="124"/>
      <c r="AR67" s="86" t="str">
        <f t="shared" si="9"/>
        <v/>
      </c>
      <c r="AS67" s="30"/>
      <c r="AT67" s="124"/>
      <c r="AU67" s="124"/>
      <c r="AV67" s="86" t="str">
        <f t="shared" si="10"/>
        <v/>
      </c>
      <c r="AW67" s="30"/>
      <c r="AX67" s="124"/>
      <c r="AY67" s="124"/>
      <c r="AZ67" s="86" t="str">
        <f t="shared" si="11"/>
        <v/>
      </c>
      <c r="BA67" s="30"/>
      <c r="BB67" s="124"/>
      <c r="BC67" s="124"/>
      <c r="BD67" s="86" t="str">
        <f t="shared" si="12"/>
        <v/>
      </c>
      <c r="BE67" s="30"/>
      <c r="BF67" s="124"/>
      <c r="BG67" s="124"/>
      <c r="BH67" s="86" t="str">
        <f t="shared" si="13"/>
        <v/>
      </c>
      <c r="BI67" s="30"/>
      <c r="BJ67" s="124"/>
      <c r="BK67" s="124"/>
      <c r="BL67" s="86" t="str">
        <f t="shared" si="14"/>
        <v/>
      </c>
      <c r="BM67" s="30"/>
      <c r="BN67" s="124"/>
      <c r="BO67" s="124"/>
      <c r="BP67" s="86" t="str">
        <f t="shared" si="15"/>
        <v/>
      </c>
      <c r="BQ67" s="30"/>
      <c r="BR67" s="124"/>
      <c r="BS67" s="124"/>
      <c r="BT67" s="86" t="str">
        <f t="shared" si="16"/>
        <v/>
      </c>
      <c r="BU67" s="30"/>
      <c r="BV67" s="124"/>
      <c r="BW67" s="124"/>
      <c r="BX67" s="86" t="str">
        <f t="shared" si="17"/>
        <v/>
      </c>
      <c r="BY67" s="30"/>
      <c r="BZ67" s="124"/>
      <c r="CA67" s="124"/>
      <c r="CB67" s="86" t="str">
        <f t="shared" si="18"/>
        <v/>
      </c>
      <c r="CC67" s="30"/>
      <c r="CD67" s="124"/>
      <c r="CE67" s="124"/>
      <c r="CF67" s="86" t="str">
        <f t="shared" si="19"/>
        <v/>
      </c>
      <c r="CG67" s="30"/>
      <c r="CH67" s="124"/>
      <c r="CI67" s="124"/>
      <c r="CJ67" s="86" t="str">
        <f t="shared" si="20"/>
        <v/>
      </c>
      <c r="CK67" s="30"/>
      <c r="CL67" s="124"/>
      <c r="CM67" s="124"/>
      <c r="CN67" s="86" t="str">
        <f t="shared" si="21"/>
        <v/>
      </c>
      <c r="CO67" s="30"/>
      <c r="CP67" s="124"/>
      <c r="CQ67" s="124"/>
      <c r="CR67" s="86" t="str">
        <f t="shared" si="22"/>
        <v/>
      </c>
      <c r="CS67" s="30"/>
      <c r="CT67" s="124"/>
      <c r="CU67" s="124"/>
      <c r="CV67" s="86" t="str">
        <f t="shared" si="23"/>
        <v/>
      </c>
      <c r="CW67" s="30" t="s">
        <v>1</v>
      </c>
      <c r="CX67" s="90">
        <v>38613</v>
      </c>
      <c r="CY67" s="90">
        <v>5583000</v>
      </c>
      <c r="CZ67" s="86">
        <f t="shared" si="24"/>
        <v>144.58861005360887</v>
      </c>
      <c r="DA67" s="70"/>
      <c r="DC67" s="90"/>
      <c r="DD67" s="86" t="str">
        <f t="shared" si="25"/>
        <v/>
      </c>
    </row>
    <row r="68" spans="1:125" x14ac:dyDescent="0.3">
      <c r="A68" s="30" t="s">
        <v>409</v>
      </c>
      <c r="B68" s="30" t="s">
        <v>75</v>
      </c>
      <c r="F68" s="86" t="str">
        <f t="shared" si="0"/>
        <v/>
      </c>
      <c r="G68" s="30"/>
      <c r="H68" s="30"/>
      <c r="I68" s="30"/>
      <c r="J68" s="86" t="str">
        <f t="shared" ref="J68:J73" si="26">IFERROR(I68/H68,"")</f>
        <v/>
      </c>
      <c r="K68" s="30"/>
      <c r="L68" s="30"/>
      <c r="M68" s="30"/>
      <c r="N68" s="86" t="str">
        <f t="shared" ref="N68:N73" si="27">IFERROR(M68/L68,"")</f>
        <v/>
      </c>
      <c r="O68" s="30"/>
      <c r="P68" s="30"/>
      <c r="Q68" s="30"/>
      <c r="R68" s="86" t="str">
        <f t="shared" ref="R68:R73" si="28">IFERROR(Q68/P68,"")</f>
        <v/>
      </c>
      <c r="S68" s="30"/>
      <c r="T68" s="124"/>
      <c r="U68" s="124"/>
      <c r="V68" s="86" t="str">
        <f t="shared" ref="V68:V73" si="29">IFERROR(U68/T68,"")</f>
        <v/>
      </c>
      <c r="W68" s="124"/>
      <c r="X68" s="124"/>
      <c r="Y68" s="86" t="str">
        <f t="shared" ref="Y68:Y73" si="30">IFERROR(X68/W68,"")</f>
        <v/>
      </c>
      <c r="Z68" s="30"/>
      <c r="AA68" s="30"/>
      <c r="AB68" s="30"/>
      <c r="AC68" s="30"/>
      <c r="AD68" s="124"/>
      <c r="AE68" s="124"/>
      <c r="AF68" s="86" t="str">
        <f t="shared" ref="AF68:AF73" si="31">IFERROR(AE68/AD68,"")</f>
        <v/>
      </c>
      <c r="AG68" s="30"/>
      <c r="AH68" s="124"/>
      <c r="AI68" s="124"/>
      <c r="AJ68" s="86" t="str">
        <f t="shared" ref="AJ68:AJ73" si="32">IFERROR(AI68/AH68,"")</f>
        <v/>
      </c>
      <c r="AK68" s="30"/>
      <c r="AL68" s="30"/>
      <c r="AM68" s="30"/>
      <c r="AN68" s="86" t="str">
        <f t="shared" ref="AN68:AN73" si="33">IFERROR(AM68/AL68,"")</f>
        <v/>
      </c>
      <c r="AO68" s="30"/>
      <c r="AP68" s="124"/>
      <c r="AQ68" s="124"/>
      <c r="AR68" s="86" t="str">
        <f t="shared" ref="AR68:AR73" si="34">IFERROR(AQ68/AP68,"")</f>
        <v/>
      </c>
      <c r="AS68" s="30"/>
      <c r="AT68" s="124"/>
      <c r="AU68" s="124"/>
      <c r="AV68" s="86" t="str">
        <f t="shared" ref="AV68:AV73" si="35">IFERROR(AU68/AT68,"")</f>
        <v/>
      </c>
      <c r="AW68" s="30"/>
      <c r="AX68" s="124"/>
      <c r="AY68" s="124"/>
      <c r="AZ68" s="86" t="str">
        <f t="shared" ref="AZ68:AZ73" si="36">IFERROR(AY68/AX68,"")</f>
        <v/>
      </c>
      <c r="BA68" s="30"/>
      <c r="BB68" s="124"/>
      <c r="BC68" s="124"/>
      <c r="BD68" s="86" t="str">
        <f t="shared" ref="BD68:BD73" si="37">IFERROR(BC68/BB68,"")</f>
        <v/>
      </c>
      <c r="BE68" s="30"/>
      <c r="BF68" s="124"/>
      <c r="BG68" s="124"/>
      <c r="BH68" s="86" t="str">
        <f t="shared" ref="BH68:BH73" si="38">IFERROR(BG68/BF68,"")</f>
        <v/>
      </c>
      <c r="BI68" s="30"/>
      <c r="BJ68" s="124"/>
      <c r="BK68" s="124"/>
      <c r="BL68" s="86" t="str">
        <f t="shared" ref="BL68:BL73" si="39">IFERROR(BK68/BJ68,"")</f>
        <v/>
      </c>
      <c r="BM68" s="30"/>
      <c r="BN68" s="124"/>
      <c r="BO68" s="124"/>
      <c r="BP68" s="86" t="str">
        <f t="shared" ref="BP68:BP73" si="40">IFERROR(BO68/BN68,"")</f>
        <v/>
      </c>
      <c r="BQ68" s="30"/>
      <c r="BR68" s="124"/>
      <c r="BS68" s="124"/>
      <c r="BT68" s="86" t="str">
        <f t="shared" ref="BT68:BT73" si="41">IFERROR(BS68/BR68,"")</f>
        <v/>
      </c>
      <c r="BU68" s="30"/>
      <c r="BV68" s="124"/>
      <c r="BW68" s="124"/>
      <c r="BX68" s="86" t="str">
        <f t="shared" ref="BX68:BX73" si="42">IFERROR(BW68/BV68,"")</f>
        <v/>
      </c>
      <c r="BY68" s="30"/>
      <c r="BZ68" s="124"/>
      <c r="CA68" s="124"/>
      <c r="CB68" s="86" t="str">
        <f t="shared" ref="CB68:CB73" si="43">IFERROR(CA68/BZ68,"")</f>
        <v/>
      </c>
      <c r="CC68" s="30"/>
      <c r="CD68" s="124"/>
      <c r="CE68" s="124"/>
      <c r="CF68" s="86" t="str">
        <f t="shared" ref="CF68:CF73" si="44">IFERROR(CE68/CD68,"")</f>
        <v/>
      </c>
      <c r="CG68" s="30"/>
      <c r="CH68" s="124"/>
      <c r="CI68" s="124"/>
      <c r="CJ68" s="86" t="str">
        <f t="shared" ref="CJ68:CJ73" si="45">IFERROR(CI68/CH68,"")</f>
        <v/>
      </c>
      <c r="CK68" s="30"/>
      <c r="CL68" s="124"/>
      <c r="CM68" s="124"/>
      <c r="CN68" s="86" t="str">
        <f t="shared" ref="CN68:CN73" si="46">IFERROR(CM68/CL68,"")</f>
        <v/>
      </c>
      <c r="CO68" s="30"/>
      <c r="CP68" s="124"/>
      <c r="CQ68" s="124"/>
      <c r="CR68" s="86" t="str">
        <f t="shared" ref="CR68:CR73" si="47">IFERROR(CQ68/CP68,"")</f>
        <v/>
      </c>
      <c r="CS68" s="30"/>
      <c r="CT68" s="124"/>
      <c r="CU68" s="124"/>
      <c r="CV68" s="86" t="str">
        <f t="shared" ref="CV68:CV73" si="48">IFERROR(CU68/CT68,"")</f>
        <v/>
      </c>
      <c r="CW68" s="30" t="s">
        <v>1</v>
      </c>
      <c r="CX68" s="90">
        <v>285</v>
      </c>
      <c r="CY68" s="90">
        <v>8000</v>
      </c>
      <c r="CZ68" s="86">
        <f t="shared" ref="CZ68:CZ73" si="49">IFERROR(CY68/CX68,"")</f>
        <v>28.07017543859649</v>
      </c>
      <c r="DA68" s="70"/>
      <c r="DC68" s="90"/>
      <c r="DD68" s="86" t="str">
        <f t="shared" ref="DD68:DD73" si="50">IFERROR(DC68/DB68,"")</f>
        <v/>
      </c>
    </row>
    <row r="69" spans="1:125" x14ac:dyDescent="0.3">
      <c r="A69" s="30" t="s">
        <v>262</v>
      </c>
      <c r="B69" s="30" t="s">
        <v>75</v>
      </c>
      <c r="F69" s="86" t="str">
        <f>IFERROR(E69/D69,"")</f>
        <v/>
      </c>
      <c r="G69" s="30"/>
      <c r="H69" s="30"/>
      <c r="I69" s="30"/>
      <c r="J69" s="86" t="str">
        <f t="shared" si="26"/>
        <v/>
      </c>
      <c r="K69" s="30"/>
      <c r="L69" s="30"/>
      <c r="M69" s="30"/>
      <c r="N69" s="86" t="str">
        <f t="shared" si="27"/>
        <v/>
      </c>
      <c r="O69" s="30"/>
      <c r="P69" s="30"/>
      <c r="Q69" s="30"/>
      <c r="R69" s="86" t="str">
        <f t="shared" si="28"/>
        <v/>
      </c>
      <c r="S69" s="30"/>
      <c r="T69" s="124"/>
      <c r="U69" s="124"/>
      <c r="V69" s="86" t="str">
        <f t="shared" si="29"/>
        <v/>
      </c>
      <c r="W69" s="124"/>
      <c r="X69" s="124"/>
      <c r="Y69" s="86" t="str">
        <f t="shared" si="30"/>
        <v/>
      </c>
      <c r="Z69" s="30"/>
      <c r="AA69" s="30"/>
      <c r="AB69" s="30"/>
      <c r="AC69" s="30"/>
      <c r="AD69" s="124"/>
      <c r="AE69" s="124"/>
      <c r="AF69" s="86" t="str">
        <f t="shared" si="31"/>
        <v/>
      </c>
      <c r="AG69" s="30"/>
      <c r="AH69" s="124"/>
      <c r="AI69" s="124"/>
      <c r="AJ69" s="86" t="str">
        <f t="shared" si="32"/>
        <v/>
      </c>
      <c r="AK69" s="30"/>
      <c r="AL69" s="30"/>
      <c r="AM69" s="30"/>
      <c r="AN69" s="86" t="str">
        <f t="shared" si="33"/>
        <v/>
      </c>
      <c r="AO69" s="30"/>
      <c r="AP69" s="124"/>
      <c r="AQ69" s="124"/>
      <c r="AR69" s="86" t="str">
        <f t="shared" si="34"/>
        <v/>
      </c>
      <c r="AS69" s="30"/>
      <c r="AT69" s="124"/>
      <c r="AU69" s="124"/>
      <c r="AV69" s="86" t="str">
        <f t="shared" si="35"/>
        <v/>
      </c>
      <c r="AW69" s="30"/>
      <c r="AX69" s="124"/>
      <c r="AY69" s="124"/>
      <c r="AZ69" s="86" t="str">
        <f t="shared" si="36"/>
        <v/>
      </c>
      <c r="BA69" s="30"/>
      <c r="BB69" s="124"/>
      <c r="BC69" s="124"/>
      <c r="BD69" s="86" t="str">
        <f t="shared" si="37"/>
        <v/>
      </c>
      <c r="BE69" s="30"/>
      <c r="BF69" s="124"/>
      <c r="BG69" s="124"/>
      <c r="BH69" s="86" t="str">
        <f t="shared" si="38"/>
        <v/>
      </c>
      <c r="BI69" s="30"/>
      <c r="BJ69" s="124"/>
      <c r="BK69" s="124"/>
      <c r="BL69" s="86" t="str">
        <f t="shared" si="39"/>
        <v/>
      </c>
      <c r="BM69" s="30"/>
      <c r="BN69" s="124"/>
      <c r="BO69" s="124"/>
      <c r="BP69" s="86" t="str">
        <f t="shared" si="40"/>
        <v/>
      </c>
      <c r="BQ69" s="30"/>
      <c r="BR69" s="124"/>
      <c r="BS69" s="124"/>
      <c r="BT69" s="86" t="str">
        <f t="shared" si="41"/>
        <v/>
      </c>
      <c r="BU69" s="30"/>
      <c r="BV69" s="124"/>
      <c r="BW69" s="124"/>
      <c r="BX69" s="86" t="str">
        <f t="shared" si="42"/>
        <v/>
      </c>
      <c r="BY69" s="30"/>
      <c r="BZ69" s="124"/>
      <c r="CA69" s="124"/>
      <c r="CB69" s="86" t="str">
        <f t="shared" si="43"/>
        <v/>
      </c>
      <c r="CC69" s="30"/>
      <c r="CD69" s="124"/>
      <c r="CE69" s="124"/>
      <c r="CF69" s="86" t="str">
        <f t="shared" si="44"/>
        <v/>
      </c>
      <c r="CG69" s="30"/>
      <c r="CH69" s="124"/>
      <c r="CI69" s="124"/>
      <c r="CJ69" s="86" t="str">
        <f t="shared" si="45"/>
        <v/>
      </c>
      <c r="CK69" s="30"/>
      <c r="CL69" s="124"/>
      <c r="CM69" s="124"/>
      <c r="CN69" s="86" t="str">
        <f t="shared" si="46"/>
        <v/>
      </c>
      <c r="CO69" s="30"/>
      <c r="CP69" s="124"/>
      <c r="CQ69" s="124"/>
      <c r="CR69" s="86" t="str">
        <f t="shared" si="47"/>
        <v/>
      </c>
      <c r="CS69" s="30"/>
      <c r="CT69" s="124"/>
      <c r="CU69" s="124"/>
      <c r="CV69" s="86" t="str">
        <f t="shared" si="48"/>
        <v/>
      </c>
      <c r="CW69" s="30" t="s">
        <v>1</v>
      </c>
      <c r="CX69" s="90">
        <v>68</v>
      </c>
      <c r="CY69" s="90">
        <v>4000</v>
      </c>
      <c r="CZ69" s="86">
        <f t="shared" si="49"/>
        <v>58.823529411764703</v>
      </c>
      <c r="DA69" s="70"/>
      <c r="DC69" s="90"/>
      <c r="DD69" s="86" t="str">
        <f t="shared" si="50"/>
        <v/>
      </c>
    </row>
    <row r="70" spans="1:125" x14ac:dyDescent="0.3">
      <c r="A70" s="30" t="s">
        <v>255</v>
      </c>
      <c r="B70" s="30" t="s">
        <v>75</v>
      </c>
      <c r="F70" s="86" t="str">
        <f>IFERROR(E70/D70,"")</f>
        <v/>
      </c>
      <c r="G70" s="30"/>
      <c r="H70" s="30"/>
      <c r="I70" s="30"/>
      <c r="J70" s="86" t="str">
        <f t="shared" si="26"/>
        <v/>
      </c>
      <c r="K70" s="30"/>
      <c r="L70" s="30"/>
      <c r="M70" s="30"/>
      <c r="N70" s="86" t="str">
        <f t="shared" si="27"/>
        <v/>
      </c>
      <c r="O70" s="30"/>
      <c r="P70" s="30"/>
      <c r="Q70" s="30"/>
      <c r="R70" s="86" t="str">
        <f t="shared" si="28"/>
        <v/>
      </c>
      <c r="S70" s="30"/>
      <c r="T70" s="124"/>
      <c r="U70" s="124"/>
      <c r="V70" s="86" t="str">
        <f t="shared" si="29"/>
        <v/>
      </c>
      <c r="W70" s="124"/>
      <c r="X70" s="124"/>
      <c r="Y70" s="86" t="str">
        <f t="shared" si="30"/>
        <v/>
      </c>
      <c r="Z70" s="30"/>
      <c r="AA70" s="30"/>
      <c r="AB70" s="30"/>
      <c r="AC70" s="30"/>
      <c r="AD70" s="124"/>
      <c r="AE70" s="124"/>
      <c r="AF70" s="86" t="str">
        <f t="shared" si="31"/>
        <v/>
      </c>
      <c r="AG70" s="30"/>
      <c r="AH70" s="124"/>
      <c r="AI70" s="124"/>
      <c r="AJ70" s="86" t="str">
        <f t="shared" si="32"/>
        <v/>
      </c>
      <c r="AK70" s="30"/>
      <c r="AL70" s="30"/>
      <c r="AM70" s="30"/>
      <c r="AN70" s="86" t="str">
        <f t="shared" si="33"/>
        <v/>
      </c>
      <c r="AO70" s="30"/>
      <c r="AP70" s="124"/>
      <c r="AQ70" s="124"/>
      <c r="AR70" s="86" t="str">
        <f t="shared" si="34"/>
        <v/>
      </c>
      <c r="AS70" s="30"/>
      <c r="AT70" s="124"/>
      <c r="AU70" s="124"/>
      <c r="AV70" s="86" t="str">
        <f t="shared" si="35"/>
        <v/>
      </c>
      <c r="AW70" s="30"/>
      <c r="AX70" s="124"/>
      <c r="AY70" s="124"/>
      <c r="AZ70" s="86" t="str">
        <f t="shared" si="36"/>
        <v/>
      </c>
      <c r="BA70" s="30"/>
      <c r="BB70" s="124"/>
      <c r="BC70" s="124"/>
      <c r="BD70" s="86" t="str">
        <f t="shared" si="37"/>
        <v/>
      </c>
      <c r="BE70" s="30"/>
      <c r="BF70" s="124"/>
      <c r="BG70" s="124"/>
      <c r="BH70" s="86" t="str">
        <f t="shared" si="38"/>
        <v/>
      </c>
      <c r="BI70" s="30"/>
      <c r="BJ70" s="124"/>
      <c r="BK70" s="124"/>
      <c r="BL70" s="86" t="str">
        <f t="shared" si="39"/>
        <v/>
      </c>
      <c r="BM70" s="30"/>
      <c r="BN70" s="124"/>
      <c r="BO70" s="124"/>
      <c r="BP70" s="86" t="str">
        <f t="shared" si="40"/>
        <v/>
      </c>
      <c r="BQ70" s="30"/>
      <c r="BR70" s="124"/>
      <c r="BS70" s="124"/>
      <c r="BT70" s="86" t="str">
        <f t="shared" si="41"/>
        <v/>
      </c>
      <c r="BU70" s="30"/>
      <c r="BV70" s="124"/>
      <c r="BW70" s="124"/>
      <c r="BX70" s="86" t="str">
        <f t="shared" si="42"/>
        <v/>
      </c>
      <c r="BY70" s="30"/>
      <c r="BZ70" s="124"/>
      <c r="CA70" s="124"/>
      <c r="CB70" s="86" t="str">
        <f t="shared" si="43"/>
        <v/>
      </c>
      <c r="CC70" s="30"/>
      <c r="CD70" s="124"/>
      <c r="CE70" s="124"/>
      <c r="CF70" s="86" t="str">
        <f t="shared" si="44"/>
        <v/>
      </c>
      <c r="CG70" s="30"/>
      <c r="CH70" s="124"/>
      <c r="CI70" s="124"/>
      <c r="CJ70" s="86" t="str">
        <f t="shared" si="45"/>
        <v/>
      </c>
      <c r="CK70" s="30"/>
      <c r="CL70" s="124"/>
      <c r="CM70" s="124"/>
      <c r="CN70" s="86" t="str">
        <f t="shared" si="46"/>
        <v/>
      </c>
      <c r="CO70" s="30"/>
      <c r="CP70" s="124"/>
      <c r="CQ70" s="124"/>
      <c r="CR70" s="86" t="str">
        <f t="shared" si="47"/>
        <v/>
      </c>
      <c r="CS70" s="30"/>
      <c r="CT70" s="124"/>
      <c r="CU70" s="124"/>
      <c r="CV70" s="86" t="str">
        <f t="shared" si="48"/>
        <v/>
      </c>
      <c r="CW70" s="30" t="s">
        <v>1</v>
      </c>
      <c r="CX70" s="90">
        <v>19</v>
      </c>
      <c r="CY70" s="90">
        <v>4000</v>
      </c>
      <c r="CZ70" s="86">
        <f t="shared" si="49"/>
        <v>210.52631578947367</v>
      </c>
      <c r="DA70" s="70"/>
      <c r="DC70" s="90"/>
      <c r="DD70" s="86" t="str">
        <f t="shared" si="50"/>
        <v/>
      </c>
    </row>
    <row r="71" spans="1:125" x14ac:dyDescent="0.3">
      <c r="A71" s="30" t="s">
        <v>261</v>
      </c>
      <c r="B71" s="30" t="s">
        <v>75</v>
      </c>
      <c r="F71" s="86" t="str">
        <f>IFERROR(E71/D71,"")</f>
        <v/>
      </c>
      <c r="G71" s="30"/>
      <c r="H71" s="30"/>
      <c r="I71" s="30"/>
      <c r="J71" s="86" t="str">
        <f t="shared" si="26"/>
        <v/>
      </c>
      <c r="K71" s="30"/>
      <c r="L71" s="30"/>
      <c r="M71" s="30"/>
      <c r="N71" s="86" t="str">
        <f t="shared" si="27"/>
        <v/>
      </c>
      <c r="O71" s="30"/>
      <c r="P71" s="30"/>
      <c r="Q71" s="30"/>
      <c r="R71" s="86" t="str">
        <f t="shared" si="28"/>
        <v/>
      </c>
      <c r="S71" s="30"/>
      <c r="T71" s="124"/>
      <c r="U71" s="124"/>
      <c r="V71" s="86" t="str">
        <f t="shared" si="29"/>
        <v/>
      </c>
      <c r="W71" s="124"/>
      <c r="X71" s="124"/>
      <c r="Y71" s="86" t="str">
        <f t="shared" si="30"/>
        <v/>
      </c>
      <c r="Z71" s="30"/>
      <c r="AA71" s="30"/>
      <c r="AB71" s="30"/>
      <c r="AC71" s="30"/>
      <c r="AD71" s="124"/>
      <c r="AE71" s="124"/>
      <c r="AF71" s="86" t="str">
        <f t="shared" si="31"/>
        <v/>
      </c>
      <c r="AG71" s="30"/>
      <c r="AH71" s="124"/>
      <c r="AI71" s="124"/>
      <c r="AJ71" s="86" t="str">
        <f t="shared" si="32"/>
        <v/>
      </c>
      <c r="AK71" s="30"/>
      <c r="AL71" s="30"/>
      <c r="AM71" s="30"/>
      <c r="AN71" s="86" t="str">
        <f t="shared" si="33"/>
        <v/>
      </c>
      <c r="AO71" s="30"/>
      <c r="AP71" s="124"/>
      <c r="AQ71" s="124"/>
      <c r="AR71" s="86" t="str">
        <f t="shared" si="34"/>
        <v/>
      </c>
      <c r="AS71" s="30"/>
      <c r="AT71" s="124"/>
      <c r="AU71" s="124"/>
      <c r="AV71" s="86" t="str">
        <f t="shared" si="35"/>
        <v/>
      </c>
      <c r="AW71" s="30"/>
      <c r="AX71" s="124"/>
      <c r="AY71" s="124"/>
      <c r="AZ71" s="86" t="str">
        <f t="shared" si="36"/>
        <v/>
      </c>
      <c r="BA71" s="30"/>
      <c r="BB71" s="124"/>
      <c r="BC71" s="124"/>
      <c r="BD71" s="86" t="str">
        <f t="shared" si="37"/>
        <v/>
      </c>
      <c r="BE71" s="30"/>
      <c r="BF71" s="124"/>
      <c r="BG71" s="124"/>
      <c r="BH71" s="86" t="str">
        <f t="shared" si="38"/>
        <v/>
      </c>
      <c r="BI71" s="30"/>
      <c r="BJ71" s="124"/>
      <c r="BK71" s="124"/>
      <c r="BL71" s="86" t="str">
        <f t="shared" si="39"/>
        <v/>
      </c>
      <c r="BM71" s="30"/>
      <c r="BN71" s="124"/>
      <c r="BO71" s="124"/>
      <c r="BP71" s="86" t="str">
        <f t="shared" si="40"/>
        <v/>
      </c>
      <c r="BQ71" s="30"/>
      <c r="BR71" s="124"/>
      <c r="BS71" s="124"/>
      <c r="BT71" s="86" t="str">
        <f t="shared" si="41"/>
        <v/>
      </c>
      <c r="BU71" s="30"/>
      <c r="BV71" s="124"/>
      <c r="BW71" s="124"/>
      <c r="BX71" s="86" t="str">
        <f t="shared" si="42"/>
        <v/>
      </c>
      <c r="BY71" s="30"/>
      <c r="BZ71" s="124"/>
      <c r="CA71" s="124"/>
      <c r="CB71" s="86" t="str">
        <f t="shared" si="43"/>
        <v/>
      </c>
      <c r="CC71" s="30"/>
      <c r="CD71" s="124"/>
      <c r="CE71" s="124"/>
      <c r="CF71" s="86" t="str">
        <f t="shared" si="44"/>
        <v/>
      </c>
      <c r="CG71" s="30"/>
      <c r="CH71" s="124"/>
      <c r="CI71" s="124"/>
      <c r="CJ71" s="86" t="str">
        <f t="shared" si="45"/>
        <v/>
      </c>
      <c r="CK71" s="30"/>
      <c r="CL71" s="124"/>
      <c r="CM71" s="124"/>
      <c r="CN71" s="86" t="str">
        <f t="shared" si="46"/>
        <v/>
      </c>
      <c r="CO71" s="30"/>
      <c r="CP71" s="124"/>
      <c r="CQ71" s="124"/>
      <c r="CR71" s="86" t="str">
        <f t="shared" si="47"/>
        <v/>
      </c>
      <c r="CS71" s="30"/>
      <c r="CT71" s="124"/>
      <c r="CU71" s="124"/>
      <c r="CV71" s="86" t="str">
        <f t="shared" si="48"/>
        <v/>
      </c>
      <c r="CW71" s="30" t="s">
        <v>1</v>
      </c>
      <c r="CX71" s="90">
        <v>3</v>
      </c>
      <c r="CY71" s="90">
        <v>1000</v>
      </c>
      <c r="CZ71" s="86">
        <f t="shared" si="49"/>
        <v>333.33333333333331</v>
      </c>
      <c r="DA71" s="70"/>
      <c r="DC71" s="90"/>
      <c r="DD71" s="86" t="str">
        <f t="shared" si="50"/>
        <v/>
      </c>
    </row>
    <row r="72" spans="1:125" x14ac:dyDescent="0.3">
      <c r="A72" s="30" t="s">
        <v>259</v>
      </c>
      <c r="B72" s="30" t="s">
        <v>75</v>
      </c>
      <c r="F72" s="86" t="str">
        <f>IFERROR(E72/D72,"")</f>
        <v/>
      </c>
      <c r="G72" s="30"/>
      <c r="H72" s="30"/>
      <c r="I72" s="30"/>
      <c r="J72" s="86" t="str">
        <f t="shared" si="26"/>
        <v/>
      </c>
      <c r="K72" s="30"/>
      <c r="L72" s="30"/>
      <c r="M72" s="30"/>
      <c r="N72" s="86" t="str">
        <f t="shared" si="27"/>
        <v/>
      </c>
      <c r="O72" s="30"/>
      <c r="P72" s="30"/>
      <c r="Q72" s="30"/>
      <c r="R72" s="86" t="str">
        <f t="shared" si="28"/>
        <v/>
      </c>
      <c r="S72" s="30"/>
      <c r="T72" s="124"/>
      <c r="U72" s="124"/>
      <c r="V72" s="86" t="str">
        <f t="shared" si="29"/>
        <v/>
      </c>
      <c r="W72" s="124"/>
      <c r="X72" s="124"/>
      <c r="Y72" s="86" t="str">
        <f t="shared" si="30"/>
        <v/>
      </c>
      <c r="Z72" s="30"/>
      <c r="AA72" s="30"/>
      <c r="AB72" s="30"/>
      <c r="AC72" s="30"/>
      <c r="AD72" s="124"/>
      <c r="AE72" s="124"/>
      <c r="AF72" s="86" t="str">
        <f t="shared" si="31"/>
        <v/>
      </c>
      <c r="AG72" s="30"/>
      <c r="AH72" s="124"/>
      <c r="AI72" s="124"/>
      <c r="AJ72" s="86" t="str">
        <f t="shared" si="32"/>
        <v/>
      </c>
      <c r="AK72" s="30"/>
      <c r="AL72" s="30"/>
      <c r="AM72" s="30"/>
      <c r="AN72" s="86" t="str">
        <f t="shared" si="33"/>
        <v/>
      </c>
      <c r="AO72" s="30"/>
      <c r="AP72" s="124"/>
      <c r="AQ72" s="124"/>
      <c r="AR72" s="86" t="str">
        <f t="shared" si="34"/>
        <v/>
      </c>
      <c r="AS72" s="30"/>
      <c r="AT72" s="124"/>
      <c r="AU72" s="124"/>
      <c r="AV72" s="86" t="str">
        <f t="shared" si="35"/>
        <v/>
      </c>
      <c r="AW72" s="30"/>
      <c r="AX72" s="124"/>
      <c r="AY72" s="124"/>
      <c r="AZ72" s="86" t="str">
        <f t="shared" si="36"/>
        <v/>
      </c>
      <c r="BA72" s="30"/>
      <c r="BB72" s="124"/>
      <c r="BC72" s="124"/>
      <c r="BD72" s="86" t="str">
        <f t="shared" si="37"/>
        <v/>
      </c>
      <c r="BE72" s="30"/>
      <c r="BF72" s="124"/>
      <c r="BG72" s="124"/>
      <c r="BH72" s="86" t="str">
        <f t="shared" si="38"/>
        <v/>
      </c>
      <c r="BI72" s="30"/>
      <c r="BJ72" s="124"/>
      <c r="BK72" s="124"/>
      <c r="BL72" s="86" t="str">
        <f t="shared" si="39"/>
        <v/>
      </c>
      <c r="BM72" s="30"/>
      <c r="BN72" s="124"/>
      <c r="BO72" s="124"/>
      <c r="BP72" s="86" t="str">
        <f t="shared" si="40"/>
        <v/>
      </c>
      <c r="BQ72" s="30"/>
      <c r="BR72" s="124"/>
      <c r="BS72" s="124"/>
      <c r="BT72" s="86" t="str">
        <f t="shared" si="41"/>
        <v/>
      </c>
      <c r="BU72" s="30"/>
      <c r="BV72" s="124"/>
      <c r="BW72" s="124"/>
      <c r="BX72" s="86" t="str">
        <f t="shared" si="42"/>
        <v/>
      </c>
      <c r="BY72" s="30"/>
      <c r="BZ72" s="124"/>
      <c r="CA72" s="124"/>
      <c r="CB72" s="86" t="str">
        <f t="shared" si="43"/>
        <v/>
      </c>
      <c r="CC72" s="30"/>
      <c r="CD72" s="124"/>
      <c r="CE72" s="124"/>
      <c r="CF72" s="86" t="str">
        <f t="shared" si="44"/>
        <v/>
      </c>
      <c r="CG72" s="30"/>
      <c r="CH72" s="124"/>
      <c r="CI72" s="124"/>
      <c r="CJ72" s="86" t="str">
        <f t="shared" si="45"/>
        <v/>
      </c>
      <c r="CK72" s="30"/>
      <c r="CL72" s="124"/>
      <c r="CM72" s="124"/>
      <c r="CN72" s="86" t="str">
        <f t="shared" si="46"/>
        <v/>
      </c>
      <c r="CO72" s="30"/>
      <c r="CP72" s="124"/>
      <c r="CQ72" s="124"/>
      <c r="CR72" s="86" t="str">
        <f t="shared" si="47"/>
        <v/>
      </c>
      <c r="CS72" s="30"/>
      <c r="CT72" s="124"/>
      <c r="CU72" s="124"/>
      <c r="CV72" s="86" t="str">
        <f t="shared" si="48"/>
        <v/>
      </c>
      <c r="CW72" s="30" t="s">
        <v>1</v>
      </c>
      <c r="CX72" s="90">
        <v>8</v>
      </c>
      <c r="CY72" s="90">
        <v>3000</v>
      </c>
      <c r="CZ72" s="86">
        <f t="shared" si="49"/>
        <v>375</v>
      </c>
      <c r="DA72" s="70"/>
      <c r="DC72" s="90"/>
      <c r="DD72" s="86" t="str">
        <f t="shared" si="50"/>
        <v/>
      </c>
    </row>
    <row r="73" spans="1:125" x14ac:dyDescent="0.3">
      <c r="A73" s="30" t="s">
        <v>260</v>
      </c>
      <c r="B73" s="30" t="s">
        <v>75</v>
      </c>
      <c r="F73" s="86" t="str">
        <f>IFERROR(E73/D73,"")</f>
        <v/>
      </c>
      <c r="G73" s="30"/>
      <c r="H73" s="30"/>
      <c r="I73" s="30"/>
      <c r="J73" s="86" t="str">
        <f t="shared" si="26"/>
        <v/>
      </c>
      <c r="K73" s="30"/>
      <c r="L73" s="30"/>
      <c r="M73" s="30"/>
      <c r="N73" s="86" t="str">
        <f t="shared" si="27"/>
        <v/>
      </c>
      <c r="O73" s="30"/>
      <c r="P73" s="30"/>
      <c r="Q73" s="30"/>
      <c r="R73" s="86" t="str">
        <f t="shared" si="28"/>
        <v/>
      </c>
      <c r="S73" s="30"/>
      <c r="T73" s="124"/>
      <c r="U73" s="124"/>
      <c r="V73" s="86" t="str">
        <f t="shared" si="29"/>
        <v/>
      </c>
      <c r="W73" s="124"/>
      <c r="X73" s="124"/>
      <c r="Y73" s="86" t="str">
        <f t="shared" si="30"/>
        <v/>
      </c>
      <c r="Z73" s="30"/>
      <c r="AA73" s="30"/>
      <c r="AB73" s="30"/>
      <c r="AC73" s="30"/>
      <c r="AD73" s="124"/>
      <c r="AE73" s="124"/>
      <c r="AF73" s="86" t="str">
        <f t="shared" si="31"/>
        <v/>
      </c>
      <c r="AG73" s="30"/>
      <c r="AH73" s="124"/>
      <c r="AI73" s="124"/>
      <c r="AJ73" s="86" t="str">
        <f t="shared" si="32"/>
        <v/>
      </c>
      <c r="AK73" s="30"/>
      <c r="AL73" s="30"/>
      <c r="AM73" s="30"/>
      <c r="AN73" s="86" t="str">
        <f t="shared" si="33"/>
        <v/>
      </c>
      <c r="AO73" s="30"/>
      <c r="AP73" s="124"/>
      <c r="AQ73" s="124"/>
      <c r="AR73" s="86" t="str">
        <f t="shared" si="34"/>
        <v/>
      </c>
      <c r="AS73" s="30"/>
      <c r="AT73" s="124"/>
      <c r="AU73" s="124"/>
      <c r="AV73" s="86" t="str">
        <f t="shared" si="35"/>
        <v/>
      </c>
      <c r="AW73" s="30"/>
      <c r="AX73" s="124"/>
      <c r="AY73" s="124"/>
      <c r="AZ73" s="86" t="str">
        <f t="shared" si="36"/>
        <v/>
      </c>
      <c r="BA73" s="30"/>
      <c r="BB73" s="124"/>
      <c r="BC73" s="124"/>
      <c r="BD73" s="86" t="str">
        <f t="shared" si="37"/>
        <v/>
      </c>
      <c r="BE73" s="30"/>
      <c r="BF73" s="124"/>
      <c r="BG73" s="124"/>
      <c r="BH73" s="86" t="str">
        <f t="shared" si="38"/>
        <v/>
      </c>
      <c r="BI73" s="30"/>
      <c r="BJ73" s="124"/>
      <c r="BK73" s="124"/>
      <c r="BL73" s="86" t="str">
        <f t="shared" si="39"/>
        <v/>
      </c>
      <c r="BM73" s="30"/>
      <c r="BN73" s="124"/>
      <c r="BO73" s="124"/>
      <c r="BP73" s="86" t="str">
        <f t="shared" si="40"/>
        <v/>
      </c>
      <c r="BQ73" s="30"/>
      <c r="BR73" s="124"/>
      <c r="BS73" s="124"/>
      <c r="BT73" s="86" t="str">
        <f t="shared" si="41"/>
        <v/>
      </c>
      <c r="BU73" s="30"/>
      <c r="BV73" s="124"/>
      <c r="BW73" s="124"/>
      <c r="BX73" s="86" t="str">
        <f t="shared" si="42"/>
        <v/>
      </c>
      <c r="BY73" s="30"/>
      <c r="BZ73" s="124"/>
      <c r="CA73" s="124"/>
      <c r="CB73" s="86" t="str">
        <f t="shared" si="43"/>
        <v/>
      </c>
      <c r="CC73" s="30"/>
      <c r="CD73" s="124"/>
      <c r="CE73" s="124"/>
      <c r="CF73" s="86" t="str">
        <f t="shared" si="44"/>
        <v/>
      </c>
      <c r="CG73" s="30"/>
      <c r="CH73" s="124"/>
      <c r="CI73" s="124"/>
      <c r="CJ73" s="86" t="str">
        <f t="shared" si="45"/>
        <v/>
      </c>
      <c r="CK73" s="30"/>
      <c r="CL73" s="124"/>
      <c r="CM73" s="124"/>
      <c r="CN73" s="86" t="str">
        <f t="shared" si="46"/>
        <v/>
      </c>
      <c r="CO73" s="30"/>
      <c r="CP73" s="124"/>
      <c r="CQ73" s="124"/>
      <c r="CR73" s="86" t="str">
        <f t="shared" si="47"/>
        <v/>
      </c>
      <c r="CS73" s="30"/>
      <c r="CT73" s="124"/>
      <c r="CU73" s="124"/>
      <c r="CV73" s="86" t="str">
        <f t="shared" si="48"/>
        <v/>
      </c>
      <c r="CW73" s="30" t="s">
        <v>1</v>
      </c>
      <c r="CX73" s="90">
        <v>66</v>
      </c>
      <c r="CY73" s="90">
        <v>16000</v>
      </c>
      <c r="CZ73" s="86">
        <f t="shared" si="49"/>
        <v>242.42424242424244</v>
      </c>
      <c r="DA73" s="70"/>
      <c r="DC73" s="90"/>
      <c r="DD73" s="86" t="str">
        <f t="shared" si="50"/>
        <v/>
      </c>
    </row>
    <row r="74" spans="1:125" x14ac:dyDescent="0.3">
      <c r="F74" s="30"/>
      <c r="G74" s="30"/>
      <c r="H74" s="30"/>
      <c r="I74" s="30"/>
      <c r="J74" s="30"/>
      <c r="K74" s="30"/>
      <c r="L74" s="30"/>
      <c r="M74" s="30"/>
      <c r="N74" s="30"/>
      <c r="O74" s="30"/>
      <c r="P74" s="30"/>
      <c r="Q74" s="30"/>
      <c r="R74" s="30"/>
      <c r="S74" s="30"/>
      <c r="T74" s="124"/>
      <c r="U74" s="124"/>
      <c r="V74" s="30"/>
      <c r="W74" s="124"/>
      <c r="X74" s="124"/>
      <c r="Y74" s="30"/>
      <c r="Z74" s="30"/>
      <c r="AA74" s="30"/>
      <c r="AB74" s="30"/>
      <c r="AC74" s="30"/>
      <c r="AD74" s="124"/>
      <c r="AE74" s="124"/>
      <c r="AF74" s="30"/>
      <c r="AG74" s="30"/>
      <c r="AH74" s="124"/>
      <c r="AI74" s="124"/>
      <c r="AJ74" s="30"/>
      <c r="AK74" s="30"/>
      <c r="AL74" s="30"/>
      <c r="AM74" s="30"/>
      <c r="AN74" s="30"/>
      <c r="AO74" s="30"/>
      <c r="AP74" s="124"/>
      <c r="AQ74" s="124"/>
      <c r="AR74" s="30"/>
      <c r="AS74" s="30"/>
      <c r="AT74" s="124"/>
      <c r="AU74" s="124"/>
      <c r="AV74" s="30"/>
      <c r="AW74" s="30"/>
      <c r="AX74" s="124"/>
      <c r="AY74" s="124"/>
      <c r="AZ74" s="30"/>
      <c r="BA74" s="30"/>
      <c r="BB74" s="124"/>
      <c r="BC74" s="124"/>
      <c r="BD74" s="30"/>
      <c r="BE74" s="30"/>
      <c r="BF74" s="124"/>
      <c r="BG74" s="124"/>
      <c r="BH74" s="30"/>
      <c r="BI74" s="30"/>
      <c r="BJ74" s="124"/>
      <c r="BK74" s="124"/>
      <c r="BL74" s="30"/>
      <c r="BM74" s="30"/>
      <c r="BN74" s="124"/>
      <c r="BO74" s="124"/>
      <c r="BP74" s="30"/>
      <c r="BQ74" s="30"/>
      <c r="BR74" s="124"/>
      <c r="BS74" s="124"/>
      <c r="BT74" s="30"/>
      <c r="BU74" s="30"/>
      <c r="BV74" s="124"/>
      <c r="BW74" s="124"/>
      <c r="BX74" s="30"/>
      <c r="BY74" s="30"/>
      <c r="BZ74" s="124"/>
      <c r="CA74" s="124"/>
      <c r="CB74" s="30"/>
      <c r="CC74" s="30"/>
      <c r="CD74" s="124"/>
      <c r="CE74" s="124"/>
      <c r="CF74" s="30"/>
      <c r="CG74" s="30"/>
      <c r="CH74" s="124"/>
      <c r="CI74" s="124"/>
      <c r="CJ74" s="30"/>
      <c r="CK74" s="30"/>
      <c r="CL74" s="124"/>
      <c r="CM74" s="124"/>
      <c r="CN74" s="30"/>
      <c r="CO74" s="30"/>
      <c r="CP74" s="124"/>
      <c r="CQ74" s="124"/>
      <c r="CR74" s="30"/>
      <c r="CS74" s="30"/>
      <c r="CT74" s="124"/>
      <c r="CU74" s="124"/>
      <c r="CV74" s="30"/>
      <c r="CW74" s="30"/>
      <c r="CY74" s="90"/>
      <c r="CZ74" s="90"/>
      <c r="DA74" s="70"/>
      <c r="DC74" s="90"/>
    </row>
    <row r="75" spans="1:125" x14ac:dyDescent="0.3">
      <c r="A75" s="68" t="s">
        <v>286</v>
      </c>
      <c r="B75" s="68"/>
      <c r="C75" s="68"/>
      <c r="D75" s="92"/>
      <c r="E75" s="92">
        <f>(275.103888+290.204888+86.360777+40.484444+10.419555+230.777)*1000000/$D$185</f>
        <v>8400153.9618287049</v>
      </c>
      <c r="F75" s="92"/>
      <c r="G75" s="68"/>
      <c r="H75" s="68"/>
      <c r="I75" s="92">
        <f>(372.177222+396.335666+112.052444+42.420111+21.159666+5.777+5.777)*1000000/$D$184</f>
        <v>8601291.9810000006</v>
      </c>
      <c r="J75" s="92"/>
      <c r="K75" s="68"/>
      <c r="L75" s="68"/>
      <c r="M75" s="92">
        <f>(3923.293+1.878+1113.965+339.472+2.525+366.732+4083.118)*1000</f>
        <v>9830983</v>
      </c>
      <c r="N75" s="92"/>
      <c r="O75" s="68"/>
      <c r="P75" s="68"/>
      <c r="Q75" s="92">
        <f>(4031.564+1.155+1601.947+327.646+9.486+341.285+3296.453)*1000</f>
        <v>9609536</v>
      </c>
      <c r="R75" s="92"/>
      <c r="S75" s="68"/>
      <c r="T75" s="125"/>
      <c r="U75" s="125"/>
      <c r="V75" s="68"/>
      <c r="W75" s="125"/>
      <c r="X75" s="125"/>
      <c r="Y75" s="92">
        <f>(3191.465+1.932+886.736+298.759+258.125+3750.261)*1000</f>
        <v>8387278</v>
      </c>
      <c r="Z75" s="68"/>
      <c r="AA75" s="68"/>
      <c r="AB75" s="92">
        <f>(5303.564+1231.201+48.711+627.041+15.198+294.671+3881.373)*1000</f>
        <v>11401759.000000002</v>
      </c>
      <c r="AC75" s="68"/>
      <c r="AD75" s="125"/>
      <c r="AE75" s="124">
        <f>(4375.479+106.001+944.953+503.825+11.35+266.621+3392.807)*1000</f>
        <v>9601036</v>
      </c>
      <c r="AF75" s="92"/>
      <c r="AG75" s="68"/>
      <c r="AH75" s="125"/>
      <c r="AI75" s="124">
        <f>(6329.112+1111.154+4097.275+127.238+494.231+28.279+230.285)*1000</f>
        <v>12417573.999999998</v>
      </c>
      <c r="AJ75" s="92"/>
      <c r="AK75" s="92"/>
      <c r="AL75" s="92"/>
      <c r="AM75" s="92">
        <f>(6381.265+287.974+1374.362+713.15+35.294+292.512+3454.87)*1000</f>
        <v>12539427</v>
      </c>
      <c r="AN75" s="92"/>
      <c r="AO75" s="92"/>
      <c r="AP75" s="124"/>
      <c r="AQ75" s="124">
        <f>(5214.53+267.876+1207.865+427.145+53.312+304.785+3234.778)*1000</f>
        <v>10710291</v>
      </c>
      <c r="AR75" s="92"/>
      <c r="AS75" s="92"/>
      <c r="AT75" s="124"/>
      <c r="AU75" s="124">
        <f>(5412.649+253.281+1197.263+432.355+45.047+364.132+3475.011)*1000</f>
        <v>11179738</v>
      </c>
      <c r="AV75" s="92"/>
      <c r="AW75" s="92"/>
      <c r="AX75" s="124"/>
      <c r="AY75" s="124"/>
      <c r="AZ75" s="92"/>
      <c r="BA75" s="92"/>
      <c r="BB75" s="124"/>
      <c r="BC75" s="124"/>
      <c r="BD75" s="92"/>
      <c r="BE75" s="92"/>
      <c r="BF75" s="124"/>
      <c r="BG75" s="124">
        <f>(5712+1526+4083+1448+999+694)*1000</f>
        <v>14462000</v>
      </c>
      <c r="BH75" s="92"/>
      <c r="BI75" s="92"/>
      <c r="BJ75" s="124"/>
      <c r="BK75" s="124">
        <f>(6100+1577+1505+1306)*1000</f>
        <v>10488000</v>
      </c>
      <c r="BL75" s="92"/>
      <c r="BM75" s="68"/>
      <c r="BN75" s="125"/>
      <c r="BO75" s="124">
        <f>(6526+4152+1827+1779+1449)*1000</f>
        <v>15733000</v>
      </c>
      <c r="BP75" s="92"/>
      <c r="BQ75" s="68"/>
      <c r="BR75" s="125"/>
      <c r="BS75" s="124">
        <f>(6370+4060+1881+1995+1906)*1000</f>
        <v>16212000</v>
      </c>
      <c r="BT75" s="92"/>
      <c r="BU75" s="68"/>
      <c r="BV75" s="125"/>
      <c r="BW75" s="124">
        <f>(6138+3656+2173+1906+1565+610+2239)*1000</f>
        <v>18287000</v>
      </c>
      <c r="BX75" s="92"/>
      <c r="BY75" s="68"/>
      <c r="BZ75" s="125"/>
      <c r="CA75" s="124">
        <f>(5948+4039+2317+2578+2112+1882+901+570)*1000</f>
        <v>20347000</v>
      </c>
      <c r="CB75" s="92"/>
      <c r="CC75" s="68"/>
      <c r="CD75" s="125"/>
      <c r="CE75" s="124">
        <f>(6472+4580+2675+2700+2255+1915+1087+707)*1000</f>
        <v>22391000</v>
      </c>
      <c r="CF75" s="92"/>
      <c r="CG75" s="68"/>
      <c r="CH75" s="125"/>
      <c r="CI75" s="124">
        <f>(6830+4766+3019+2961+2524+1732+1053+755)*1000</f>
        <v>23640000</v>
      </c>
      <c r="CJ75" s="92"/>
      <c r="CK75" s="68"/>
      <c r="CL75" s="125"/>
      <c r="CM75" s="124">
        <f>(5461+3538+2210+2378+2249+1718+645+747)*1000</f>
        <v>18946000</v>
      </c>
      <c r="CN75" s="92"/>
      <c r="CO75" s="68"/>
      <c r="CP75" s="125"/>
      <c r="CQ75" s="124">
        <f>(5468+3959+3087+2865+2954+1839+538+879)*1000</f>
        <v>21589000</v>
      </c>
      <c r="CR75" s="92"/>
      <c r="CS75" s="68"/>
      <c r="CT75" s="125"/>
      <c r="CU75" s="124">
        <f>(5033+3859+2817+3372+2400+2167+870)*1000</f>
        <v>20518000</v>
      </c>
      <c r="CV75" s="92"/>
      <c r="CW75" s="30"/>
      <c r="CY75" s="90">
        <v>20072000</v>
      </c>
      <c r="CZ75" s="90"/>
      <c r="DA75" s="70"/>
      <c r="DC75" s="90"/>
    </row>
    <row r="76" spans="1:125" x14ac:dyDescent="0.3">
      <c r="C76" s="90"/>
      <c r="D76" s="90"/>
      <c r="E76" s="90"/>
    </row>
    <row r="77" spans="1:125" x14ac:dyDescent="0.3">
      <c r="E77" s="70"/>
      <c r="R77" s="90"/>
      <c r="T77" s="70"/>
      <c r="U77" s="90"/>
      <c r="W77" s="70"/>
      <c r="AB77" s="90"/>
      <c r="AD77" s="70"/>
      <c r="AF77" s="90"/>
      <c r="AH77" s="70"/>
      <c r="AN77" s="90"/>
      <c r="AP77" s="70"/>
      <c r="AR77" s="90"/>
      <c r="AT77" s="70"/>
      <c r="AV77" s="90"/>
      <c r="AX77" s="70"/>
      <c r="AZ77" s="90"/>
      <c r="BB77" s="70"/>
      <c r="BD77" s="90"/>
      <c r="BF77" s="70"/>
      <c r="BH77" s="90"/>
      <c r="BJ77" s="70"/>
      <c r="BL77" s="90"/>
      <c r="BN77" s="70"/>
      <c r="BP77" s="90"/>
      <c r="BR77" s="70"/>
      <c r="BT77" s="90"/>
      <c r="BV77" s="70"/>
      <c r="BX77" s="90"/>
      <c r="BZ77" s="70"/>
      <c r="CB77" s="90"/>
      <c r="CD77" s="70"/>
      <c r="CF77" s="90"/>
      <c r="CH77" s="70"/>
      <c r="CJ77" s="90"/>
      <c r="CL77" s="70"/>
      <c r="CN77" s="90"/>
      <c r="CP77" s="70"/>
      <c r="CR77" s="90"/>
      <c r="CT77" s="70"/>
      <c r="CV77" s="90"/>
      <c r="CX77" s="70"/>
      <c r="CZ77" s="90"/>
      <c r="DB77" s="70"/>
    </row>
    <row r="78" spans="1:125" s="95" customFormat="1" x14ac:dyDescent="0.3">
      <c r="A78" s="93" t="s">
        <v>95</v>
      </c>
      <c r="B78" s="94"/>
      <c r="F78" s="96"/>
      <c r="G78" s="94"/>
      <c r="M78" s="96"/>
      <c r="Q78" s="126"/>
      <c r="R78" s="126"/>
      <c r="S78" s="94"/>
      <c r="T78" s="128"/>
      <c r="U78" s="127"/>
      <c r="AA78" s="127"/>
      <c r="AB78" s="128"/>
      <c r="AE78" s="128"/>
      <c r="AF78" s="128"/>
      <c r="AI78" s="96"/>
      <c r="AM78" s="128"/>
      <c r="AN78" s="127"/>
      <c r="AO78" s="96"/>
      <c r="AQ78" s="126"/>
      <c r="AR78" s="128"/>
      <c r="AU78" s="127"/>
      <c r="AV78" s="128"/>
      <c r="AY78" s="128"/>
      <c r="AZ78" s="128"/>
      <c r="BB78" s="96"/>
      <c r="BC78" s="128"/>
      <c r="BD78" s="128"/>
      <c r="BG78" s="127"/>
      <c r="BH78" s="128"/>
      <c r="BK78" s="128"/>
      <c r="BL78" s="128"/>
      <c r="BO78" s="127"/>
      <c r="BP78" s="128"/>
      <c r="BR78" s="96"/>
      <c r="BS78" s="128"/>
      <c r="BT78" s="128"/>
      <c r="BV78" s="94"/>
      <c r="BW78" s="128"/>
      <c r="BX78" s="128"/>
      <c r="BZ78" s="96"/>
      <c r="CA78" s="128"/>
      <c r="CB78" s="128"/>
      <c r="CE78" s="128"/>
      <c r="CF78" s="127"/>
      <c r="CG78" s="96"/>
      <c r="CI78" s="128"/>
      <c r="CJ78" s="128"/>
      <c r="CM78" s="128"/>
      <c r="CN78" s="127"/>
      <c r="CO78" s="96"/>
      <c r="CQ78" s="128"/>
      <c r="CR78" s="128"/>
      <c r="CT78" s="96"/>
      <c r="CU78" s="128"/>
      <c r="CV78" s="128"/>
      <c r="CY78" s="128"/>
      <c r="CZ78" s="128"/>
      <c r="DA78" s="96"/>
      <c r="DD78" s="96"/>
      <c r="DH78" s="96"/>
      <c r="DK78" s="96"/>
      <c r="DN78" s="96"/>
      <c r="DR78" s="96"/>
      <c r="DU78" s="96"/>
    </row>
    <row r="79" spans="1:125" s="94" customFormat="1" x14ac:dyDescent="0.3">
      <c r="A79" s="94" t="s">
        <v>49</v>
      </c>
      <c r="B79" s="94">
        <v>1</v>
      </c>
      <c r="C79" s="96" t="s">
        <v>23</v>
      </c>
      <c r="D79" s="97">
        <v>108</v>
      </c>
      <c r="E79" s="96" t="s">
        <v>96</v>
      </c>
      <c r="F79" s="98">
        <f>D79/F88</f>
        <v>4.8214285714285716E-2</v>
      </c>
      <c r="G79" s="99" t="s">
        <v>28</v>
      </c>
      <c r="H79" s="97"/>
      <c r="I79" s="96"/>
      <c r="J79" s="96"/>
      <c r="K79" s="96"/>
      <c r="L79" s="96"/>
      <c r="N79" s="100"/>
      <c r="O79" s="100"/>
      <c r="Q79" s="127"/>
      <c r="R79" s="127"/>
      <c r="S79" s="96"/>
      <c r="T79" s="127"/>
      <c r="U79" s="126"/>
      <c r="V79" s="97"/>
      <c r="W79" s="101"/>
      <c r="X79" s="96"/>
      <c r="Y79" s="96"/>
      <c r="Z79" s="96"/>
      <c r="AA79" s="131"/>
      <c r="AB79" s="126"/>
      <c r="AD79" s="97"/>
      <c r="AE79" s="128"/>
      <c r="AF79" s="127"/>
      <c r="AG79" s="96"/>
      <c r="AH79" s="96"/>
      <c r="AL79" s="96"/>
      <c r="AM79" s="127"/>
      <c r="AN79" s="126"/>
      <c r="AP79" s="96"/>
      <c r="AQ79" s="128"/>
      <c r="AR79" s="127"/>
      <c r="AS79" s="96"/>
      <c r="AT79" s="96"/>
      <c r="AU79" s="126"/>
      <c r="AV79" s="126"/>
      <c r="AY79" s="127"/>
      <c r="AZ79" s="127"/>
      <c r="BA79" s="96"/>
      <c r="BC79" s="127"/>
      <c r="BD79" s="128"/>
      <c r="BE79" s="97"/>
      <c r="BF79" s="96"/>
      <c r="BG79" s="126"/>
      <c r="BH79" s="127"/>
      <c r="BI79" s="96"/>
      <c r="BK79" s="128"/>
      <c r="BL79" s="127"/>
      <c r="BM79" s="96"/>
      <c r="BN79" s="96"/>
      <c r="BO79" s="126"/>
      <c r="BP79" s="126"/>
      <c r="BS79" s="127"/>
      <c r="BT79" s="126"/>
      <c r="BV79" s="97"/>
      <c r="BW79" s="127"/>
      <c r="BX79" s="127"/>
      <c r="BY79" s="96"/>
      <c r="CA79" s="126"/>
      <c r="CB79" s="127"/>
      <c r="CC79" s="96"/>
      <c r="CD79" s="97"/>
      <c r="CE79" s="127"/>
      <c r="CF79" s="126"/>
      <c r="CH79" s="96"/>
      <c r="CI79" s="126"/>
      <c r="CJ79" s="128"/>
      <c r="CK79" s="97"/>
      <c r="CL79" s="96"/>
      <c r="CM79" s="127"/>
      <c r="CN79" s="126"/>
      <c r="CQ79" s="127"/>
      <c r="CR79" s="127"/>
      <c r="CS79" s="96"/>
      <c r="CU79" s="127"/>
      <c r="CV79" s="128"/>
      <c r="CW79" s="97"/>
      <c r="CY79" s="127"/>
      <c r="CZ79" s="127"/>
      <c r="DB79" s="97"/>
      <c r="DC79" s="96"/>
      <c r="DG79" s="96"/>
      <c r="DJ79" s="96"/>
      <c r="DM79" s="96"/>
      <c r="DQ79" s="96"/>
      <c r="DT79" s="96"/>
    </row>
    <row r="80" spans="1:125" s="94" customFormat="1" x14ac:dyDescent="0.3">
      <c r="A80" s="94" t="s">
        <v>49</v>
      </c>
      <c r="B80" s="94">
        <v>1</v>
      </c>
      <c r="C80" s="96" t="s">
        <v>97</v>
      </c>
      <c r="D80" s="97">
        <v>32.5</v>
      </c>
      <c r="E80" s="96" t="s">
        <v>96</v>
      </c>
      <c r="H80" s="97"/>
      <c r="I80" s="96"/>
      <c r="J80" s="96"/>
      <c r="K80" s="96"/>
      <c r="L80" s="96"/>
      <c r="Q80" s="127"/>
      <c r="R80" s="127"/>
      <c r="S80" s="96"/>
      <c r="T80" s="127"/>
      <c r="U80" s="128"/>
      <c r="V80" s="97"/>
      <c r="X80" s="96"/>
      <c r="Y80" s="96"/>
      <c r="Z80" s="96"/>
      <c r="AA80" s="131"/>
      <c r="AB80" s="126"/>
      <c r="AD80" s="97"/>
      <c r="AE80" s="128"/>
      <c r="AF80" s="127"/>
      <c r="AG80" s="96"/>
      <c r="AH80" s="96"/>
      <c r="AL80" s="96"/>
      <c r="AM80" s="127"/>
      <c r="AN80" s="126"/>
      <c r="AP80" s="96"/>
      <c r="AQ80" s="128"/>
      <c r="AR80" s="127"/>
      <c r="AS80" s="96"/>
      <c r="AT80" s="96"/>
      <c r="AU80" s="126"/>
      <c r="AV80" s="126"/>
      <c r="AY80" s="127"/>
      <c r="AZ80" s="127"/>
      <c r="BA80" s="96"/>
      <c r="BC80" s="127"/>
      <c r="BD80" s="128"/>
      <c r="BE80" s="97"/>
      <c r="BF80" s="96"/>
      <c r="BG80" s="126"/>
      <c r="BH80" s="127"/>
      <c r="BI80" s="96"/>
      <c r="BK80" s="128"/>
      <c r="BL80" s="127"/>
      <c r="BM80" s="96"/>
      <c r="BN80" s="96"/>
      <c r="BO80" s="126"/>
      <c r="BP80" s="126"/>
      <c r="BS80" s="127"/>
      <c r="BT80" s="126"/>
      <c r="BV80" s="97"/>
      <c r="BW80" s="127"/>
      <c r="BX80" s="127"/>
      <c r="BY80" s="96"/>
      <c r="CA80" s="126"/>
      <c r="CB80" s="127"/>
      <c r="CC80" s="96"/>
      <c r="CD80" s="97"/>
      <c r="CE80" s="127"/>
      <c r="CF80" s="126"/>
      <c r="CH80" s="96"/>
      <c r="CI80" s="126"/>
      <c r="CJ80" s="128"/>
      <c r="CK80" s="97"/>
      <c r="CL80" s="96"/>
      <c r="CM80" s="127"/>
      <c r="CN80" s="126"/>
      <c r="CQ80" s="127"/>
      <c r="CR80" s="127"/>
      <c r="CS80" s="96"/>
      <c r="CU80" s="127"/>
      <c r="CV80" s="128"/>
      <c r="CW80" s="97"/>
      <c r="CY80" s="127"/>
      <c r="CZ80" s="127"/>
      <c r="DB80" s="97"/>
      <c r="DC80" s="96"/>
      <c r="DG80" s="96"/>
      <c r="DJ80" s="96"/>
      <c r="DM80" s="96"/>
      <c r="DQ80" s="96"/>
      <c r="DT80" s="96"/>
    </row>
    <row r="81" spans="1:124" s="95" customFormat="1" x14ac:dyDescent="0.3">
      <c r="A81" s="94"/>
      <c r="B81" s="94">
        <v>1</v>
      </c>
      <c r="C81" s="96" t="s">
        <v>98</v>
      </c>
      <c r="D81" s="97">
        <v>6.5</v>
      </c>
      <c r="E81" s="99" t="s">
        <v>96</v>
      </c>
      <c r="F81" s="94"/>
      <c r="G81" s="96"/>
      <c r="H81" s="97"/>
      <c r="I81" s="96"/>
      <c r="J81" s="96"/>
      <c r="K81" s="96"/>
      <c r="L81" s="99"/>
      <c r="M81" s="96"/>
      <c r="N81" s="97"/>
      <c r="O81" s="97"/>
      <c r="P81" s="96"/>
      <c r="Q81" s="127"/>
      <c r="R81" s="127"/>
      <c r="S81" s="96"/>
      <c r="T81" s="129"/>
      <c r="U81" s="128"/>
      <c r="V81" s="97"/>
      <c r="X81" s="96"/>
      <c r="Y81" s="96"/>
      <c r="Z81" s="99"/>
      <c r="AA81" s="128"/>
      <c r="AB81" s="128"/>
      <c r="AD81" s="97"/>
      <c r="AE81" s="128"/>
      <c r="AF81" s="129"/>
      <c r="AG81" s="99"/>
      <c r="AH81" s="96"/>
      <c r="AJ81" s="102"/>
      <c r="AK81" s="102"/>
      <c r="AL81" s="99"/>
      <c r="AM81" s="127"/>
      <c r="AN81" s="128"/>
      <c r="AP81" s="99"/>
      <c r="AQ81" s="128"/>
      <c r="AR81" s="127"/>
      <c r="AS81" s="96"/>
      <c r="AT81" s="99"/>
      <c r="AU81" s="128"/>
      <c r="AV81" s="128"/>
      <c r="AY81" s="129"/>
      <c r="AZ81" s="127"/>
      <c r="BA81" s="96"/>
      <c r="BC81" s="129"/>
      <c r="BD81" s="128"/>
      <c r="BE81" s="97"/>
      <c r="BF81" s="96"/>
      <c r="BG81" s="128"/>
      <c r="BH81" s="129"/>
      <c r="BI81" s="99"/>
      <c r="BK81" s="128"/>
      <c r="BL81" s="127"/>
      <c r="BM81" s="96"/>
      <c r="BN81" s="99"/>
      <c r="BO81" s="128"/>
      <c r="BP81" s="128"/>
      <c r="BS81" s="129"/>
      <c r="BT81" s="128"/>
      <c r="BV81" s="97"/>
      <c r="BW81" s="127"/>
      <c r="BX81" s="129"/>
      <c r="BY81" s="99"/>
      <c r="CA81" s="128"/>
      <c r="CB81" s="129"/>
      <c r="CC81" s="99"/>
      <c r="CD81" s="97"/>
      <c r="CE81" s="127"/>
      <c r="CF81" s="128"/>
      <c r="CH81" s="99"/>
      <c r="CI81" s="128"/>
      <c r="CJ81" s="128"/>
      <c r="CK81" s="97"/>
      <c r="CL81" s="99"/>
      <c r="CM81" s="127"/>
      <c r="CN81" s="128"/>
      <c r="CQ81" s="129"/>
      <c r="CR81" s="127"/>
      <c r="CS81" s="96"/>
      <c r="CU81" s="129"/>
      <c r="CV81" s="128"/>
      <c r="CW81" s="97"/>
      <c r="CY81" s="129"/>
      <c r="CZ81" s="127"/>
      <c r="DB81" s="97"/>
      <c r="DC81" s="96"/>
      <c r="DG81" s="96"/>
      <c r="DJ81" s="96"/>
      <c r="DM81" s="96"/>
      <c r="DQ81" s="96"/>
      <c r="DT81" s="96"/>
    </row>
    <row r="82" spans="1:124" s="95" customFormat="1" x14ac:dyDescent="0.3">
      <c r="A82" s="94"/>
      <c r="B82" s="94">
        <v>1</v>
      </c>
      <c r="C82" s="96" t="s">
        <v>14</v>
      </c>
      <c r="D82" s="97">
        <v>112</v>
      </c>
      <c r="E82" s="96" t="s">
        <v>50</v>
      </c>
      <c r="F82" s="94"/>
      <c r="G82" s="96"/>
      <c r="H82" s="97"/>
      <c r="I82" s="96"/>
      <c r="J82" s="96"/>
      <c r="K82" s="96"/>
      <c r="L82" s="96"/>
      <c r="M82" s="96"/>
      <c r="N82" s="97"/>
      <c r="O82" s="97"/>
      <c r="P82" s="96"/>
      <c r="Q82" s="127"/>
      <c r="R82" s="127"/>
      <c r="S82" s="96"/>
      <c r="T82" s="127"/>
      <c r="U82" s="128"/>
      <c r="V82" s="97"/>
      <c r="X82" s="96"/>
      <c r="Y82" s="96"/>
      <c r="Z82" s="96"/>
      <c r="AA82" s="128"/>
      <c r="AB82" s="128"/>
      <c r="AD82" s="97"/>
      <c r="AE82" s="128"/>
      <c r="AF82" s="127"/>
      <c r="AG82" s="96"/>
      <c r="AH82" s="96"/>
      <c r="AJ82" s="102"/>
      <c r="AK82" s="102"/>
      <c r="AL82" s="96"/>
      <c r="AM82" s="127"/>
      <c r="AN82" s="128"/>
      <c r="AP82" s="96"/>
      <c r="AQ82" s="128"/>
      <c r="AR82" s="127"/>
      <c r="AS82" s="96"/>
      <c r="AT82" s="96"/>
      <c r="AU82" s="128"/>
      <c r="AV82" s="128"/>
      <c r="AY82" s="127"/>
      <c r="AZ82" s="127"/>
      <c r="BA82" s="96"/>
      <c r="BC82" s="127"/>
      <c r="BD82" s="128"/>
      <c r="BE82" s="97"/>
      <c r="BF82" s="96"/>
      <c r="BG82" s="128"/>
      <c r="BH82" s="127"/>
      <c r="BI82" s="96"/>
      <c r="BK82" s="128"/>
      <c r="BL82" s="127"/>
      <c r="BM82" s="96"/>
      <c r="BN82" s="96"/>
      <c r="BO82" s="128"/>
      <c r="BP82" s="128"/>
      <c r="BS82" s="127"/>
      <c r="BT82" s="128"/>
      <c r="BV82" s="97"/>
      <c r="BW82" s="127"/>
      <c r="BX82" s="127"/>
      <c r="BY82" s="96"/>
      <c r="CA82" s="128"/>
      <c r="CB82" s="127"/>
      <c r="CC82" s="96"/>
      <c r="CD82" s="97"/>
      <c r="CE82" s="127"/>
      <c r="CF82" s="128"/>
      <c r="CH82" s="96"/>
      <c r="CI82" s="128"/>
      <c r="CJ82" s="128"/>
      <c r="CK82" s="97"/>
      <c r="CL82" s="96"/>
      <c r="CM82" s="127"/>
      <c r="CN82" s="128"/>
      <c r="CQ82" s="127"/>
      <c r="CR82" s="127"/>
      <c r="CS82" s="96"/>
      <c r="CU82" s="127"/>
      <c r="CV82" s="128"/>
      <c r="CW82" s="97"/>
      <c r="CY82" s="127"/>
      <c r="CZ82" s="127"/>
      <c r="DB82" s="97"/>
      <c r="DC82" s="96"/>
      <c r="DG82" s="96"/>
      <c r="DJ82" s="96"/>
      <c r="DM82" s="96"/>
      <c r="DQ82" s="96"/>
      <c r="DT82" s="96"/>
    </row>
    <row r="83" spans="1:124" s="95" customFormat="1" x14ac:dyDescent="0.3">
      <c r="A83" s="94"/>
      <c r="B83" s="94">
        <v>1</v>
      </c>
      <c r="C83" s="96" t="s">
        <v>14</v>
      </c>
      <c r="D83" s="97">
        <f>D82/D81</f>
        <v>17.23076923076923</v>
      </c>
      <c r="E83" s="96" t="s">
        <v>98</v>
      </c>
      <c r="F83" s="94"/>
      <c r="G83" s="97"/>
      <c r="H83" s="97"/>
      <c r="I83" s="96"/>
      <c r="J83" s="96"/>
      <c r="K83" s="96"/>
      <c r="L83" s="96"/>
      <c r="M83" s="97"/>
      <c r="P83" s="97"/>
      <c r="Q83" s="127"/>
      <c r="R83" s="127"/>
      <c r="S83" s="96"/>
      <c r="T83" s="127"/>
      <c r="U83" s="128"/>
      <c r="V83" s="97"/>
      <c r="W83" s="97"/>
      <c r="X83" s="96"/>
      <c r="Y83" s="96"/>
      <c r="Z83" s="96"/>
      <c r="AA83" s="128"/>
      <c r="AB83" s="128"/>
      <c r="AD83" s="97"/>
      <c r="AE83" s="128"/>
      <c r="AF83" s="127"/>
      <c r="AG83" s="96"/>
      <c r="AH83" s="96"/>
      <c r="AI83" s="102"/>
      <c r="AJ83" s="94"/>
      <c r="AK83" s="94"/>
      <c r="AL83" s="96"/>
      <c r="AM83" s="127"/>
      <c r="AN83" s="128"/>
      <c r="AP83" s="96"/>
      <c r="AQ83" s="128"/>
      <c r="AR83" s="127"/>
      <c r="AS83" s="96"/>
      <c r="AT83" s="96"/>
      <c r="AU83" s="128"/>
      <c r="AV83" s="128"/>
      <c r="AY83" s="127"/>
      <c r="AZ83" s="127"/>
      <c r="BA83" s="96"/>
      <c r="BC83" s="127"/>
      <c r="BD83" s="128"/>
      <c r="BE83" s="97"/>
      <c r="BF83" s="96"/>
      <c r="BG83" s="128"/>
      <c r="BH83" s="127"/>
      <c r="BI83" s="96"/>
      <c r="BK83" s="128"/>
      <c r="BL83" s="127"/>
      <c r="BM83" s="96"/>
      <c r="BN83" s="96"/>
      <c r="BO83" s="128"/>
      <c r="BP83" s="131"/>
      <c r="BQ83" s="102"/>
      <c r="BS83" s="127"/>
      <c r="BT83" s="128"/>
      <c r="BV83" s="97"/>
      <c r="BW83" s="127"/>
      <c r="BX83" s="127"/>
      <c r="BY83" s="96"/>
      <c r="CA83" s="128"/>
      <c r="CB83" s="127"/>
      <c r="CC83" s="96"/>
      <c r="CD83" s="97"/>
      <c r="CE83" s="127"/>
      <c r="CF83" s="128"/>
      <c r="CH83" s="96"/>
      <c r="CI83" s="128"/>
      <c r="CJ83" s="128"/>
      <c r="CK83" s="97"/>
      <c r="CL83" s="96"/>
      <c r="CM83" s="127"/>
      <c r="CN83" s="128"/>
      <c r="CQ83" s="127"/>
      <c r="CR83" s="127"/>
      <c r="CS83" s="96"/>
      <c r="CU83" s="127"/>
      <c r="CV83" s="128"/>
      <c r="CW83" s="97"/>
      <c r="CY83" s="127"/>
      <c r="CZ83" s="127"/>
      <c r="DB83" s="97"/>
      <c r="DC83" s="96"/>
      <c r="DG83" s="96"/>
      <c r="DJ83" s="96"/>
      <c r="DM83" s="96"/>
      <c r="DQ83" s="96"/>
      <c r="DT83" s="96"/>
    </row>
    <row r="84" spans="1:124" s="94" customFormat="1" ht="15" customHeight="1" x14ac:dyDescent="0.3">
      <c r="B84" s="103">
        <v>1</v>
      </c>
      <c r="C84" s="104" t="s">
        <v>99</v>
      </c>
      <c r="D84" s="105">
        <v>130</v>
      </c>
      <c r="E84" s="106" t="s">
        <v>96</v>
      </c>
      <c r="F84" s="107"/>
      <c r="G84" s="95"/>
      <c r="H84" s="105"/>
      <c r="I84" s="96"/>
      <c r="J84" s="96"/>
      <c r="K84" s="96"/>
      <c r="L84" s="106"/>
      <c r="M84" s="95"/>
      <c r="N84" s="95"/>
      <c r="O84" s="95"/>
      <c r="P84" s="95"/>
      <c r="Q84" s="127"/>
      <c r="R84" s="127"/>
      <c r="S84" s="96"/>
      <c r="T84" s="130"/>
      <c r="U84" s="128"/>
      <c r="V84" s="105"/>
      <c r="W84" s="95"/>
      <c r="X84" s="96"/>
      <c r="Y84" s="96"/>
      <c r="Z84" s="106"/>
      <c r="AA84" s="128"/>
      <c r="AB84" s="128"/>
      <c r="AC84" s="95"/>
      <c r="AD84" s="105"/>
      <c r="AE84" s="135"/>
      <c r="AF84" s="130"/>
      <c r="AG84" s="106"/>
      <c r="AH84" s="96"/>
      <c r="AI84" s="95"/>
      <c r="AL84" s="106"/>
      <c r="AM84" s="127"/>
      <c r="AN84" s="126"/>
      <c r="AP84" s="106"/>
      <c r="AQ84" s="135"/>
      <c r="AR84" s="127"/>
      <c r="AS84" s="96"/>
      <c r="AT84" s="106"/>
      <c r="AU84" s="126"/>
      <c r="AV84" s="126"/>
      <c r="AY84" s="130"/>
      <c r="AZ84" s="127"/>
      <c r="BA84" s="96"/>
      <c r="BC84" s="130"/>
      <c r="BD84" s="135"/>
      <c r="BE84" s="105"/>
      <c r="BF84" s="96"/>
      <c r="BG84" s="126"/>
      <c r="BH84" s="130"/>
      <c r="BI84" s="106"/>
      <c r="BK84" s="135"/>
      <c r="BL84" s="127"/>
      <c r="BM84" s="96"/>
      <c r="BN84" s="106"/>
      <c r="BO84" s="126"/>
      <c r="BP84" s="126"/>
      <c r="BS84" s="130"/>
      <c r="BT84" s="126"/>
      <c r="BV84" s="105"/>
      <c r="BW84" s="127"/>
      <c r="BX84" s="130"/>
      <c r="BY84" s="106"/>
      <c r="CA84" s="126"/>
      <c r="CB84" s="130"/>
      <c r="CC84" s="106"/>
      <c r="CD84" s="105"/>
      <c r="CE84" s="127"/>
      <c r="CF84" s="126"/>
      <c r="CH84" s="106"/>
      <c r="CI84" s="126"/>
      <c r="CJ84" s="135"/>
      <c r="CK84" s="105"/>
      <c r="CL84" s="106"/>
      <c r="CM84" s="127"/>
      <c r="CN84" s="126"/>
      <c r="CQ84" s="130"/>
      <c r="CR84" s="127"/>
      <c r="CS84" s="96"/>
      <c r="CU84" s="130"/>
      <c r="CV84" s="135"/>
      <c r="CW84" s="105"/>
      <c r="CY84" s="130"/>
      <c r="CZ84" s="127"/>
      <c r="DB84" s="105"/>
      <c r="DC84" s="96"/>
      <c r="DG84" s="96"/>
      <c r="DJ84" s="96"/>
      <c r="DM84" s="96"/>
      <c r="DQ84" s="96"/>
      <c r="DT84" s="96"/>
    </row>
    <row r="85" spans="1:124" s="94" customFormat="1" x14ac:dyDescent="0.3">
      <c r="B85" s="108">
        <v>1</v>
      </c>
      <c r="C85" s="96" t="s">
        <v>100</v>
      </c>
      <c r="D85" s="97">
        <v>260</v>
      </c>
      <c r="E85" s="96" t="s">
        <v>96</v>
      </c>
      <c r="H85" s="97"/>
      <c r="I85" s="96"/>
      <c r="J85" s="96"/>
      <c r="K85" s="96"/>
      <c r="L85" s="96"/>
      <c r="Q85" s="127"/>
      <c r="R85" s="127"/>
      <c r="S85" s="96"/>
      <c r="T85" s="127"/>
      <c r="U85" s="126"/>
      <c r="V85" s="97"/>
      <c r="X85" s="96"/>
      <c r="Y85" s="96"/>
      <c r="Z85" s="96"/>
      <c r="AA85" s="126"/>
      <c r="AB85" s="126"/>
      <c r="AD85" s="97"/>
      <c r="AE85" s="128"/>
      <c r="AF85" s="127"/>
      <c r="AG85" s="96"/>
      <c r="AH85" s="96"/>
      <c r="AL85" s="96"/>
      <c r="AM85" s="127"/>
      <c r="AN85" s="126"/>
      <c r="AP85" s="96"/>
      <c r="AQ85" s="128"/>
      <c r="AR85" s="127"/>
      <c r="AS85" s="96"/>
      <c r="AT85" s="96"/>
      <c r="AU85" s="126"/>
      <c r="AV85" s="126"/>
      <c r="AY85" s="127"/>
      <c r="AZ85" s="127"/>
      <c r="BA85" s="96"/>
      <c r="BC85" s="127"/>
      <c r="BD85" s="128"/>
      <c r="BE85" s="97"/>
      <c r="BF85" s="96"/>
      <c r="BG85" s="126"/>
      <c r="BH85" s="127"/>
      <c r="BI85" s="96"/>
      <c r="BK85" s="128"/>
      <c r="BL85" s="127"/>
      <c r="BM85" s="96"/>
      <c r="BN85" s="96"/>
      <c r="BO85" s="126"/>
      <c r="BP85" s="126"/>
      <c r="BS85" s="127"/>
      <c r="BT85" s="126"/>
      <c r="BV85" s="97"/>
      <c r="BW85" s="127"/>
      <c r="BX85" s="127"/>
      <c r="BY85" s="96"/>
      <c r="CA85" s="126"/>
      <c r="CB85" s="127"/>
      <c r="CC85" s="96"/>
      <c r="CD85" s="97"/>
      <c r="CE85" s="127"/>
      <c r="CF85" s="126"/>
      <c r="CH85" s="96"/>
      <c r="CI85" s="126"/>
      <c r="CJ85" s="128"/>
      <c r="CK85" s="97"/>
      <c r="CL85" s="96"/>
      <c r="CM85" s="127"/>
      <c r="CN85" s="126"/>
      <c r="CQ85" s="127"/>
      <c r="CR85" s="127"/>
      <c r="CS85" s="96"/>
      <c r="CU85" s="127"/>
      <c r="CV85" s="128"/>
      <c r="CW85" s="97"/>
      <c r="CY85" s="127"/>
      <c r="CZ85" s="127"/>
      <c r="DB85" s="97"/>
      <c r="DC85" s="96"/>
      <c r="DG85" s="96"/>
      <c r="DJ85" s="96"/>
      <c r="DM85" s="96"/>
      <c r="DQ85" s="96"/>
      <c r="DT85" s="96"/>
    </row>
    <row r="86" spans="1:124" s="94" customFormat="1" x14ac:dyDescent="0.3">
      <c r="B86" s="108">
        <v>1</v>
      </c>
      <c r="C86" s="96" t="s">
        <v>412</v>
      </c>
      <c r="D86" s="97">
        <f>D84/D82</f>
        <v>1.1607142857142858</v>
      </c>
      <c r="E86" s="96" t="s">
        <v>101</v>
      </c>
      <c r="H86" s="97"/>
      <c r="I86" s="96"/>
      <c r="J86" s="96"/>
      <c r="K86" s="96"/>
      <c r="L86" s="96"/>
      <c r="Q86" s="127"/>
      <c r="R86" s="127"/>
      <c r="S86" s="96"/>
      <c r="T86" s="127"/>
      <c r="U86" s="126"/>
      <c r="V86" s="97"/>
      <c r="X86" s="96"/>
      <c r="Y86" s="96"/>
      <c r="Z86" s="96"/>
      <c r="AA86" s="126"/>
      <c r="AB86" s="126"/>
      <c r="AD86" s="97"/>
      <c r="AE86" s="128"/>
      <c r="AF86" s="127"/>
      <c r="AG86" s="96"/>
      <c r="AH86" s="96"/>
      <c r="AL86" s="96"/>
      <c r="AM86" s="127"/>
      <c r="AN86" s="126"/>
      <c r="AP86" s="96"/>
      <c r="AQ86" s="128"/>
      <c r="AR86" s="127"/>
      <c r="AS86" s="96"/>
      <c r="AT86" s="96"/>
      <c r="AU86" s="126"/>
      <c r="AV86" s="126"/>
      <c r="AY86" s="127"/>
      <c r="AZ86" s="127"/>
      <c r="BA86" s="96"/>
      <c r="BC86" s="127"/>
      <c r="BD86" s="128"/>
      <c r="BE86" s="97"/>
      <c r="BF86" s="96"/>
      <c r="BG86" s="126"/>
      <c r="BH86" s="127"/>
      <c r="BI86" s="96"/>
      <c r="BK86" s="128"/>
      <c r="BL86" s="127"/>
      <c r="BM86" s="96"/>
      <c r="BN86" s="96"/>
      <c r="BO86" s="126"/>
      <c r="BP86" s="126"/>
      <c r="BS86" s="127"/>
      <c r="BT86" s="126"/>
      <c r="BV86" s="97"/>
      <c r="BW86" s="127"/>
      <c r="BX86" s="127"/>
      <c r="BY86" s="96"/>
      <c r="CA86" s="126"/>
      <c r="CB86" s="127"/>
      <c r="CC86" s="96"/>
      <c r="CD86" s="97"/>
      <c r="CE86" s="127"/>
      <c r="CF86" s="126"/>
      <c r="CH86" s="96"/>
      <c r="CI86" s="126"/>
      <c r="CJ86" s="128"/>
      <c r="CK86" s="97"/>
      <c r="CL86" s="96"/>
      <c r="CM86" s="127"/>
      <c r="CN86" s="126"/>
      <c r="CQ86" s="127"/>
      <c r="CR86" s="127"/>
      <c r="CS86" s="96"/>
      <c r="CU86" s="127"/>
      <c r="CV86" s="128"/>
      <c r="CW86" s="97"/>
      <c r="CY86" s="127"/>
      <c r="CZ86" s="127"/>
      <c r="DB86" s="97"/>
      <c r="DC86" s="96"/>
      <c r="DG86" s="96"/>
      <c r="DJ86" s="96"/>
      <c r="DM86" s="96"/>
      <c r="DQ86" s="96"/>
      <c r="DT86" s="96"/>
    </row>
    <row r="87" spans="1:124" s="94" customFormat="1" x14ac:dyDescent="0.3">
      <c r="B87" s="108">
        <v>1</v>
      </c>
      <c r="C87" s="96" t="s">
        <v>100</v>
      </c>
      <c r="D87" s="97">
        <f>D85/D82</f>
        <v>2.3214285714285716</v>
      </c>
      <c r="E87" s="96" t="s">
        <v>101</v>
      </c>
      <c r="H87" s="97"/>
      <c r="I87" s="96"/>
      <c r="J87" s="96"/>
      <c r="K87" s="96"/>
      <c r="L87" s="96"/>
      <c r="Q87" s="127"/>
      <c r="R87" s="127"/>
      <c r="S87" s="96"/>
      <c r="T87" s="127"/>
      <c r="U87" s="126"/>
      <c r="V87" s="97"/>
      <c r="X87" s="96"/>
      <c r="Y87" s="96"/>
      <c r="Z87" s="96"/>
      <c r="AA87" s="126"/>
      <c r="AB87" s="126"/>
      <c r="AD87" s="97"/>
      <c r="AE87" s="128"/>
      <c r="AF87" s="127"/>
      <c r="AG87" s="96"/>
      <c r="AH87" s="96"/>
      <c r="AL87" s="96"/>
      <c r="AM87" s="127"/>
      <c r="AN87" s="126"/>
      <c r="AP87" s="96"/>
      <c r="AQ87" s="128"/>
      <c r="AR87" s="127"/>
      <c r="AS87" s="96"/>
      <c r="AT87" s="96"/>
      <c r="AU87" s="126"/>
      <c r="AV87" s="126"/>
      <c r="AY87" s="127"/>
      <c r="AZ87" s="127"/>
      <c r="BA87" s="96"/>
      <c r="BC87" s="127"/>
      <c r="BD87" s="128"/>
      <c r="BE87" s="97"/>
      <c r="BF87" s="96"/>
      <c r="BG87" s="126"/>
      <c r="BH87" s="127"/>
      <c r="BI87" s="96"/>
      <c r="BK87" s="128"/>
      <c r="BL87" s="127"/>
      <c r="BM87" s="96"/>
      <c r="BN87" s="96"/>
      <c r="BO87" s="126"/>
      <c r="BP87" s="126"/>
      <c r="BS87" s="127"/>
      <c r="BT87" s="126"/>
      <c r="BV87" s="97"/>
      <c r="BW87" s="127"/>
      <c r="BX87" s="127"/>
      <c r="BY87" s="96"/>
      <c r="CA87" s="126"/>
      <c r="CB87" s="127"/>
      <c r="CC87" s="96"/>
      <c r="CD87" s="97"/>
      <c r="CE87" s="127"/>
      <c r="CF87" s="126"/>
      <c r="CH87" s="96"/>
      <c r="CI87" s="126"/>
      <c r="CJ87" s="128"/>
      <c r="CK87" s="97"/>
      <c r="CL87" s="96"/>
      <c r="CM87" s="127"/>
      <c r="CN87" s="126"/>
      <c r="CQ87" s="127"/>
      <c r="CR87" s="127"/>
      <c r="CS87" s="96"/>
      <c r="CU87" s="127"/>
      <c r="CV87" s="128"/>
      <c r="CW87" s="97"/>
      <c r="CY87" s="127"/>
      <c r="CZ87" s="127"/>
      <c r="DB87" s="97"/>
      <c r="DC87" s="96"/>
      <c r="DG87" s="96"/>
      <c r="DJ87" s="96"/>
      <c r="DM87" s="96"/>
      <c r="DQ87" s="96"/>
      <c r="DT87" s="96"/>
    </row>
    <row r="88" spans="1:124" s="95" customFormat="1" x14ac:dyDescent="0.3">
      <c r="A88" s="94"/>
      <c r="B88" s="108">
        <v>1</v>
      </c>
      <c r="C88" s="96" t="s">
        <v>102</v>
      </c>
      <c r="D88" s="97">
        <v>20</v>
      </c>
      <c r="E88" s="96" t="s">
        <v>101</v>
      </c>
      <c r="F88" s="98">
        <f>D88*D82</f>
        <v>2240</v>
      </c>
      <c r="G88" s="96" t="s">
        <v>96</v>
      </c>
      <c r="H88" s="98">
        <f>F88/D90</f>
        <v>420</v>
      </c>
      <c r="I88" s="109" t="s">
        <v>103</v>
      </c>
      <c r="J88" s="98">
        <f>F88/D89</f>
        <v>1016.048117135833</v>
      </c>
      <c r="K88" s="96" t="s">
        <v>415</v>
      </c>
      <c r="L88" s="96"/>
      <c r="M88" s="106"/>
      <c r="N88" s="128"/>
      <c r="O88" s="128"/>
      <c r="Q88" s="127"/>
      <c r="R88" s="128"/>
      <c r="T88" s="106"/>
      <c r="W88" s="96"/>
      <c r="X88" s="128"/>
      <c r="Y88" s="128"/>
      <c r="AA88" s="106"/>
      <c r="AB88" s="130"/>
      <c r="AC88" s="127"/>
      <c r="AD88" s="96"/>
      <c r="AF88" s="94"/>
      <c r="AG88" s="106"/>
      <c r="AH88" s="106"/>
      <c r="AI88" s="96"/>
      <c r="AJ88" s="128"/>
      <c r="AK88" s="128"/>
      <c r="AM88" s="96"/>
      <c r="AN88" s="130"/>
      <c r="AO88" s="131"/>
      <c r="AP88" s="102"/>
      <c r="AQ88" s="96"/>
      <c r="AR88" s="131"/>
      <c r="AS88" s="128"/>
      <c r="AU88" s="106"/>
      <c r="AV88" s="127"/>
      <c r="AW88" s="128"/>
      <c r="AZ88" s="127"/>
      <c r="BA88" s="130"/>
      <c r="BB88" s="106"/>
      <c r="BD88" s="128"/>
      <c r="BE88" s="127"/>
      <c r="BF88" s="96"/>
      <c r="BH88" s="130"/>
      <c r="BI88" s="128"/>
      <c r="BK88" s="96"/>
      <c r="BL88" s="128"/>
      <c r="BM88" s="128"/>
      <c r="BP88" s="127"/>
      <c r="BQ88" s="128"/>
      <c r="BS88" s="106"/>
      <c r="BT88" s="131"/>
      <c r="BU88" s="127"/>
      <c r="BV88" s="96"/>
      <c r="BX88" s="128"/>
      <c r="BY88" s="127"/>
      <c r="BZ88" s="96"/>
      <c r="CA88" s="106"/>
      <c r="CB88" s="128"/>
      <c r="CC88" s="128"/>
      <c r="CE88" s="96"/>
      <c r="CF88" s="128"/>
      <c r="CG88" s="130"/>
      <c r="CH88" s="106"/>
      <c r="CI88" s="96"/>
      <c r="CJ88" s="128"/>
      <c r="CK88" s="128"/>
      <c r="CM88" s="106"/>
      <c r="CN88" s="127"/>
      <c r="CO88" s="128"/>
      <c r="CR88" s="127"/>
      <c r="CS88" s="128"/>
      <c r="CU88" s="106"/>
      <c r="CV88" s="127"/>
      <c r="CW88" s="128"/>
      <c r="CY88" s="106"/>
      <c r="DC88" s="106"/>
      <c r="DF88" s="106"/>
      <c r="DI88" s="106"/>
      <c r="DM88" s="106"/>
      <c r="DP88" s="106"/>
    </row>
    <row r="89" spans="1:124" s="95" customFormat="1" x14ac:dyDescent="0.3">
      <c r="A89" s="94"/>
      <c r="B89" s="108">
        <v>1</v>
      </c>
      <c r="C89" s="96" t="s">
        <v>415</v>
      </c>
      <c r="D89" s="97">
        <v>2.2046199999999998</v>
      </c>
      <c r="E89" s="96" t="s">
        <v>96</v>
      </c>
      <c r="F89" s="98">
        <f>D89/D82</f>
        <v>1.9684107142857142E-2</v>
      </c>
      <c r="G89" s="109" t="s">
        <v>101</v>
      </c>
      <c r="I89" s="102"/>
      <c r="J89" s="102"/>
      <c r="M89" s="106"/>
      <c r="N89" s="128"/>
      <c r="O89" s="128"/>
      <c r="Q89" s="127"/>
      <c r="R89" s="128"/>
      <c r="T89" s="106"/>
      <c r="W89" s="96"/>
      <c r="X89" s="128"/>
      <c r="Y89" s="128"/>
      <c r="AA89" s="106"/>
      <c r="AB89" s="130"/>
      <c r="AC89" s="127"/>
      <c r="AD89" s="96"/>
      <c r="AF89" s="94"/>
      <c r="AG89" s="106"/>
      <c r="AH89" s="106"/>
      <c r="AI89" s="96"/>
      <c r="AJ89" s="128"/>
      <c r="AK89" s="128"/>
      <c r="AM89" s="96"/>
      <c r="AN89" s="130"/>
      <c r="AO89" s="131"/>
      <c r="AP89" s="102"/>
      <c r="AQ89" s="96"/>
      <c r="AR89" s="131"/>
      <c r="AS89" s="128"/>
      <c r="AU89" s="106"/>
      <c r="AV89" s="127"/>
      <c r="AW89" s="128"/>
      <c r="AZ89" s="127"/>
      <c r="BA89" s="130"/>
      <c r="BB89" s="106"/>
      <c r="BD89" s="128"/>
      <c r="BE89" s="127"/>
      <c r="BF89" s="96"/>
      <c r="BH89" s="130"/>
      <c r="BI89" s="128"/>
      <c r="BK89" s="96"/>
      <c r="BL89" s="128"/>
      <c r="BM89" s="128"/>
      <c r="BP89" s="127"/>
      <c r="BQ89" s="128"/>
      <c r="BS89" s="106"/>
      <c r="BT89" s="131"/>
      <c r="BU89" s="127"/>
      <c r="BV89" s="96"/>
      <c r="BX89" s="128"/>
      <c r="BY89" s="127"/>
      <c r="BZ89" s="96"/>
      <c r="CA89" s="106"/>
      <c r="CB89" s="128"/>
      <c r="CC89" s="128"/>
      <c r="CE89" s="96"/>
      <c r="CF89" s="128"/>
      <c r="CG89" s="130"/>
      <c r="CH89" s="106"/>
      <c r="CI89" s="96"/>
      <c r="CJ89" s="128"/>
      <c r="CK89" s="128"/>
      <c r="CM89" s="106"/>
      <c r="CN89" s="127"/>
      <c r="CO89" s="128"/>
      <c r="CR89" s="127"/>
      <c r="CS89" s="128"/>
      <c r="CU89" s="106"/>
      <c r="CV89" s="127"/>
      <c r="CW89" s="128"/>
      <c r="CY89" s="106"/>
      <c r="DC89" s="106"/>
      <c r="DF89" s="106"/>
      <c r="DI89" s="106"/>
      <c r="DM89" s="106"/>
      <c r="DP89" s="106"/>
    </row>
    <row r="90" spans="1:124" s="95" customFormat="1" x14ac:dyDescent="0.3">
      <c r="A90" s="94"/>
      <c r="B90" s="108">
        <v>1</v>
      </c>
      <c r="C90" s="96" t="s">
        <v>105</v>
      </c>
      <c r="D90" s="97">
        <f>16/3</f>
        <v>5.333333333333333</v>
      </c>
      <c r="E90" s="96" t="s">
        <v>96</v>
      </c>
      <c r="F90" s="98">
        <f>D90/D82</f>
        <v>4.7619047619047616E-2</v>
      </c>
      <c r="G90" s="109" t="s">
        <v>101</v>
      </c>
      <c r="I90" s="102"/>
      <c r="J90" s="102"/>
      <c r="M90" s="96"/>
      <c r="N90" s="128"/>
      <c r="O90" s="128"/>
      <c r="Q90" s="127"/>
      <c r="R90" s="128"/>
      <c r="T90" s="96"/>
      <c r="W90" s="96"/>
      <c r="X90" s="128"/>
      <c r="Y90" s="128"/>
      <c r="AA90" s="96"/>
      <c r="AB90" s="127"/>
      <c r="AC90" s="127"/>
      <c r="AD90" s="96"/>
      <c r="AF90" s="94"/>
      <c r="AG90" s="96"/>
      <c r="AH90" s="96"/>
      <c r="AI90" s="96"/>
      <c r="AJ90" s="128"/>
      <c r="AK90" s="128"/>
      <c r="AM90" s="96"/>
      <c r="AN90" s="127"/>
      <c r="AO90" s="131"/>
      <c r="AP90" s="102"/>
      <c r="AQ90" s="96"/>
      <c r="AR90" s="131"/>
      <c r="AS90" s="128"/>
      <c r="AU90" s="96"/>
      <c r="AV90" s="127"/>
      <c r="AW90" s="128"/>
      <c r="AZ90" s="127"/>
      <c r="BA90" s="127"/>
      <c r="BB90" s="96"/>
      <c r="BD90" s="128"/>
      <c r="BE90" s="127"/>
      <c r="BF90" s="96"/>
      <c r="BH90" s="127"/>
      <c r="BI90" s="128"/>
      <c r="BK90" s="96"/>
      <c r="BL90" s="128"/>
      <c r="BM90" s="128"/>
      <c r="BP90" s="127"/>
      <c r="BQ90" s="128"/>
      <c r="BS90" s="96"/>
      <c r="BT90" s="131"/>
      <c r="BU90" s="127"/>
      <c r="BV90" s="96"/>
      <c r="BX90" s="128"/>
      <c r="BY90" s="127"/>
      <c r="BZ90" s="96"/>
      <c r="CA90" s="96"/>
      <c r="CB90" s="128"/>
      <c r="CC90" s="128"/>
      <c r="CE90" s="96"/>
      <c r="CF90" s="128"/>
      <c r="CG90" s="127"/>
      <c r="CH90" s="96"/>
      <c r="CI90" s="96"/>
      <c r="CJ90" s="128"/>
      <c r="CK90" s="128"/>
      <c r="CM90" s="96"/>
      <c r="CN90" s="127"/>
      <c r="CO90" s="128"/>
      <c r="CR90" s="127"/>
      <c r="CS90" s="128"/>
      <c r="CU90" s="96"/>
      <c r="CV90" s="127"/>
      <c r="CW90" s="128"/>
      <c r="CY90" s="96"/>
      <c r="DC90" s="96"/>
      <c r="DF90" s="96"/>
      <c r="DI90" s="96"/>
      <c r="DM90" s="96"/>
      <c r="DP90" s="96"/>
    </row>
    <row r="91" spans="1:124" s="95" customFormat="1" x14ac:dyDescent="0.3">
      <c r="A91" s="94"/>
      <c r="B91" s="108">
        <v>1</v>
      </c>
      <c r="C91" s="96" t="s">
        <v>19</v>
      </c>
      <c r="D91" s="97">
        <v>100</v>
      </c>
      <c r="E91" s="96" t="s">
        <v>105</v>
      </c>
      <c r="F91" s="98">
        <f>D91*F90</f>
        <v>4.7619047619047619</v>
      </c>
      <c r="G91" s="109" t="s">
        <v>101</v>
      </c>
      <c r="H91" s="97">
        <f>F91/D88</f>
        <v>0.23809523809523808</v>
      </c>
      <c r="I91" s="109" t="s">
        <v>28</v>
      </c>
      <c r="J91" s="102"/>
      <c r="M91" s="96"/>
      <c r="N91" s="128"/>
      <c r="O91" s="128"/>
      <c r="Q91" s="127"/>
      <c r="R91" s="128"/>
      <c r="T91" s="96"/>
      <c r="W91" s="96"/>
      <c r="X91" s="128"/>
      <c r="Y91" s="128"/>
      <c r="AA91" s="96"/>
      <c r="AB91" s="127"/>
      <c r="AC91" s="127"/>
      <c r="AD91" s="96"/>
      <c r="AF91" s="94"/>
      <c r="AG91" s="96"/>
      <c r="AH91" s="96"/>
      <c r="AI91" s="96"/>
      <c r="AJ91" s="128"/>
      <c r="AK91" s="128"/>
      <c r="AM91" s="96"/>
      <c r="AN91" s="127"/>
      <c r="AO91" s="131"/>
      <c r="AP91" s="102"/>
      <c r="AQ91" s="96"/>
      <c r="AR91" s="131"/>
      <c r="AS91" s="128"/>
      <c r="AU91" s="96"/>
      <c r="AV91" s="127"/>
      <c r="AW91" s="128"/>
      <c r="AZ91" s="127"/>
      <c r="BA91" s="127"/>
      <c r="BB91" s="96"/>
      <c r="BD91" s="128"/>
      <c r="BE91" s="127"/>
      <c r="BF91" s="96"/>
      <c r="BH91" s="127"/>
      <c r="BI91" s="128"/>
      <c r="BK91" s="96"/>
      <c r="BL91" s="128"/>
      <c r="BM91" s="128"/>
      <c r="BP91" s="127"/>
      <c r="BQ91" s="128"/>
      <c r="BS91" s="96"/>
      <c r="BT91" s="131"/>
      <c r="BU91" s="127"/>
      <c r="BV91" s="96"/>
      <c r="BX91" s="128"/>
      <c r="BY91" s="127"/>
      <c r="BZ91" s="96"/>
      <c r="CA91" s="96"/>
      <c r="CB91" s="128"/>
      <c r="CC91" s="128"/>
      <c r="CE91" s="96"/>
      <c r="CF91" s="128"/>
      <c r="CG91" s="127"/>
      <c r="CH91" s="96"/>
      <c r="CI91" s="96"/>
      <c r="CJ91" s="128"/>
      <c r="CK91" s="128"/>
      <c r="CM91" s="96"/>
      <c r="CN91" s="127"/>
      <c r="CO91" s="128"/>
      <c r="CR91" s="127"/>
      <c r="CS91" s="128"/>
      <c r="CU91" s="96"/>
      <c r="CV91" s="127"/>
      <c r="CW91" s="128"/>
      <c r="CY91" s="96"/>
      <c r="DC91" s="96"/>
      <c r="DF91" s="96"/>
      <c r="DI91" s="96"/>
      <c r="DM91" s="96"/>
      <c r="DP91" s="96"/>
    </row>
    <row r="92" spans="1:124" s="95" customFormat="1" x14ac:dyDescent="0.3">
      <c r="A92" s="94"/>
      <c r="B92" s="108">
        <v>1</v>
      </c>
      <c r="C92" s="96" t="s">
        <v>13</v>
      </c>
      <c r="D92" s="97">
        <f>D82/D90</f>
        <v>21</v>
      </c>
      <c r="E92" s="96" t="s">
        <v>105</v>
      </c>
      <c r="F92" s="98"/>
      <c r="G92" s="109"/>
      <c r="I92" s="96"/>
      <c r="J92" s="102"/>
      <c r="K92" s="102"/>
      <c r="L92" s="96"/>
      <c r="M92" s="102"/>
      <c r="P92" s="96"/>
      <c r="Q92" s="128"/>
      <c r="R92" s="128"/>
      <c r="T92" s="127"/>
      <c r="U92" s="128"/>
      <c r="W92" s="96"/>
      <c r="Z92" s="96"/>
      <c r="AA92" s="128"/>
      <c r="AB92" s="128"/>
      <c r="AD92" s="96"/>
      <c r="AE92" s="127"/>
      <c r="AF92" s="127"/>
      <c r="AG92" s="96"/>
      <c r="AI92" s="94"/>
      <c r="AJ92" s="96"/>
      <c r="AK92" s="96"/>
      <c r="AL92" s="96"/>
      <c r="AM92" s="128"/>
      <c r="AN92" s="128"/>
      <c r="AP92" s="96"/>
      <c r="AQ92" s="127"/>
      <c r="AR92" s="131"/>
      <c r="AS92" s="102"/>
      <c r="AT92" s="96"/>
      <c r="AU92" s="131"/>
      <c r="AV92" s="128"/>
      <c r="AX92" s="96"/>
      <c r="AY92" s="127"/>
      <c r="AZ92" s="128"/>
      <c r="BC92" s="127"/>
      <c r="BD92" s="127"/>
      <c r="BE92" s="96"/>
      <c r="BG92" s="128"/>
      <c r="BH92" s="127"/>
      <c r="BI92" s="96"/>
      <c r="BK92" s="127"/>
      <c r="BL92" s="128"/>
      <c r="BN92" s="96"/>
      <c r="BO92" s="128"/>
      <c r="BP92" s="128"/>
      <c r="BS92" s="127"/>
      <c r="BT92" s="128"/>
      <c r="BV92" s="96"/>
      <c r="BW92" s="131"/>
      <c r="BX92" s="127"/>
      <c r="BY92" s="96"/>
      <c r="CA92" s="128"/>
      <c r="CB92" s="127"/>
      <c r="CC92" s="96"/>
      <c r="CD92" s="96"/>
      <c r="CE92" s="128"/>
      <c r="CF92" s="128"/>
      <c r="CH92" s="96"/>
      <c r="CI92" s="128"/>
      <c r="CJ92" s="127"/>
      <c r="CK92" s="96"/>
      <c r="CL92" s="96"/>
      <c r="CM92" s="128"/>
      <c r="CN92" s="128"/>
      <c r="CP92" s="96"/>
      <c r="CQ92" s="127"/>
      <c r="CR92" s="128"/>
      <c r="CU92" s="127"/>
      <c r="CV92" s="128"/>
      <c r="CX92" s="96"/>
      <c r="CY92" s="127"/>
      <c r="CZ92" s="128"/>
      <c r="DB92" s="96"/>
      <c r="DF92" s="96"/>
      <c r="DI92" s="96"/>
      <c r="DL92" s="96"/>
      <c r="DP92" s="96"/>
      <c r="DS92" s="96"/>
    </row>
    <row r="93" spans="1:124" s="95" customFormat="1" x14ac:dyDescent="0.3">
      <c r="A93" s="94"/>
      <c r="B93" s="102"/>
      <c r="F93" s="102"/>
      <c r="G93" s="102"/>
      <c r="H93" s="102"/>
      <c r="I93" s="94"/>
      <c r="J93" s="94"/>
      <c r="K93" s="94"/>
      <c r="N93" s="102"/>
      <c r="O93" s="102"/>
      <c r="P93" s="102"/>
      <c r="Q93" s="126"/>
      <c r="R93" s="126"/>
      <c r="S93" s="94"/>
      <c r="T93" s="128"/>
      <c r="U93" s="128"/>
      <c r="X93" s="94"/>
      <c r="Y93" s="94"/>
      <c r="AA93" s="128"/>
      <c r="AB93" s="128"/>
      <c r="AE93" s="128"/>
      <c r="AF93" s="128"/>
      <c r="AH93" s="94"/>
      <c r="AM93" s="126"/>
      <c r="AN93" s="126"/>
      <c r="AO93" s="94"/>
      <c r="AQ93" s="128"/>
      <c r="AR93" s="126"/>
      <c r="AS93" s="94"/>
      <c r="AU93" s="128"/>
      <c r="AV93" s="131"/>
      <c r="AW93" s="102"/>
      <c r="AX93" s="102"/>
      <c r="AY93" s="128"/>
      <c r="AZ93" s="126"/>
      <c r="BA93" s="94"/>
      <c r="BC93" s="128"/>
      <c r="BD93" s="128"/>
      <c r="BF93" s="94"/>
      <c r="BG93" s="128"/>
      <c r="BH93" s="128"/>
      <c r="BK93" s="128"/>
      <c r="BL93" s="126"/>
      <c r="BM93" s="94"/>
      <c r="BO93" s="128"/>
      <c r="BP93" s="128"/>
      <c r="BS93" s="128"/>
      <c r="BT93" s="128"/>
      <c r="BW93" s="126"/>
      <c r="BX93" s="128"/>
      <c r="CA93" s="131"/>
      <c r="CB93" s="128"/>
      <c r="CE93" s="126"/>
      <c r="CF93" s="128"/>
      <c r="CI93" s="128"/>
      <c r="CJ93" s="128"/>
      <c r="CM93" s="126"/>
      <c r="CN93" s="128"/>
      <c r="CQ93" s="128"/>
      <c r="CR93" s="126"/>
      <c r="CS93" s="94"/>
      <c r="CU93" s="128"/>
      <c r="CV93" s="128"/>
      <c r="CY93" s="128"/>
      <c r="CZ93" s="126"/>
      <c r="DC93" s="94"/>
      <c r="DG93" s="94"/>
      <c r="DJ93" s="94"/>
      <c r="DM93" s="94"/>
      <c r="DQ93" s="94"/>
      <c r="DT93" s="94"/>
    </row>
    <row r="94" spans="1:124" s="95" customFormat="1" x14ac:dyDescent="0.3">
      <c r="A94" s="94"/>
      <c r="B94" s="94">
        <v>1</v>
      </c>
      <c r="C94" s="96" t="s">
        <v>23</v>
      </c>
      <c r="D94" s="97">
        <v>108</v>
      </c>
      <c r="E94" s="96" t="s">
        <v>96</v>
      </c>
      <c r="H94" s="96"/>
      <c r="I94" s="96"/>
      <c r="J94" s="96"/>
      <c r="K94" s="96"/>
      <c r="L94" s="96"/>
      <c r="M94" s="97"/>
      <c r="N94" s="97"/>
      <c r="O94" s="97"/>
      <c r="P94" s="96"/>
      <c r="Q94" s="127"/>
      <c r="R94" s="127"/>
      <c r="S94" s="96"/>
      <c r="T94" s="127"/>
      <c r="U94" s="128"/>
      <c r="V94" s="110"/>
      <c r="W94" s="110"/>
      <c r="X94" s="96"/>
      <c r="Y94" s="96"/>
      <c r="Z94" s="96"/>
      <c r="AA94" s="128"/>
      <c r="AB94" s="128"/>
      <c r="AC94" s="110"/>
      <c r="AD94" s="94"/>
      <c r="AE94" s="126"/>
      <c r="AF94" s="127"/>
      <c r="AG94" s="96"/>
      <c r="AH94" s="96"/>
      <c r="AI94" s="94"/>
      <c r="AJ94" s="111"/>
      <c r="AK94" s="111"/>
      <c r="AL94" s="96"/>
      <c r="AM94" s="127"/>
      <c r="AN94" s="126"/>
      <c r="AO94" s="111"/>
      <c r="AP94" s="96"/>
      <c r="AQ94" s="126"/>
      <c r="AR94" s="127"/>
      <c r="AS94" s="96"/>
      <c r="AT94" s="96"/>
      <c r="AU94" s="131"/>
      <c r="AV94" s="126"/>
      <c r="AW94" s="94"/>
      <c r="AX94" s="94"/>
      <c r="AY94" s="127"/>
      <c r="AZ94" s="127"/>
      <c r="BA94" s="96"/>
      <c r="BB94" s="94"/>
      <c r="BC94" s="127"/>
      <c r="BD94" s="126"/>
      <c r="BE94" s="94"/>
      <c r="BF94" s="96"/>
      <c r="BG94" s="128"/>
      <c r="BH94" s="127"/>
      <c r="BI94" s="96"/>
      <c r="BK94" s="128"/>
      <c r="BL94" s="127"/>
      <c r="BM94" s="96"/>
      <c r="BN94" s="96"/>
      <c r="BO94" s="128"/>
      <c r="BP94" s="128"/>
      <c r="BS94" s="127"/>
      <c r="BT94" s="128"/>
      <c r="BW94" s="127"/>
      <c r="BX94" s="127"/>
      <c r="BY94" s="96"/>
      <c r="CA94" s="128"/>
      <c r="CB94" s="127"/>
      <c r="CC94" s="96"/>
      <c r="CE94" s="127"/>
      <c r="CF94" s="128"/>
      <c r="CH94" s="96"/>
      <c r="CI94" s="128"/>
      <c r="CJ94" s="128"/>
      <c r="CL94" s="96"/>
      <c r="CM94" s="127"/>
      <c r="CN94" s="128"/>
      <c r="CQ94" s="127"/>
      <c r="CR94" s="127"/>
      <c r="CS94" s="96"/>
      <c r="CU94" s="127"/>
      <c r="CV94" s="128"/>
      <c r="CY94" s="127"/>
      <c r="CZ94" s="127"/>
      <c r="DC94" s="96"/>
      <c r="DG94" s="96"/>
      <c r="DJ94" s="96"/>
      <c r="DM94" s="96"/>
      <c r="DQ94" s="96"/>
      <c r="DT94" s="96"/>
    </row>
    <row r="95" spans="1:124" s="95" customFormat="1" x14ac:dyDescent="0.3">
      <c r="A95" s="94"/>
      <c r="B95" s="94">
        <v>1</v>
      </c>
      <c r="C95" s="96" t="s">
        <v>97</v>
      </c>
      <c r="D95" s="97">
        <v>32.5</v>
      </c>
      <c r="E95" s="96" t="s">
        <v>96</v>
      </c>
      <c r="F95" s="94"/>
      <c r="G95" s="94"/>
      <c r="H95" s="96"/>
      <c r="I95" s="96"/>
      <c r="J95" s="96"/>
      <c r="K95" s="96"/>
      <c r="L95" s="96"/>
      <c r="M95" s="97"/>
      <c r="N95" s="97"/>
      <c r="O95" s="97"/>
      <c r="P95" s="96"/>
      <c r="Q95" s="127"/>
      <c r="R95" s="127"/>
      <c r="S95" s="96"/>
      <c r="T95" s="127"/>
      <c r="U95" s="128"/>
      <c r="V95" s="110"/>
      <c r="W95" s="110"/>
      <c r="X95" s="96"/>
      <c r="Y95" s="96"/>
      <c r="Z95" s="96"/>
      <c r="AA95" s="128"/>
      <c r="AB95" s="128"/>
      <c r="AC95" s="110"/>
      <c r="AD95" s="94"/>
      <c r="AE95" s="126"/>
      <c r="AF95" s="127"/>
      <c r="AG95" s="96"/>
      <c r="AH95" s="96"/>
      <c r="AI95" s="94"/>
      <c r="AJ95" s="111"/>
      <c r="AK95" s="111"/>
      <c r="AL95" s="96"/>
      <c r="AM95" s="127"/>
      <c r="AN95" s="126"/>
      <c r="AO95" s="111"/>
      <c r="AP95" s="96"/>
      <c r="AQ95" s="126"/>
      <c r="AR95" s="127"/>
      <c r="AS95" s="96"/>
      <c r="AT95" s="96"/>
      <c r="AU95" s="131"/>
      <c r="AV95" s="126"/>
      <c r="AW95" s="94"/>
      <c r="AX95" s="94"/>
      <c r="AY95" s="127"/>
      <c r="AZ95" s="127"/>
      <c r="BA95" s="96"/>
      <c r="BB95" s="94"/>
      <c r="BC95" s="127"/>
      <c r="BD95" s="126"/>
      <c r="BE95" s="94"/>
      <c r="BF95" s="96"/>
      <c r="BG95" s="128"/>
      <c r="BH95" s="127"/>
      <c r="BI95" s="96"/>
      <c r="BK95" s="128"/>
      <c r="BL95" s="127"/>
      <c r="BM95" s="96"/>
      <c r="BN95" s="96"/>
      <c r="BO95" s="128"/>
      <c r="BP95" s="128"/>
      <c r="BS95" s="127"/>
      <c r="BT95" s="128"/>
      <c r="BW95" s="127"/>
      <c r="BX95" s="127"/>
      <c r="BY95" s="96"/>
      <c r="CA95" s="128"/>
      <c r="CB95" s="127"/>
      <c r="CC95" s="96"/>
      <c r="CE95" s="127"/>
      <c r="CF95" s="128"/>
      <c r="CH95" s="96"/>
      <c r="CI95" s="128"/>
      <c r="CJ95" s="128"/>
      <c r="CL95" s="96"/>
      <c r="CM95" s="127"/>
      <c r="CN95" s="128"/>
      <c r="CQ95" s="127"/>
      <c r="CR95" s="127"/>
      <c r="CS95" s="96"/>
      <c r="CU95" s="127"/>
      <c r="CV95" s="128"/>
      <c r="CY95" s="127"/>
      <c r="CZ95" s="127"/>
      <c r="DC95" s="96"/>
      <c r="DG95" s="96"/>
      <c r="DJ95" s="96"/>
      <c r="DM95" s="96"/>
      <c r="DQ95" s="96"/>
      <c r="DT95" s="96"/>
    </row>
    <row r="96" spans="1:124" s="95" customFormat="1" x14ac:dyDescent="0.3">
      <c r="A96" s="94"/>
      <c r="B96" s="94">
        <v>1</v>
      </c>
      <c r="C96" s="96" t="s">
        <v>14</v>
      </c>
      <c r="D96" s="97">
        <v>112</v>
      </c>
      <c r="E96" s="96" t="s">
        <v>50</v>
      </c>
      <c r="H96" s="96"/>
      <c r="I96" s="96"/>
      <c r="J96" s="96"/>
      <c r="K96" s="96"/>
      <c r="L96" s="96"/>
      <c r="M96" s="97"/>
      <c r="N96" s="97"/>
      <c r="O96" s="97"/>
      <c r="P96" s="96"/>
      <c r="Q96" s="127"/>
      <c r="R96" s="127"/>
      <c r="S96" s="96"/>
      <c r="T96" s="127"/>
      <c r="U96" s="128"/>
      <c r="V96" s="110"/>
      <c r="W96" s="110"/>
      <c r="X96" s="96"/>
      <c r="Y96" s="96"/>
      <c r="Z96" s="96"/>
      <c r="AA96" s="128"/>
      <c r="AB96" s="128"/>
      <c r="AC96" s="110"/>
      <c r="AD96" s="94"/>
      <c r="AE96" s="126"/>
      <c r="AF96" s="127"/>
      <c r="AG96" s="96"/>
      <c r="AH96" s="96"/>
      <c r="AI96" s="94"/>
      <c r="AJ96" s="111"/>
      <c r="AK96" s="111"/>
      <c r="AL96" s="96"/>
      <c r="AM96" s="127"/>
      <c r="AN96" s="126"/>
      <c r="AO96" s="111"/>
      <c r="AP96" s="96"/>
      <c r="AQ96" s="126"/>
      <c r="AR96" s="127"/>
      <c r="AS96" s="96"/>
      <c r="AT96" s="96"/>
      <c r="AU96" s="131"/>
      <c r="AV96" s="126"/>
      <c r="AW96" s="94"/>
      <c r="AX96" s="94"/>
      <c r="AY96" s="127"/>
      <c r="AZ96" s="127"/>
      <c r="BA96" s="96"/>
      <c r="BB96" s="94"/>
      <c r="BC96" s="127"/>
      <c r="BD96" s="126"/>
      <c r="BE96" s="94"/>
      <c r="BF96" s="96"/>
      <c r="BG96" s="128"/>
      <c r="BH96" s="127"/>
      <c r="BI96" s="96"/>
      <c r="BK96" s="128"/>
      <c r="BL96" s="127"/>
      <c r="BM96" s="96"/>
      <c r="BN96" s="96"/>
      <c r="BO96" s="128"/>
      <c r="BP96" s="128"/>
      <c r="BS96" s="127"/>
      <c r="BT96" s="128"/>
      <c r="BW96" s="127"/>
      <c r="BX96" s="127"/>
      <c r="BY96" s="96"/>
      <c r="CA96" s="128"/>
      <c r="CB96" s="127"/>
      <c r="CC96" s="96"/>
      <c r="CE96" s="127"/>
      <c r="CF96" s="128"/>
      <c r="CH96" s="96"/>
      <c r="CI96" s="128"/>
      <c r="CJ96" s="128"/>
      <c r="CL96" s="96"/>
      <c r="CM96" s="127"/>
      <c r="CN96" s="128"/>
      <c r="CQ96" s="127"/>
      <c r="CR96" s="127"/>
      <c r="CS96" s="96"/>
      <c r="CU96" s="127"/>
      <c r="CV96" s="128"/>
      <c r="CY96" s="127"/>
      <c r="CZ96" s="127"/>
      <c r="DC96" s="96"/>
      <c r="DG96" s="96"/>
      <c r="DJ96" s="96"/>
      <c r="DM96" s="96"/>
      <c r="DQ96" s="96"/>
      <c r="DT96" s="96"/>
    </row>
    <row r="97" spans="1:124" s="95" customFormat="1" ht="14.4" customHeight="1" x14ac:dyDescent="0.3">
      <c r="A97" s="94"/>
      <c r="B97" s="158">
        <v>1</v>
      </c>
      <c r="C97" s="159" t="s">
        <v>99</v>
      </c>
      <c r="D97" s="160">
        <v>130</v>
      </c>
      <c r="E97" s="161" t="s">
        <v>96</v>
      </c>
      <c r="H97" s="96"/>
      <c r="I97" s="96"/>
      <c r="J97" s="96"/>
      <c r="K97" s="96"/>
      <c r="L97" s="106"/>
      <c r="M97" s="97"/>
      <c r="N97" s="97"/>
      <c r="O97" s="97"/>
      <c r="P97" s="96"/>
      <c r="Q97" s="127"/>
      <c r="R97" s="127"/>
      <c r="S97" s="96"/>
      <c r="T97" s="130"/>
      <c r="U97" s="128"/>
      <c r="V97" s="110"/>
      <c r="W97" s="110"/>
      <c r="X97" s="96"/>
      <c r="Y97" s="96"/>
      <c r="Z97" s="106"/>
      <c r="AA97" s="128"/>
      <c r="AB97" s="128"/>
      <c r="AC97" s="110"/>
      <c r="AD97" s="94"/>
      <c r="AE97" s="126"/>
      <c r="AF97" s="130"/>
      <c r="AG97" s="106"/>
      <c r="AH97" s="96"/>
      <c r="AI97" s="94"/>
      <c r="AJ97" s="111"/>
      <c r="AK97" s="111"/>
      <c r="AL97" s="106"/>
      <c r="AM97" s="127"/>
      <c r="AN97" s="126"/>
      <c r="AO97" s="111"/>
      <c r="AP97" s="106"/>
      <c r="AQ97" s="126"/>
      <c r="AR97" s="127"/>
      <c r="AS97" s="96"/>
      <c r="AT97" s="106"/>
      <c r="AU97" s="131"/>
      <c r="AV97" s="126"/>
      <c r="AW97" s="94"/>
      <c r="AX97" s="94"/>
      <c r="AY97" s="130"/>
      <c r="AZ97" s="127"/>
      <c r="BA97" s="96"/>
      <c r="BB97" s="94"/>
      <c r="BC97" s="130"/>
      <c r="BD97" s="126"/>
      <c r="BE97" s="94"/>
      <c r="BF97" s="96"/>
      <c r="BG97" s="128"/>
      <c r="BH97" s="130"/>
      <c r="BI97" s="106"/>
      <c r="BK97" s="128"/>
      <c r="BL97" s="127"/>
      <c r="BM97" s="96"/>
      <c r="BN97" s="106"/>
      <c r="BO97" s="128"/>
      <c r="BP97" s="128"/>
      <c r="BS97" s="130"/>
      <c r="BT97" s="128"/>
      <c r="BW97" s="127"/>
      <c r="BX97" s="130"/>
      <c r="BY97" s="106"/>
      <c r="CA97" s="128"/>
      <c r="CB97" s="130"/>
      <c r="CC97" s="106"/>
      <c r="CE97" s="127"/>
      <c r="CF97" s="128"/>
      <c r="CH97" s="106"/>
      <c r="CI97" s="128"/>
      <c r="CJ97" s="128"/>
      <c r="CL97" s="106"/>
      <c r="CM97" s="127"/>
      <c r="CN97" s="128"/>
      <c r="CQ97" s="130"/>
      <c r="CR97" s="127"/>
      <c r="CS97" s="96"/>
      <c r="CU97" s="130"/>
      <c r="CV97" s="128"/>
      <c r="CY97" s="130"/>
      <c r="CZ97" s="127"/>
      <c r="DC97" s="96"/>
      <c r="DG97" s="96"/>
      <c r="DJ97" s="96"/>
      <c r="DM97" s="96"/>
      <c r="DQ97" s="96"/>
      <c r="DT97" s="96"/>
    </row>
    <row r="98" spans="1:124" s="95" customFormat="1" ht="14.4" customHeight="1" x14ac:dyDescent="0.3">
      <c r="A98" s="94"/>
      <c r="B98" s="158"/>
      <c r="C98" s="159"/>
      <c r="D98" s="160"/>
      <c r="E98" s="161"/>
      <c r="F98" s="94"/>
      <c r="G98" s="94"/>
      <c r="H98" s="96"/>
      <c r="I98" s="96"/>
      <c r="J98" s="96"/>
      <c r="K98" s="96"/>
      <c r="L98" s="106"/>
      <c r="M98" s="97"/>
      <c r="N98" s="97"/>
      <c r="O98" s="97"/>
      <c r="P98" s="96"/>
      <c r="Q98" s="127"/>
      <c r="R98" s="127"/>
      <c r="S98" s="96"/>
      <c r="T98" s="130"/>
      <c r="U98" s="128"/>
      <c r="V98" s="110"/>
      <c r="W98" s="110"/>
      <c r="X98" s="96"/>
      <c r="Y98" s="96"/>
      <c r="Z98" s="106"/>
      <c r="AA98" s="128"/>
      <c r="AB98" s="128"/>
      <c r="AC98" s="110"/>
      <c r="AD98" s="94"/>
      <c r="AE98" s="126"/>
      <c r="AF98" s="130"/>
      <c r="AG98" s="106"/>
      <c r="AH98" s="96"/>
      <c r="AI98" s="94"/>
      <c r="AJ98" s="111"/>
      <c r="AK98" s="111"/>
      <c r="AL98" s="106"/>
      <c r="AM98" s="127"/>
      <c r="AN98" s="126"/>
      <c r="AO98" s="111"/>
      <c r="AP98" s="106"/>
      <c r="AQ98" s="126"/>
      <c r="AR98" s="127"/>
      <c r="AS98" s="96"/>
      <c r="AT98" s="106"/>
      <c r="AU98" s="131"/>
      <c r="AV98" s="126"/>
      <c r="AW98" s="94"/>
      <c r="AX98" s="94"/>
      <c r="AY98" s="130"/>
      <c r="AZ98" s="127"/>
      <c r="BA98" s="96"/>
      <c r="BB98" s="94"/>
      <c r="BC98" s="130"/>
      <c r="BD98" s="126"/>
      <c r="BE98" s="94"/>
      <c r="BF98" s="96"/>
      <c r="BG98" s="128"/>
      <c r="BH98" s="130"/>
      <c r="BI98" s="106"/>
      <c r="BK98" s="128"/>
      <c r="BL98" s="127"/>
      <c r="BM98" s="96"/>
      <c r="BN98" s="106"/>
      <c r="BO98" s="128"/>
      <c r="BP98" s="128"/>
      <c r="BS98" s="130"/>
      <c r="BT98" s="128"/>
      <c r="BW98" s="127"/>
      <c r="BX98" s="130"/>
      <c r="BY98" s="106"/>
      <c r="CA98" s="128"/>
      <c r="CB98" s="130"/>
      <c r="CC98" s="106"/>
      <c r="CE98" s="127"/>
      <c r="CF98" s="128"/>
      <c r="CH98" s="106"/>
      <c r="CI98" s="128"/>
      <c r="CJ98" s="128"/>
      <c r="CL98" s="106"/>
      <c r="CM98" s="127"/>
      <c r="CN98" s="128"/>
      <c r="CQ98" s="130"/>
      <c r="CR98" s="127"/>
      <c r="CS98" s="96"/>
      <c r="CU98" s="130"/>
      <c r="CV98" s="128"/>
      <c r="CY98" s="130"/>
      <c r="CZ98" s="127"/>
      <c r="DC98" s="96"/>
      <c r="DG98" s="96"/>
      <c r="DJ98" s="96"/>
      <c r="DM98" s="96"/>
      <c r="DQ98" s="96"/>
      <c r="DT98" s="96"/>
    </row>
    <row r="99" spans="1:124" s="95" customFormat="1" x14ac:dyDescent="0.3">
      <c r="A99" s="94"/>
      <c r="B99" s="108">
        <v>1</v>
      </c>
      <c r="C99" s="96" t="s">
        <v>100</v>
      </c>
      <c r="D99" s="97">
        <v>260</v>
      </c>
      <c r="E99" s="96" t="s">
        <v>96</v>
      </c>
      <c r="F99" s="94"/>
      <c r="G99" s="94"/>
      <c r="H99" s="96"/>
      <c r="I99" s="96"/>
      <c r="J99" s="96"/>
      <c r="K99" s="96"/>
      <c r="L99" s="96"/>
      <c r="M99" s="97"/>
      <c r="N99" s="97"/>
      <c r="O99" s="97"/>
      <c r="P99" s="96"/>
      <c r="Q99" s="127"/>
      <c r="R99" s="127"/>
      <c r="S99" s="96"/>
      <c r="T99" s="127"/>
      <c r="U99" s="128"/>
      <c r="V99" s="110"/>
      <c r="W99" s="110"/>
      <c r="X99" s="96"/>
      <c r="Y99" s="96"/>
      <c r="Z99" s="96"/>
      <c r="AA99" s="128"/>
      <c r="AB99" s="128"/>
      <c r="AC99" s="110"/>
      <c r="AD99" s="94"/>
      <c r="AE99" s="126"/>
      <c r="AF99" s="127"/>
      <c r="AG99" s="96"/>
      <c r="AH99" s="96"/>
      <c r="AI99" s="94"/>
      <c r="AJ99" s="111"/>
      <c r="AK99" s="111"/>
      <c r="AL99" s="96"/>
      <c r="AM99" s="127"/>
      <c r="AN99" s="126"/>
      <c r="AO99" s="111"/>
      <c r="AP99" s="96"/>
      <c r="AQ99" s="126"/>
      <c r="AR99" s="127"/>
      <c r="AS99" s="96"/>
      <c r="AT99" s="96"/>
      <c r="AU99" s="131"/>
      <c r="AV99" s="126"/>
      <c r="AW99" s="94"/>
      <c r="AX99" s="94"/>
      <c r="AY99" s="127"/>
      <c r="AZ99" s="127"/>
      <c r="BA99" s="96"/>
      <c r="BB99" s="94"/>
      <c r="BC99" s="127"/>
      <c r="BD99" s="126"/>
      <c r="BE99" s="94"/>
      <c r="BF99" s="96"/>
      <c r="BG99" s="128"/>
      <c r="BH99" s="127"/>
      <c r="BI99" s="96"/>
      <c r="BK99" s="128"/>
      <c r="BL99" s="127"/>
      <c r="BM99" s="96"/>
      <c r="BN99" s="96"/>
      <c r="BO99" s="128"/>
      <c r="BP99" s="128"/>
      <c r="BS99" s="127"/>
      <c r="BT99" s="128"/>
      <c r="BW99" s="127"/>
      <c r="BX99" s="127"/>
      <c r="BY99" s="96"/>
      <c r="CA99" s="128"/>
      <c r="CB99" s="127"/>
      <c r="CC99" s="96"/>
      <c r="CE99" s="127"/>
      <c r="CF99" s="128"/>
      <c r="CH99" s="96"/>
      <c r="CI99" s="128"/>
      <c r="CJ99" s="128"/>
      <c r="CL99" s="96"/>
      <c r="CM99" s="127"/>
      <c r="CN99" s="128"/>
      <c r="CQ99" s="127"/>
      <c r="CR99" s="127"/>
      <c r="CS99" s="96"/>
      <c r="CU99" s="127"/>
      <c r="CV99" s="128"/>
      <c r="CY99" s="127"/>
      <c r="CZ99" s="127"/>
      <c r="DC99" s="96"/>
      <c r="DG99" s="96"/>
      <c r="DJ99" s="96"/>
      <c r="DM99" s="96"/>
      <c r="DQ99" s="96"/>
      <c r="DT99" s="96"/>
    </row>
    <row r="100" spans="1:124" s="95" customFormat="1" x14ac:dyDescent="0.3">
      <c r="A100" s="94"/>
      <c r="B100" s="108">
        <v>1</v>
      </c>
      <c r="C100" s="96" t="s">
        <v>412</v>
      </c>
      <c r="D100" s="97">
        <f>D97/D96</f>
        <v>1.1607142857142858</v>
      </c>
      <c r="E100" s="96" t="s">
        <v>101</v>
      </c>
      <c r="F100" s="94"/>
      <c r="G100" s="94"/>
      <c r="H100" s="96"/>
      <c r="I100" s="96"/>
      <c r="J100" s="96"/>
      <c r="K100" s="96"/>
      <c r="L100" s="96"/>
      <c r="M100" s="97"/>
      <c r="N100" s="97"/>
      <c r="O100" s="97"/>
      <c r="P100" s="96"/>
      <c r="Q100" s="127"/>
      <c r="R100" s="127"/>
      <c r="S100" s="96"/>
      <c r="T100" s="127"/>
      <c r="U100" s="128"/>
      <c r="V100" s="110"/>
      <c r="W100" s="110"/>
      <c r="X100" s="96"/>
      <c r="Y100" s="96"/>
      <c r="Z100" s="96"/>
      <c r="AA100" s="128"/>
      <c r="AB100" s="128"/>
      <c r="AC100" s="110"/>
      <c r="AD100" s="94"/>
      <c r="AE100" s="126"/>
      <c r="AF100" s="127"/>
      <c r="AG100" s="96"/>
      <c r="AH100" s="96"/>
      <c r="AI100" s="94"/>
      <c r="AJ100" s="111"/>
      <c r="AK100" s="111"/>
      <c r="AL100" s="96"/>
      <c r="AM100" s="127"/>
      <c r="AN100" s="126"/>
      <c r="AO100" s="111"/>
      <c r="AP100" s="96"/>
      <c r="AQ100" s="126"/>
      <c r="AR100" s="127"/>
      <c r="AS100" s="96"/>
      <c r="AT100" s="96"/>
      <c r="AU100" s="131"/>
      <c r="AV100" s="126"/>
      <c r="AW100" s="94"/>
      <c r="AX100" s="94"/>
      <c r="AY100" s="127"/>
      <c r="AZ100" s="127"/>
      <c r="BA100" s="96"/>
      <c r="BB100" s="94"/>
      <c r="BC100" s="127"/>
      <c r="BD100" s="126"/>
      <c r="BE100" s="94"/>
      <c r="BF100" s="96"/>
      <c r="BG100" s="128"/>
      <c r="BH100" s="127"/>
      <c r="BI100" s="96"/>
      <c r="BK100" s="128"/>
      <c r="BL100" s="127"/>
      <c r="BM100" s="96"/>
      <c r="BN100" s="96"/>
      <c r="BO100" s="128"/>
      <c r="BP100" s="128"/>
      <c r="BS100" s="127"/>
      <c r="BT100" s="128"/>
      <c r="BW100" s="127"/>
      <c r="BX100" s="127"/>
      <c r="BY100" s="96"/>
      <c r="CA100" s="128"/>
      <c r="CB100" s="127"/>
      <c r="CC100" s="96"/>
      <c r="CE100" s="127"/>
      <c r="CF100" s="128"/>
      <c r="CH100" s="96"/>
      <c r="CI100" s="128"/>
      <c r="CJ100" s="128"/>
      <c r="CL100" s="96"/>
      <c r="CM100" s="127"/>
      <c r="CN100" s="128"/>
      <c r="CQ100" s="127"/>
      <c r="CR100" s="127"/>
      <c r="CS100" s="96"/>
      <c r="CU100" s="127"/>
      <c r="CV100" s="128"/>
      <c r="CY100" s="127"/>
      <c r="CZ100" s="127"/>
      <c r="DC100" s="96"/>
      <c r="DG100" s="96"/>
      <c r="DJ100" s="96"/>
      <c r="DM100" s="96"/>
      <c r="DQ100" s="96"/>
      <c r="DT100" s="96"/>
    </row>
    <row r="101" spans="1:124" s="95" customFormat="1" x14ac:dyDescent="0.3">
      <c r="A101" s="94"/>
      <c r="B101" s="108">
        <v>1</v>
      </c>
      <c r="C101" s="96" t="s">
        <v>100</v>
      </c>
      <c r="D101" s="97">
        <f>D99/D96</f>
        <v>2.3214285714285716</v>
      </c>
      <c r="E101" s="96" t="s">
        <v>101</v>
      </c>
      <c r="F101" s="94"/>
      <c r="G101" s="94"/>
      <c r="H101" s="96"/>
      <c r="I101" s="96"/>
      <c r="J101" s="96"/>
      <c r="K101" s="96"/>
      <c r="L101" s="96"/>
      <c r="M101" s="97"/>
      <c r="N101" s="97"/>
      <c r="O101" s="97"/>
      <c r="P101" s="96"/>
      <c r="Q101" s="127"/>
      <c r="R101" s="127"/>
      <c r="S101" s="96"/>
      <c r="T101" s="127"/>
      <c r="U101" s="128"/>
      <c r="V101" s="110"/>
      <c r="W101" s="110"/>
      <c r="X101" s="96"/>
      <c r="Y101" s="96"/>
      <c r="Z101" s="96"/>
      <c r="AA101" s="128"/>
      <c r="AB101" s="128"/>
      <c r="AC101" s="110"/>
      <c r="AD101" s="94"/>
      <c r="AE101" s="126"/>
      <c r="AF101" s="127"/>
      <c r="AG101" s="96"/>
      <c r="AH101" s="96"/>
      <c r="AI101" s="94"/>
      <c r="AJ101" s="111"/>
      <c r="AK101" s="111"/>
      <c r="AL101" s="96"/>
      <c r="AM101" s="127"/>
      <c r="AN101" s="126"/>
      <c r="AO101" s="111"/>
      <c r="AP101" s="96"/>
      <c r="AQ101" s="126"/>
      <c r="AR101" s="127"/>
      <c r="AS101" s="96"/>
      <c r="AT101" s="96"/>
      <c r="AU101" s="131"/>
      <c r="AV101" s="126"/>
      <c r="AW101" s="94"/>
      <c r="AX101" s="94"/>
      <c r="AY101" s="127"/>
      <c r="AZ101" s="127"/>
      <c r="BA101" s="96"/>
      <c r="BB101" s="94"/>
      <c r="BC101" s="127"/>
      <c r="BD101" s="126"/>
      <c r="BE101" s="94"/>
      <c r="BF101" s="96"/>
      <c r="BG101" s="128"/>
      <c r="BH101" s="127"/>
      <c r="BI101" s="96"/>
      <c r="BK101" s="128"/>
      <c r="BL101" s="127"/>
      <c r="BM101" s="96"/>
      <c r="BN101" s="96"/>
      <c r="BO101" s="128"/>
      <c r="BP101" s="128"/>
      <c r="BS101" s="127"/>
      <c r="BT101" s="128"/>
      <c r="BW101" s="127"/>
      <c r="BX101" s="127"/>
      <c r="BY101" s="96"/>
      <c r="CA101" s="128"/>
      <c r="CB101" s="127"/>
      <c r="CC101" s="96"/>
      <c r="CE101" s="127"/>
      <c r="CF101" s="128"/>
      <c r="CH101" s="96"/>
      <c r="CI101" s="128"/>
      <c r="CJ101" s="128"/>
      <c r="CL101" s="96"/>
      <c r="CM101" s="127"/>
      <c r="CN101" s="128"/>
      <c r="CQ101" s="127"/>
      <c r="CR101" s="127"/>
      <c r="CS101" s="96"/>
      <c r="CU101" s="127"/>
      <c r="CV101" s="128"/>
      <c r="CY101" s="127"/>
      <c r="CZ101" s="127"/>
      <c r="DC101" s="96"/>
      <c r="DG101" s="96"/>
      <c r="DJ101" s="96"/>
      <c r="DM101" s="96"/>
      <c r="DQ101" s="96"/>
      <c r="DT101" s="96"/>
    </row>
    <row r="102" spans="1:124" s="95" customFormat="1" x14ac:dyDescent="0.3">
      <c r="A102" s="94"/>
      <c r="B102" s="94"/>
      <c r="C102" s="94"/>
      <c r="D102" s="94"/>
      <c r="E102" s="94"/>
      <c r="F102" s="94"/>
      <c r="G102" s="94"/>
      <c r="H102" s="96"/>
      <c r="I102" s="96"/>
      <c r="J102" s="96"/>
      <c r="K102" s="96"/>
      <c r="L102" s="94"/>
      <c r="M102" s="97"/>
      <c r="N102" s="97"/>
      <c r="O102" s="97"/>
      <c r="P102" s="96"/>
      <c r="Q102" s="127"/>
      <c r="R102" s="127"/>
      <c r="S102" s="96"/>
      <c r="T102" s="126"/>
      <c r="U102" s="128"/>
      <c r="V102" s="110"/>
      <c r="W102" s="110"/>
      <c r="X102" s="96"/>
      <c r="Y102" s="96"/>
      <c r="Z102" s="94"/>
      <c r="AA102" s="128"/>
      <c r="AB102" s="128"/>
      <c r="AC102" s="110"/>
      <c r="AD102" s="94"/>
      <c r="AE102" s="126"/>
      <c r="AF102" s="126"/>
      <c r="AG102" s="94"/>
      <c r="AH102" s="96"/>
      <c r="AI102" s="94"/>
      <c r="AJ102" s="111"/>
      <c r="AK102" s="111"/>
      <c r="AL102" s="94"/>
      <c r="AM102" s="127"/>
      <c r="AN102" s="126"/>
      <c r="AO102" s="111"/>
      <c r="AP102" s="94"/>
      <c r="AQ102" s="126"/>
      <c r="AR102" s="127"/>
      <c r="AS102" s="96"/>
      <c r="AT102" s="94"/>
      <c r="AU102" s="131"/>
      <c r="AV102" s="126"/>
      <c r="AW102" s="94"/>
      <c r="AX102" s="94"/>
      <c r="AY102" s="126"/>
      <c r="AZ102" s="127"/>
      <c r="BA102" s="96"/>
      <c r="BB102" s="94"/>
      <c r="BC102" s="126"/>
      <c r="BD102" s="126"/>
      <c r="BE102" s="94"/>
      <c r="BF102" s="96"/>
      <c r="BG102" s="128"/>
      <c r="BH102" s="126"/>
      <c r="BI102" s="94"/>
      <c r="BK102" s="128"/>
      <c r="BL102" s="127"/>
      <c r="BM102" s="96"/>
      <c r="BN102" s="94"/>
      <c r="BO102" s="128"/>
      <c r="BP102" s="128"/>
      <c r="BS102" s="126"/>
      <c r="BT102" s="128"/>
      <c r="BW102" s="127"/>
      <c r="BX102" s="126"/>
      <c r="BY102" s="94"/>
      <c r="CA102" s="128"/>
      <c r="CB102" s="126"/>
      <c r="CC102" s="94"/>
      <c r="CE102" s="127"/>
      <c r="CF102" s="128"/>
      <c r="CH102" s="94"/>
      <c r="CI102" s="128"/>
      <c r="CJ102" s="128"/>
      <c r="CL102" s="94"/>
      <c r="CM102" s="127"/>
      <c r="CN102" s="128"/>
      <c r="CQ102" s="126"/>
      <c r="CR102" s="127"/>
      <c r="CS102" s="96"/>
      <c r="CU102" s="126"/>
      <c r="CV102" s="128"/>
      <c r="CY102" s="126"/>
      <c r="CZ102" s="127"/>
      <c r="DC102" s="96"/>
      <c r="DG102" s="96"/>
      <c r="DJ102" s="96"/>
      <c r="DM102" s="96"/>
      <c r="DQ102" s="96"/>
      <c r="DT102" s="96"/>
    </row>
    <row r="103" spans="1:124" s="95" customFormat="1" x14ac:dyDescent="0.3">
      <c r="A103" s="94" t="s">
        <v>106</v>
      </c>
      <c r="B103" s="94">
        <v>1</v>
      </c>
      <c r="C103" s="99" t="s">
        <v>37</v>
      </c>
      <c r="D103" s="94">
        <v>373.33</v>
      </c>
      <c r="E103" s="96" t="s">
        <v>96</v>
      </c>
      <c r="F103" s="98">
        <f>D103/D96</f>
        <v>3.3333035714285715</v>
      </c>
      <c r="G103" s="96" t="s">
        <v>101</v>
      </c>
      <c r="H103" s="96"/>
      <c r="I103" s="96"/>
      <c r="J103" s="96"/>
      <c r="K103" s="96"/>
      <c r="L103" s="96"/>
      <c r="M103" s="97"/>
      <c r="N103" s="97"/>
      <c r="O103" s="97"/>
      <c r="P103" s="96"/>
      <c r="Q103" s="127"/>
      <c r="R103" s="127"/>
      <c r="S103" s="96"/>
      <c r="T103" s="127"/>
      <c r="U103" s="128"/>
      <c r="V103" s="110"/>
      <c r="W103" s="110"/>
      <c r="X103" s="96"/>
      <c r="Y103" s="96"/>
      <c r="Z103" s="96"/>
      <c r="AA103" s="128"/>
      <c r="AB103" s="128"/>
      <c r="AC103" s="110"/>
      <c r="AD103" s="94"/>
      <c r="AE103" s="126"/>
      <c r="AF103" s="127"/>
      <c r="AG103" s="96"/>
      <c r="AH103" s="96"/>
      <c r="AI103" s="94"/>
      <c r="AJ103" s="111"/>
      <c r="AK103" s="111"/>
      <c r="AL103" s="96"/>
      <c r="AM103" s="127"/>
      <c r="AN103" s="126"/>
      <c r="AO103" s="111"/>
      <c r="AP103" s="96"/>
      <c r="AQ103" s="126"/>
      <c r="AR103" s="127"/>
      <c r="AS103" s="96"/>
      <c r="AT103" s="96"/>
      <c r="AU103" s="131"/>
      <c r="AV103" s="126"/>
      <c r="AW103" s="94"/>
      <c r="AX103" s="94"/>
      <c r="AY103" s="127"/>
      <c r="AZ103" s="127"/>
      <c r="BA103" s="96"/>
      <c r="BB103" s="94"/>
      <c r="BC103" s="127"/>
      <c r="BD103" s="126"/>
      <c r="BE103" s="94"/>
      <c r="BF103" s="96"/>
      <c r="BG103" s="128"/>
      <c r="BH103" s="127"/>
      <c r="BI103" s="96"/>
      <c r="BK103" s="128"/>
      <c r="BL103" s="127"/>
      <c r="BM103" s="96"/>
      <c r="BN103" s="96"/>
      <c r="BO103" s="128"/>
      <c r="BP103" s="128"/>
      <c r="BS103" s="127"/>
      <c r="BT103" s="128"/>
      <c r="BW103" s="127"/>
      <c r="BX103" s="127"/>
      <c r="BY103" s="96"/>
      <c r="CA103" s="128"/>
      <c r="CB103" s="127"/>
      <c r="CC103" s="96"/>
      <c r="CE103" s="127"/>
      <c r="CF103" s="128"/>
      <c r="CH103" s="96"/>
      <c r="CI103" s="128"/>
      <c r="CJ103" s="128"/>
      <c r="CL103" s="96"/>
      <c r="CM103" s="127"/>
      <c r="CN103" s="128"/>
      <c r="CQ103" s="127"/>
      <c r="CR103" s="127"/>
      <c r="CS103" s="96"/>
      <c r="CU103" s="127"/>
      <c r="CV103" s="128"/>
      <c r="CY103" s="127"/>
      <c r="CZ103" s="127"/>
      <c r="DC103" s="96"/>
      <c r="DG103" s="96"/>
      <c r="DJ103" s="96"/>
      <c r="DM103" s="96"/>
      <c r="DQ103" s="96"/>
      <c r="DT103" s="96"/>
    </row>
    <row r="104" spans="1:124" s="95" customFormat="1" x14ac:dyDescent="0.3">
      <c r="A104" s="94" t="s">
        <v>44</v>
      </c>
      <c r="B104" s="94">
        <v>1</v>
      </c>
      <c r="C104" s="99" t="s">
        <v>23</v>
      </c>
      <c r="D104" s="94">
        <v>0.5</v>
      </c>
      <c r="E104" s="96" t="s">
        <v>101</v>
      </c>
      <c r="F104" s="94"/>
      <c r="G104" s="94"/>
      <c r="H104" s="96"/>
      <c r="I104" s="96"/>
      <c r="J104" s="96"/>
      <c r="K104" s="96"/>
      <c r="L104" s="96"/>
      <c r="M104" s="97"/>
      <c r="N104" s="97"/>
      <c r="O104" s="97"/>
      <c r="P104" s="96"/>
      <c r="Q104" s="127"/>
      <c r="R104" s="127"/>
      <c r="S104" s="96"/>
      <c r="T104" s="127"/>
      <c r="U104" s="128"/>
      <c r="V104" s="110"/>
      <c r="W104" s="110"/>
      <c r="X104" s="96"/>
      <c r="Y104" s="96"/>
      <c r="Z104" s="96"/>
      <c r="AA104" s="128"/>
      <c r="AB104" s="128"/>
      <c r="AC104" s="110"/>
      <c r="AD104" s="94"/>
      <c r="AE104" s="126"/>
      <c r="AF104" s="127"/>
      <c r="AG104" s="96"/>
      <c r="AH104" s="96"/>
      <c r="AI104" s="94"/>
      <c r="AJ104" s="111"/>
      <c r="AK104" s="111"/>
      <c r="AL104" s="96"/>
      <c r="AM104" s="127"/>
      <c r="AN104" s="126"/>
      <c r="AO104" s="111"/>
      <c r="AP104" s="96"/>
      <c r="AQ104" s="126"/>
      <c r="AR104" s="127"/>
      <c r="AS104" s="96"/>
      <c r="AT104" s="96"/>
      <c r="AU104" s="131"/>
      <c r="AV104" s="126"/>
      <c r="AW104" s="94"/>
      <c r="AX104" s="94"/>
      <c r="AY104" s="127"/>
      <c r="AZ104" s="127"/>
      <c r="BA104" s="96"/>
      <c r="BB104" s="94"/>
      <c r="BC104" s="127"/>
      <c r="BD104" s="126"/>
      <c r="BE104" s="94"/>
      <c r="BF104" s="96"/>
      <c r="BG104" s="128"/>
      <c r="BH104" s="127"/>
      <c r="BI104" s="96"/>
      <c r="BK104" s="128"/>
      <c r="BL104" s="127"/>
      <c r="BM104" s="96"/>
      <c r="BN104" s="96"/>
      <c r="BO104" s="128"/>
      <c r="BP104" s="128"/>
      <c r="BS104" s="127"/>
      <c r="BT104" s="128"/>
      <c r="BW104" s="127"/>
      <c r="BX104" s="127"/>
      <c r="BY104" s="96"/>
      <c r="CA104" s="128"/>
      <c r="CB104" s="127"/>
      <c r="CC104" s="96"/>
      <c r="CE104" s="127"/>
      <c r="CF104" s="128"/>
      <c r="CH104" s="96"/>
      <c r="CI104" s="128"/>
      <c r="CJ104" s="128"/>
      <c r="CL104" s="96"/>
      <c r="CM104" s="127"/>
      <c r="CN104" s="128"/>
      <c r="CQ104" s="127"/>
      <c r="CR104" s="127"/>
      <c r="CS104" s="96"/>
      <c r="CU104" s="127"/>
      <c r="CV104" s="128"/>
      <c r="CY104" s="127"/>
      <c r="CZ104" s="127"/>
      <c r="DC104" s="96"/>
      <c r="DG104" s="96"/>
      <c r="DJ104" s="96"/>
      <c r="DM104" s="96"/>
      <c r="DQ104" s="96"/>
      <c r="DT104" s="96"/>
    </row>
    <row r="105" spans="1:124" s="95" customFormat="1" x14ac:dyDescent="0.3">
      <c r="A105" s="94" t="s">
        <v>8</v>
      </c>
      <c r="B105" s="94">
        <v>1</v>
      </c>
      <c r="C105" s="96" t="s">
        <v>107</v>
      </c>
      <c r="D105" s="97">
        <v>1.5</v>
      </c>
      <c r="E105" s="96" t="s">
        <v>101</v>
      </c>
      <c r="F105" s="97">
        <f>D105/D88</f>
        <v>7.4999999999999997E-2</v>
      </c>
      <c r="G105" s="96" t="s">
        <v>28</v>
      </c>
      <c r="H105" s="96"/>
      <c r="I105" s="96"/>
      <c r="J105" s="96"/>
      <c r="K105" s="96"/>
      <c r="L105" s="96"/>
      <c r="M105" s="97"/>
      <c r="N105" s="97"/>
      <c r="O105" s="97"/>
      <c r="P105" s="96"/>
      <c r="Q105" s="127"/>
      <c r="R105" s="127"/>
      <c r="S105" s="96"/>
      <c r="T105" s="127"/>
      <c r="U105" s="128"/>
      <c r="V105" s="110"/>
      <c r="W105" s="110"/>
      <c r="X105" s="96"/>
      <c r="Y105" s="96"/>
      <c r="Z105" s="96"/>
      <c r="AA105" s="128"/>
      <c r="AB105" s="128"/>
      <c r="AC105" s="110"/>
      <c r="AD105" s="94"/>
      <c r="AE105" s="126"/>
      <c r="AF105" s="127"/>
      <c r="AG105" s="96"/>
      <c r="AH105" s="96"/>
      <c r="AI105" s="94"/>
      <c r="AJ105" s="111"/>
      <c r="AK105" s="111"/>
      <c r="AL105" s="96"/>
      <c r="AM105" s="127"/>
      <c r="AN105" s="126"/>
      <c r="AO105" s="111"/>
      <c r="AP105" s="96"/>
      <c r="AQ105" s="126"/>
      <c r="AR105" s="127"/>
      <c r="AS105" s="96"/>
      <c r="AT105" s="96"/>
      <c r="AU105" s="131"/>
      <c r="AV105" s="126"/>
      <c r="AW105" s="94"/>
      <c r="AX105" s="94"/>
      <c r="AY105" s="127"/>
      <c r="AZ105" s="127"/>
      <c r="BA105" s="96"/>
      <c r="BB105" s="94"/>
      <c r="BC105" s="127"/>
      <c r="BD105" s="126"/>
      <c r="BE105" s="94"/>
      <c r="BF105" s="96"/>
      <c r="BG105" s="128"/>
      <c r="BH105" s="127"/>
      <c r="BI105" s="96"/>
      <c r="BK105" s="128"/>
      <c r="BL105" s="127"/>
      <c r="BM105" s="96"/>
      <c r="BN105" s="96"/>
      <c r="BO105" s="128"/>
      <c r="BP105" s="128"/>
      <c r="BS105" s="127"/>
      <c r="BT105" s="128"/>
      <c r="BW105" s="127"/>
      <c r="BX105" s="127"/>
      <c r="BY105" s="96"/>
      <c r="CA105" s="128"/>
      <c r="CB105" s="127"/>
      <c r="CC105" s="96"/>
      <c r="CE105" s="127"/>
      <c r="CF105" s="128"/>
      <c r="CH105" s="96"/>
      <c r="CI105" s="128"/>
      <c r="CJ105" s="128"/>
      <c r="CL105" s="96"/>
      <c r="CM105" s="127"/>
      <c r="CN105" s="128"/>
      <c r="CQ105" s="127"/>
      <c r="CR105" s="127"/>
      <c r="CS105" s="96"/>
      <c r="CU105" s="127"/>
      <c r="CV105" s="128"/>
      <c r="CY105" s="127"/>
      <c r="CZ105" s="127"/>
      <c r="DC105" s="96"/>
      <c r="DG105" s="96"/>
      <c r="DJ105" s="96"/>
      <c r="DM105" s="96"/>
      <c r="DQ105" s="96"/>
      <c r="DT105" s="96"/>
    </row>
    <row r="106" spans="1:124" s="95" customFormat="1" x14ac:dyDescent="0.3">
      <c r="A106" s="94" t="s">
        <v>55</v>
      </c>
      <c r="B106" s="94">
        <v>1</v>
      </c>
      <c r="C106" s="96" t="s">
        <v>107</v>
      </c>
      <c r="D106" s="97">
        <v>1.75</v>
      </c>
      <c r="E106" s="96" t="s">
        <v>101</v>
      </c>
      <c r="G106" s="96"/>
      <c r="H106" s="96"/>
      <c r="I106" s="96"/>
      <c r="J106" s="96"/>
      <c r="K106" s="96"/>
      <c r="L106" s="96"/>
      <c r="M106" s="97"/>
      <c r="N106" s="97"/>
      <c r="O106" s="97"/>
      <c r="P106" s="96"/>
      <c r="Q106" s="127"/>
      <c r="R106" s="127"/>
      <c r="S106" s="96"/>
      <c r="T106" s="127"/>
      <c r="U106" s="128"/>
      <c r="V106" s="110"/>
      <c r="W106" s="110"/>
      <c r="X106" s="96"/>
      <c r="Y106" s="96"/>
      <c r="Z106" s="96"/>
      <c r="AA106" s="128"/>
      <c r="AB106" s="128"/>
      <c r="AC106" s="110"/>
      <c r="AD106" s="94"/>
      <c r="AE106" s="126"/>
      <c r="AF106" s="127"/>
      <c r="AG106" s="96"/>
      <c r="AH106" s="96"/>
      <c r="AI106" s="94"/>
      <c r="AJ106" s="111"/>
      <c r="AK106" s="111"/>
      <c r="AL106" s="96"/>
      <c r="AM106" s="127"/>
      <c r="AN106" s="126"/>
      <c r="AO106" s="111"/>
      <c r="AP106" s="96"/>
      <c r="AQ106" s="126"/>
      <c r="AR106" s="127"/>
      <c r="AS106" s="96"/>
      <c r="AT106" s="96"/>
      <c r="AU106" s="131"/>
      <c r="AV106" s="126"/>
      <c r="AW106" s="94"/>
      <c r="AX106" s="94"/>
      <c r="AY106" s="127"/>
      <c r="AZ106" s="127"/>
      <c r="BA106" s="96"/>
      <c r="BB106" s="94"/>
      <c r="BC106" s="127"/>
      <c r="BD106" s="126"/>
      <c r="BE106" s="94"/>
      <c r="BF106" s="96"/>
      <c r="BG106" s="128"/>
      <c r="BH106" s="127"/>
      <c r="BI106" s="96"/>
      <c r="BK106" s="128"/>
      <c r="BL106" s="127"/>
      <c r="BM106" s="96"/>
      <c r="BN106" s="96"/>
      <c r="BO106" s="128"/>
      <c r="BP106" s="128"/>
      <c r="BS106" s="127"/>
      <c r="BT106" s="128"/>
      <c r="BW106" s="127"/>
      <c r="BX106" s="127"/>
      <c r="BY106" s="96"/>
      <c r="CA106" s="128"/>
      <c r="CB106" s="127"/>
      <c r="CC106" s="96"/>
      <c r="CE106" s="127"/>
      <c r="CF106" s="128"/>
      <c r="CH106" s="96"/>
      <c r="CI106" s="128"/>
      <c r="CJ106" s="128"/>
      <c r="CL106" s="96"/>
      <c r="CM106" s="127"/>
      <c r="CN106" s="128"/>
      <c r="CQ106" s="127"/>
      <c r="CR106" s="127"/>
      <c r="CS106" s="96"/>
      <c r="CU106" s="127"/>
      <c r="CV106" s="128"/>
      <c r="CY106" s="127"/>
      <c r="CZ106" s="127"/>
      <c r="DC106" s="96"/>
      <c r="DG106" s="96"/>
      <c r="DJ106" s="96"/>
      <c r="DM106" s="96"/>
      <c r="DQ106" s="96"/>
      <c r="DT106" s="96"/>
    </row>
    <row r="107" spans="1:124" s="95" customFormat="1" x14ac:dyDescent="0.3">
      <c r="A107" s="94" t="s">
        <v>108</v>
      </c>
      <c r="B107" s="94">
        <v>1</v>
      </c>
      <c r="C107" s="96" t="s">
        <v>107</v>
      </c>
      <c r="D107" s="97">
        <v>1.5</v>
      </c>
      <c r="E107" s="96" t="s">
        <v>101</v>
      </c>
      <c r="G107" s="96"/>
      <c r="H107" s="96"/>
      <c r="I107" s="96"/>
      <c r="J107" s="96"/>
      <c r="K107" s="96"/>
      <c r="L107" s="96"/>
      <c r="M107" s="97"/>
      <c r="N107" s="97"/>
      <c r="O107" s="97"/>
      <c r="P107" s="96"/>
      <c r="Q107" s="127"/>
      <c r="R107" s="127"/>
      <c r="S107" s="96"/>
      <c r="T107" s="127"/>
      <c r="U107" s="128"/>
      <c r="V107" s="110"/>
      <c r="W107" s="110"/>
      <c r="X107" s="96"/>
      <c r="Y107" s="96"/>
      <c r="Z107" s="96"/>
      <c r="AA107" s="128"/>
      <c r="AB107" s="128"/>
      <c r="AC107" s="110"/>
      <c r="AD107" s="94"/>
      <c r="AE107" s="126"/>
      <c r="AF107" s="127"/>
      <c r="AG107" s="96"/>
      <c r="AH107" s="96"/>
      <c r="AI107" s="94"/>
      <c r="AJ107" s="111"/>
      <c r="AK107" s="111"/>
      <c r="AL107" s="96"/>
      <c r="AM107" s="127"/>
      <c r="AN107" s="126"/>
      <c r="AO107" s="111"/>
      <c r="AP107" s="96"/>
      <c r="AQ107" s="126"/>
      <c r="AR107" s="127"/>
      <c r="AS107" s="96"/>
      <c r="AT107" s="96"/>
      <c r="AU107" s="131"/>
      <c r="AV107" s="126"/>
      <c r="AW107" s="94"/>
      <c r="AX107" s="94"/>
      <c r="AY107" s="127"/>
      <c r="AZ107" s="127"/>
      <c r="BA107" s="96"/>
      <c r="BB107" s="94"/>
      <c r="BC107" s="127"/>
      <c r="BD107" s="126"/>
      <c r="BE107" s="94"/>
      <c r="BF107" s="96"/>
      <c r="BG107" s="128"/>
      <c r="BH107" s="127"/>
      <c r="BI107" s="96"/>
      <c r="BK107" s="128"/>
      <c r="BL107" s="127"/>
      <c r="BM107" s="96"/>
      <c r="BN107" s="96"/>
      <c r="BO107" s="128"/>
      <c r="BP107" s="128"/>
      <c r="BS107" s="127"/>
      <c r="BT107" s="128"/>
      <c r="BW107" s="127"/>
      <c r="BX107" s="127"/>
      <c r="BY107" s="96"/>
      <c r="CA107" s="128"/>
      <c r="CB107" s="127"/>
      <c r="CC107" s="96"/>
      <c r="CE107" s="127"/>
      <c r="CF107" s="128"/>
      <c r="CH107" s="96"/>
      <c r="CI107" s="128"/>
      <c r="CJ107" s="128"/>
      <c r="CL107" s="96"/>
      <c r="CM107" s="127"/>
      <c r="CN107" s="128"/>
      <c r="CQ107" s="127"/>
      <c r="CR107" s="127"/>
      <c r="CS107" s="96"/>
      <c r="CU107" s="127"/>
      <c r="CV107" s="128"/>
      <c r="CY107" s="127"/>
      <c r="CZ107" s="127"/>
      <c r="DC107" s="96"/>
      <c r="DG107" s="96"/>
      <c r="DJ107" s="96"/>
      <c r="DM107" s="96"/>
      <c r="DQ107" s="96"/>
      <c r="DT107" s="96"/>
    </row>
    <row r="108" spans="1:124" s="95" customFormat="1" x14ac:dyDescent="0.3">
      <c r="A108" s="94" t="s">
        <v>38</v>
      </c>
      <c r="B108" s="94">
        <v>1</v>
      </c>
      <c r="C108" s="96" t="s">
        <v>37</v>
      </c>
      <c r="D108" s="97">
        <v>1.26</v>
      </c>
      <c r="E108" s="96" t="s">
        <v>101</v>
      </c>
      <c r="G108" s="96"/>
      <c r="H108" s="96"/>
      <c r="I108" s="96"/>
      <c r="J108" s="96"/>
      <c r="K108" s="96"/>
      <c r="L108" s="96"/>
      <c r="M108" s="97"/>
      <c r="N108" s="97"/>
      <c r="O108" s="97"/>
      <c r="P108" s="96"/>
      <c r="Q108" s="127"/>
      <c r="R108" s="127"/>
      <c r="S108" s="96"/>
      <c r="T108" s="127"/>
      <c r="U108" s="128"/>
      <c r="V108" s="110"/>
      <c r="W108" s="110"/>
      <c r="X108" s="96"/>
      <c r="Y108" s="96"/>
      <c r="Z108" s="96"/>
      <c r="AA108" s="128"/>
      <c r="AB108" s="128"/>
      <c r="AC108" s="110"/>
      <c r="AD108" s="94"/>
      <c r="AE108" s="126"/>
      <c r="AF108" s="127"/>
      <c r="AG108" s="96"/>
      <c r="AH108" s="96"/>
      <c r="AI108" s="94"/>
      <c r="AJ108" s="111"/>
      <c r="AK108" s="111"/>
      <c r="AL108" s="96"/>
      <c r="AM108" s="127"/>
      <c r="AN108" s="126"/>
      <c r="AO108" s="111"/>
      <c r="AP108" s="96"/>
      <c r="AQ108" s="126"/>
      <c r="AR108" s="127"/>
      <c r="AS108" s="96"/>
      <c r="AT108" s="96"/>
      <c r="AU108" s="131"/>
      <c r="AV108" s="126"/>
      <c r="AW108" s="94"/>
      <c r="AX108" s="94"/>
      <c r="AY108" s="127"/>
      <c r="AZ108" s="127"/>
      <c r="BA108" s="96"/>
      <c r="BB108" s="94"/>
      <c r="BC108" s="127"/>
      <c r="BD108" s="126"/>
      <c r="BE108" s="94"/>
      <c r="BF108" s="96"/>
      <c r="BG108" s="128"/>
      <c r="BH108" s="127"/>
      <c r="BI108" s="96"/>
      <c r="BK108" s="128"/>
      <c r="BL108" s="127"/>
      <c r="BM108" s="96"/>
      <c r="BN108" s="96"/>
      <c r="BO108" s="128"/>
      <c r="BP108" s="128"/>
      <c r="BS108" s="127"/>
      <c r="BT108" s="128"/>
      <c r="BW108" s="127"/>
      <c r="BX108" s="127"/>
      <c r="BY108" s="96"/>
      <c r="CA108" s="128"/>
      <c r="CB108" s="127"/>
      <c r="CC108" s="96"/>
      <c r="CE108" s="127"/>
      <c r="CF108" s="128"/>
      <c r="CH108" s="96"/>
      <c r="CI108" s="128"/>
      <c r="CJ108" s="128"/>
      <c r="CL108" s="96"/>
      <c r="CM108" s="127"/>
      <c r="CN108" s="128"/>
      <c r="CQ108" s="127"/>
      <c r="CR108" s="127"/>
      <c r="CS108" s="96"/>
      <c r="CU108" s="127"/>
      <c r="CV108" s="128"/>
      <c r="CY108" s="127"/>
      <c r="CZ108" s="127"/>
      <c r="DC108" s="96"/>
      <c r="DG108" s="96"/>
      <c r="DJ108" s="96"/>
      <c r="DM108" s="96"/>
      <c r="DQ108" s="96"/>
      <c r="DT108" s="96"/>
    </row>
    <row r="109" spans="1:124" s="95" customFormat="1" x14ac:dyDescent="0.3">
      <c r="A109" s="94" t="s">
        <v>53</v>
      </c>
      <c r="B109" s="94">
        <v>1</v>
      </c>
      <c r="C109" s="96" t="s">
        <v>109</v>
      </c>
      <c r="D109" s="97">
        <v>15.9</v>
      </c>
      <c r="E109" s="96" t="s">
        <v>101</v>
      </c>
      <c r="G109" s="96"/>
      <c r="H109" s="96"/>
      <c r="I109" s="96"/>
      <c r="J109" s="96"/>
      <c r="K109" s="96"/>
      <c r="L109" s="96"/>
      <c r="M109" s="97"/>
      <c r="N109" s="97"/>
      <c r="O109" s="97"/>
      <c r="P109" s="96"/>
      <c r="Q109" s="127"/>
      <c r="R109" s="127"/>
      <c r="S109" s="96"/>
      <c r="T109" s="127"/>
      <c r="U109" s="128"/>
      <c r="V109" s="110"/>
      <c r="W109" s="110"/>
      <c r="X109" s="96"/>
      <c r="Y109" s="96"/>
      <c r="Z109" s="96"/>
      <c r="AA109" s="128"/>
      <c r="AB109" s="128"/>
      <c r="AC109" s="110"/>
      <c r="AD109" s="94"/>
      <c r="AE109" s="126"/>
      <c r="AF109" s="127"/>
      <c r="AG109" s="96"/>
      <c r="AH109" s="96"/>
      <c r="AI109" s="94"/>
      <c r="AJ109" s="111"/>
      <c r="AK109" s="111"/>
      <c r="AL109" s="96"/>
      <c r="AM109" s="127"/>
      <c r="AN109" s="126"/>
      <c r="AO109" s="111"/>
      <c r="AP109" s="96"/>
      <c r="AQ109" s="126"/>
      <c r="AR109" s="127"/>
      <c r="AS109" s="96"/>
      <c r="AT109" s="96"/>
      <c r="AU109" s="131"/>
      <c r="AV109" s="126"/>
      <c r="AW109" s="94"/>
      <c r="AX109" s="94"/>
      <c r="AY109" s="127"/>
      <c r="AZ109" s="127"/>
      <c r="BA109" s="96"/>
      <c r="BB109" s="94"/>
      <c r="BC109" s="127"/>
      <c r="BD109" s="126"/>
      <c r="BE109" s="94"/>
      <c r="BF109" s="96"/>
      <c r="BG109" s="128"/>
      <c r="BH109" s="127"/>
      <c r="BI109" s="96"/>
      <c r="BK109" s="128"/>
      <c r="BL109" s="127"/>
      <c r="BM109" s="96"/>
      <c r="BN109" s="96"/>
      <c r="BO109" s="128"/>
      <c r="BP109" s="128"/>
      <c r="BS109" s="127"/>
      <c r="BT109" s="128"/>
      <c r="BW109" s="127"/>
      <c r="BX109" s="127"/>
      <c r="BY109" s="96"/>
      <c r="CA109" s="128"/>
      <c r="CB109" s="127"/>
      <c r="CC109" s="96"/>
      <c r="CE109" s="127"/>
      <c r="CF109" s="128"/>
      <c r="CH109" s="96"/>
      <c r="CI109" s="128"/>
      <c r="CJ109" s="128"/>
      <c r="CL109" s="96"/>
      <c r="CM109" s="127"/>
      <c r="CN109" s="128"/>
      <c r="CQ109" s="127"/>
      <c r="CR109" s="127"/>
      <c r="CS109" s="96"/>
      <c r="CU109" s="127"/>
      <c r="CV109" s="128"/>
      <c r="CY109" s="127"/>
      <c r="CZ109" s="127"/>
      <c r="DC109" s="96"/>
      <c r="DG109" s="96"/>
      <c r="DJ109" s="96"/>
      <c r="DM109" s="96"/>
      <c r="DQ109" s="96"/>
      <c r="DT109" s="96"/>
    </row>
    <row r="110" spans="1:124" s="95" customFormat="1" x14ac:dyDescent="0.3">
      <c r="A110" s="94" t="s">
        <v>34</v>
      </c>
      <c r="B110" s="94">
        <v>1</v>
      </c>
      <c r="C110" s="96" t="s">
        <v>40</v>
      </c>
      <c r="D110" s="97">
        <f>439.681/D96</f>
        <v>3.9257232142857141</v>
      </c>
      <c r="E110" s="96" t="s">
        <v>101</v>
      </c>
      <c r="G110" s="96"/>
      <c r="I110" s="96"/>
      <c r="J110" s="96"/>
      <c r="K110" s="96"/>
      <c r="L110" s="96"/>
      <c r="M110" s="97"/>
      <c r="N110" s="97"/>
      <c r="O110" s="97"/>
      <c r="P110" s="96"/>
      <c r="Q110" s="127"/>
      <c r="R110" s="127"/>
      <c r="S110" s="96"/>
      <c r="T110" s="127"/>
      <c r="U110" s="128"/>
      <c r="V110" s="110"/>
      <c r="W110" s="110"/>
      <c r="X110" s="96"/>
      <c r="Y110" s="96"/>
      <c r="Z110" s="96"/>
      <c r="AA110" s="128"/>
      <c r="AB110" s="128"/>
      <c r="AC110" s="110"/>
      <c r="AD110" s="94"/>
      <c r="AE110" s="126"/>
      <c r="AF110" s="127"/>
      <c r="AG110" s="96"/>
      <c r="AH110" s="96"/>
      <c r="AI110" s="94"/>
      <c r="AJ110" s="111"/>
      <c r="AK110" s="111"/>
      <c r="AL110" s="96"/>
      <c r="AM110" s="127"/>
      <c r="AN110" s="126"/>
      <c r="AO110" s="111"/>
      <c r="AP110" s="96"/>
      <c r="AQ110" s="126"/>
      <c r="AR110" s="127"/>
      <c r="AS110" s="96"/>
      <c r="AT110" s="96"/>
      <c r="AU110" s="131"/>
      <c r="AV110" s="126"/>
      <c r="AW110" s="94"/>
      <c r="AX110" s="94"/>
      <c r="AY110" s="127"/>
      <c r="AZ110" s="127"/>
      <c r="BA110" s="96"/>
      <c r="BB110" s="94"/>
      <c r="BC110" s="127"/>
      <c r="BD110" s="126"/>
      <c r="BE110" s="94"/>
      <c r="BF110" s="96"/>
      <c r="BG110" s="128"/>
      <c r="BH110" s="127"/>
      <c r="BI110" s="96"/>
      <c r="BK110" s="128"/>
      <c r="BL110" s="127"/>
      <c r="BM110" s="96"/>
      <c r="BN110" s="96"/>
      <c r="BO110" s="128"/>
      <c r="BP110" s="128"/>
      <c r="BS110" s="127"/>
      <c r="BT110" s="128"/>
      <c r="BW110" s="127"/>
      <c r="BX110" s="127"/>
      <c r="BY110" s="96"/>
      <c r="CA110" s="128"/>
      <c r="CB110" s="127"/>
      <c r="CC110" s="96"/>
      <c r="CE110" s="127"/>
      <c r="CF110" s="128"/>
      <c r="CH110" s="96"/>
      <c r="CI110" s="128"/>
      <c r="CJ110" s="128"/>
      <c r="CL110" s="96"/>
      <c r="CM110" s="127"/>
      <c r="CN110" s="128"/>
      <c r="CQ110" s="127"/>
      <c r="CR110" s="127"/>
      <c r="CS110" s="96"/>
      <c r="CU110" s="127"/>
      <c r="CV110" s="128"/>
      <c r="CY110" s="127"/>
      <c r="CZ110" s="127"/>
      <c r="DC110" s="96"/>
      <c r="DG110" s="96"/>
      <c r="DJ110" s="96"/>
      <c r="DM110" s="96"/>
      <c r="DQ110" s="96"/>
      <c r="DT110" s="96"/>
    </row>
    <row r="111" spans="1:124" s="95" customFormat="1" x14ac:dyDescent="0.3">
      <c r="A111" s="155" t="s">
        <v>45</v>
      </c>
      <c r="B111" s="94">
        <v>1</v>
      </c>
      <c r="C111" s="96" t="s">
        <v>40</v>
      </c>
      <c r="D111" s="97">
        <v>3</v>
      </c>
      <c r="E111" s="96" t="s">
        <v>101</v>
      </c>
      <c r="G111" s="96"/>
      <c r="I111" s="96"/>
      <c r="J111" s="96"/>
      <c r="K111" s="96"/>
      <c r="L111" s="96"/>
      <c r="Q111" s="127"/>
      <c r="R111" s="127"/>
      <c r="S111" s="96"/>
      <c r="T111" s="127"/>
      <c r="U111" s="128"/>
      <c r="V111" s="110"/>
      <c r="W111" s="110"/>
      <c r="X111" s="96"/>
      <c r="Y111" s="96"/>
      <c r="Z111" s="96"/>
      <c r="AA111" s="128"/>
      <c r="AB111" s="128"/>
      <c r="AC111" s="110"/>
      <c r="AD111" s="102"/>
      <c r="AE111" s="131"/>
      <c r="AF111" s="127"/>
      <c r="AG111" s="96"/>
      <c r="AH111" s="96"/>
      <c r="AI111" s="102"/>
      <c r="AJ111" s="111"/>
      <c r="AK111" s="111"/>
      <c r="AL111" s="96"/>
      <c r="AM111" s="127"/>
      <c r="AN111" s="126"/>
      <c r="AO111" s="111"/>
      <c r="AP111" s="96"/>
      <c r="AQ111" s="126"/>
      <c r="AR111" s="127"/>
      <c r="AS111" s="96"/>
      <c r="AT111" s="96"/>
      <c r="AU111" s="131"/>
      <c r="AV111" s="126"/>
      <c r="AW111" s="94"/>
      <c r="AX111" s="94"/>
      <c r="AY111" s="127"/>
      <c r="AZ111" s="127"/>
      <c r="BA111" s="96"/>
      <c r="BB111" s="94"/>
      <c r="BC111" s="127"/>
      <c r="BD111" s="126"/>
      <c r="BE111" s="94"/>
      <c r="BF111" s="96"/>
      <c r="BG111" s="128"/>
      <c r="BH111" s="127"/>
      <c r="BI111" s="96"/>
      <c r="BK111" s="128"/>
      <c r="BL111" s="127"/>
      <c r="BM111" s="96"/>
      <c r="BN111" s="96"/>
      <c r="BO111" s="128"/>
      <c r="BP111" s="128"/>
      <c r="BS111" s="127"/>
      <c r="BT111" s="128"/>
      <c r="BW111" s="127"/>
      <c r="BX111" s="127"/>
      <c r="BY111" s="96"/>
      <c r="CA111" s="128"/>
      <c r="CB111" s="127"/>
      <c r="CC111" s="96"/>
      <c r="CE111" s="127"/>
      <c r="CF111" s="128"/>
      <c r="CH111" s="96"/>
      <c r="CI111" s="128"/>
      <c r="CJ111" s="128"/>
      <c r="CL111" s="96"/>
      <c r="CM111" s="127"/>
      <c r="CN111" s="128"/>
      <c r="CQ111" s="127"/>
      <c r="CR111" s="127"/>
      <c r="CS111" s="96"/>
      <c r="CU111" s="127"/>
      <c r="CV111" s="128"/>
      <c r="CY111" s="127"/>
      <c r="CZ111" s="127"/>
      <c r="DC111" s="96"/>
      <c r="DG111" s="96"/>
      <c r="DJ111" s="96"/>
      <c r="DM111" s="96"/>
      <c r="DQ111" s="96"/>
      <c r="DT111" s="96"/>
    </row>
    <row r="112" spans="1:124" s="95" customFormat="1" x14ac:dyDescent="0.3">
      <c r="A112" s="155"/>
      <c r="B112" s="94">
        <v>1</v>
      </c>
      <c r="C112" s="96" t="s">
        <v>121</v>
      </c>
      <c r="D112" s="97">
        <v>2.0271699999999999</v>
      </c>
      <c r="E112" s="96" t="s">
        <v>29</v>
      </c>
      <c r="F112" s="97">
        <f>D112*D111</f>
        <v>6.0815099999999997</v>
      </c>
      <c r="G112" s="96" t="s">
        <v>101</v>
      </c>
      <c r="I112" s="96"/>
      <c r="J112" s="96"/>
      <c r="K112" s="96"/>
      <c r="L112" s="96"/>
      <c r="Q112" s="127"/>
      <c r="R112" s="127"/>
      <c r="S112" s="96"/>
      <c r="T112" s="127"/>
      <c r="U112" s="128"/>
      <c r="V112" s="110"/>
      <c r="W112" s="110"/>
      <c r="X112" s="96"/>
      <c r="Y112" s="96"/>
      <c r="Z112" s="96"/>
      <c r="AA112" s="128"/>
      <c r="AB112" s="128"/>
      <c r="AC112" s="110"/>
      <c r="AD112" s="102"/>
      <c r="AE112" s="131"/>
      <c r="AF112" s="127"/>
      <c r="AG112" s="96"/>
      <c r="AH112" s="96"/>
      <c r="AI112" s="102"/>
      <c r="AJ112" s="111"/>
      <c r="AK112" s="111"/>
      <c r="AL112" s="96"/>
      <c r="AM112" s="127"/>
      <c r="AN112" s="126"/>
      <c r="AO112" s="111"/>
      <c r="AP112" s="96"/>
      <c r="AQ112" s="126"/>
      <c r="AR112" s="127"/>
      <c r="AS112" s="96"/>
      <c r="AT112" s="96"/>
      <c r="AU112" s="131"/>
      <c r="AV112" s="126"/>
      <c r="AW112" s="94"/>
      <c r="AX112" s="94"/>
      <c r="AY112" s="127"/>
      <c r="AZ112" s="127"/>
      <c r="BA112" s="96"/>
      <c r="BB112" s="94"/>
      <c r="BC112" s="127"/>
      <c r="BD112" s="126"/>
      <c r="BE112" s="94"/>
      <c r="BF112" s="96"/>
      <c r="BG112" s="128"/>
      <c r="BH112" s="127"/>
      <c r="BI112" s="96"/>
      <c r="BK112" s="128"/>
      <c r="BL112" s="127"/>
      <c r="BM112" s="96"/>
      <c r="BN112" s="96"/>
      <c r="BO112" s="128"/>
      <c r="BP112" s="128"/>
      <c r="BS112" s="127"/>
      <c r="BT112" s="128"/>
      <c r="BW112" s="127"/>
      <c r="BX112" s="127"/>
      <c r="BY112" s="96"/>
      <c r="CA112" s="128"/>
      <c r="CB112" s="127"/>
      <c r="CC112" s="96"/>
      <c r="CE112" s="127"/>
      <c r="CF112" s="128"/>
      <c r="CH112" s="96"/>
      <c r="CI112" s="128"/>
      <c r="CJ112" s="128"/>
      <c r="CL112" s="96"/>
      <c r="CM112" s="127"/>
      <c r="CN112" s="128"/>
      <c r="CQ112" s="127"/>
      <c r="CR112" s="127"/>
      <c r="CS112" s="96"/>
      <c r="CU112" s="127"/>
      <c r="CV112" s="128"/>
      <c r="CY112" s="127"/>
      <c r="CZ112" s="127"/>
      <c r="DC112" s="96"/>
      <c r="DG112" s="96"/>
      <c r="DJ112" s="96"/>
      <c r="DM112" s="96"/>
      <c r="DQ112" s="96"/>
      <c r="DT112" s="96"/>
    </row>
    <row r="113" spans="1:124" s="95" customFormat="1" x14ac:dyDescent="0.3">
      <c r="A113" s="112" t="s">
        <v>87</v>
      </c>
      <c r="B113" s="94">
        <v>1</v>
      </c>
      <c r="C113" s="96" t="s">
        <v>37</v>
      </c>
      <c r="D113" s="97">
        <v>400</v>
      </c>
      <c r="E113" s="96" t="s">
        <v>50</v>
      </c>
      <c r="F113" s="97">
        <f>D113/D96</f>
        <v>3.5714285714285716</v>
      </c>
      <c r="G113" s="96" t="s">
        <v>101</v>
      </c>
      <c r="H113" s="97">
        <f>F113/D114</f>
        <v>1.1984659635666348</v>
      </c>
      <c r="I113" s="96" t="s">
        <v>29</v>
      </c>
      <c r="J113" s="96"/>
      <c r="K113" s="96"/>
      <c r="L113" s="96"/>
      <c r="Q113" s="127"/>
      <c r="R113" s="127"/>
      <c r="S113" s="96"/>
      <c r="T113" s="127"/>
      <c r="U113" s="128"/>
      <c r="V113" s="110"/>
      <c r="W113" s="110"/>
      <c r="X113" s="96"/>
      <c r="Y113" s="96"/>
      <c r="Z113" s="96"/>
      <c r="AA113" s="128"/>
      <c r="AB113" s="128"/>
      <c r="AC113" s="110"/>
      <c r="AD113" s="102"/>
      <c r="AE113" s="131"/>
      <c r="AF113" s="127"/>
      <c r="AG113" s="96"/>
      <c r="AH113" s="96"/>
      <c r="AI113" s="102"/>
      <c r="AJ113" s="111"/>
      <c r="AK113" s="111"/>
      <c r="AL113" s="96"/>
      <c r="AM113" s="127"/>
      <c r="AN113" s="126"/>
      <c r="AO113" s="111"/>
      <c r="AP113" s="96"/>
      <c r="AQ113" s="126"/>
      <c r="AR113" s="127"/>
      <c r="AS113" s="96"/>
      <c r="AT113" s="96"/>
      <c r="AU113" s="131"/>
      <c r="AV113" s="126"/>
      <c r="AW113" s="94"/>
      <c r="AX113" s="94"/>
      <c r="AY113" s="127"/>
      <c r="AZ113" s="127"/>
      <c r="BA113" s="96"/>
      <c r="BB113" s="94"/>
      <c r="BC113" s="127"/>
      <c r="BD113" s="126"/>
      <c r="BE113" s="94"/>
      <c r="BF113" s="96"/>
      <c r="BG113" s="128"/>
      <c r="BH113" s="127"/>
      <c r="BI113" s="96"/>
      <c r="BK113" s="128"/>
      <c r="BL113" s="127"/>
      <c r="BM113" s="96"/>
      <c r="BN113" s="96"/>
      <c r="BO113" s="128"/>
      <c r="BP113" s="128"/>
      <c r="BS113" s="127"/>
      <c r="BT113" s="128"/>
      <c r="BW113" s="127"/>
      <c r="BX113" s="127"/>
      <c r="BY113" s="96"/>
      <c r="CA113" s="128"/>
      <c r="CB113" s="127"/>
      <c r="CC113" s="96"/>
      <c r="CE113" s="127"/>
      <c r="CF113" s="128"/>
      <c r="CH113" s="96"/>
      <c r="CI113" s="128"/>
      <c r="CJ113" s="128"/>
      <c r="CL113" s="96"/>
      <c r="CM113" s="127"/>
      <c r="CN113" s="128"/>
      <c r="CQ113" s="127"/>
      <c r="CR113" s="127"/>
      <c r="CS113" s="96"/>
      <c r="CU113" s="127"/>
      <c r="CV113" s="128"/>
      <c r="CY113" s="127"/>
      <c r="CZ113" s="127"/>
      <c r="DC113" s="96"/>
      <c r="DG113" s="96"/>
      <c r="DJ113" s="96"/>
      <c r="DM113" s="96"/>
      <c r="DQ113" s="96"/>
      <c r="DT113" s="96"/>
    </row>
    <row r="114" spans="1:124" s="95" customFormat="1" x14ac:dyDescent="0.3">
      <c r="A114" s="155" t="s">
        <v>31</v>
      </c>
      <c r="B114" s="94">
        <v>1</v>
      </c>
      <c r="C114" s="96" t="s">
        <v>40</v>
      </c>
      <c r="D114" s="97">
        <v>2.98</v>
      </c>
      <c r="E114" s="96" t="s">
        <v>101</v>
      </c>
      <c r="G114" s="96"/>
      <c r="I114" s="96"/>
      <c r="J114" s="96"/>
      <c r="K114" s="96"/>
      <c r="L114" s="96"/>
      <c r="Q114" s="127"/>
      <c r="R114" s="127"/>
      <c r="S114" s="96"/>
      <c r="T114" s="127"/>
      <c r="U114" s="128"/>
      <c r="V114" s="110"/>
      <c r="W114" s="110"/>
      <c r="X114" s="96"/>
      <c r="Y114" s="96"/>
      <c r="Z114" s="96"/>
      <c r="AA114" s="128"/>
      <c r="AB114" s="128"/>
      <c r="AC114" s="110"/>
      <c r="AD114" s="102"/>
      <c r="AE114" s="131"/>
      <c r="AF114" s="127"/>
      <c r="AG114" s="96"/>
      <c r="AH114" s="96"/>
      <c r="AI114" s="102"/>
      <c r="AJ114" s="111"/>
      <c r="AK114" s="111"/>
      <c r="AL114" s="96"/>
      <c r="AM114" s="127"/>
      <c r="AN114" s="126"/>
      <c r="AO114" s="111"/>
      <c r="AP114" s="96"/>
      <c r="AQ114" s="126"/>
      <c r="AR114" s="127"/>
      <c r="AS114" s="96"/>
      <c r="AT114" s="96"/>
      <c r="AU114" s="131"/>
      <c r="AV114" s="126"/>
      <c r="AW114" s="94"/>
      <c r="AX114" s="94"/>
      <c r="AY114" s="127"/>
      <c r="AZ114" s="127"/>
      <c r="BA114" s="96"/>
      <c r="BB114" s="94"/>
      <c r="BC114" s="127"/>
      <c r="BD114" s="126"/>
      <c r="BE114" s="94"/>
      <c r="BF114" s="96"/>
      <c r="BG114" s="128"/>
      <c r="BH114" s="127"/>
      <c r="BI114" s="96"/>
      <c r="BK114" s="128"/>
      <c r="BL114" s="127"/>
      <c r="BM114" s="96"/>
      <c r="BN114" s="96"/>
      <c r="BO114" s="128"/>
      <c r="BP114" s="128"/>
      <c r="BS114" s="127"/>
      <c r="BT114" s="128"/>
      <c r="BW114" s="127"/>
      <c r="BX114" s="127"/>
      <c r="BY114" s="96"/>
      <c r="CA114" s="128"/>
      <c r="CB114" s="127"/>
      <c r="CC114" s="96"/>
      <c r="CE114" s="127"/>
      <c r="CF114" s="128"/>
      <c r="CH114" s="96"/>
      <c r="CI114" s="128"/>
      <c r="CJ114" s="128"/>
      <c r="CL114" s="96"/>
      <c r="CM114" s="127"/>
      <c r="CN114" s="128"/>
      <c r="CQ114" s="127"/>
      <c r="CR114" s="127"/>
      <c r="CS114" s="96"/>
      <c r="CU114" s="127"/>
      <c r="CV114" s="128"/>
      <c r="CY114" s="127"/>
      <c r="CZ114" s="127"/>
      <c r="DC114" s="96"/>
      <c r="DG114" s="96"/>
      <c r="DJ114" s="96"/>
      <c r="DM114" s="96"/>
      <c r="DQ114" s="96"/>
      <c r="DT114" s="96"/>
    </row>
    <row r="115" spans="1:124" s="95" customFormat="1" x14ac:dyDescent="0.3">
      <c r="A115" s="155"/>
      <c r="B115" s="94">
        <v>1</v>
      </c>
      <c r="C115" s="96" t="s">
        <v>37</v>
      </c>
      <c r="D115" s="97">
        <v>1.5</v>
      </c>
      <c r="E115" s="96" t="s">
        <v>29</v>
      </c>
      <c r="F115" s="95">
        <f>D115*D114</f>
        <v>4.47</v>
      </c>
      <c r="G115" s="96" t="s">
        <v>101</v>
      </c>
      <c r="I115" s="96"/>
      <c r="J115" s="96"/>
      <c r="K115" s="96"/>
      <c r="L115" s="96"/>
      <c r="Q115" s="127"/>
      <c r="R115" s="127"/>
      <c r="S115" s="96"/>
      <c r="T115" s="127"/>
      <c r="U115" s="128"/>
      <c r="V115" s="110"/>
      <c r="W115" s="110"/>
      <c r="X115" s="96"/>
      <c r="Y115" s="96"/>
      <c r="Z115" s="96"/>
      <c r="AA115" s="128"/>
      <c r="AB115" s="128"/>
      <c r="AC115" s="110"/>
      <c r="AD115" s="102"/>
      <c r="AE115" s="131"/>
      <c r="AF115" s="127"/>
      <c r="AG115" s="96"/>
      <c r="AH115" s="96"/>
      <c r="AI115" s="102"/>
      <c r="AJ115" s="111"/>
      <c r="AK115" s="111"/>
      <c r="AL115" s="96"/>
      <c r="AM115" s="127"/>
      <c r="AN115" s="126"/>
      <c r="AO115" s="111"/>
      <c r="AP115" s="96"/>
      <c r="AQ115" s="126"/>
      <c r="AR115" s="127"/>
      <c r="AS115" s="96"/>
      <c r="AT115" s="96"/>
      <c r="AU115" s="131"/>
      <c r="AV115" s="126"/>
      <c r="AW115" s="94"/>
      <c r="AX115" s="94"/>
      <c r="AY115" s="127"/>
      <c r="AZ115" s="127"/>
      <c r="BA115" s="96"/>
      <c r="BB115" s="94"/>
      <c r="BC115" s="127"/>
      <c r="BD115" s="126"/>
      <c r="BE115" s="94"/>
      <c r="BF115" s="96"/>
      <c r="BG115" s="128"/>
      <c r="BH115" s="127"/>
      <c r="BI115" s="96"/>
      <c r="BK115" s="128"/>
      <c r="BL115" s="127"/>
      <c r="BM115" s="96"/>
      <c r="BN115" s="96"/>
      <c r="BO115" s="128"/>
      <c r="BP115" s="128"/>
      <c r="BS115" s="127"/>
      <c r="BT115" s="128"/>
      <c r="BW115" s="127"/>
      <c r="BX115" s="127"/>
      <c r="BY115" s="96"/>
      <c r="CA115" s="128"/>
      <c r="CB115" s="127"/>
      <c r="CC115" s="96"/>
      <c r="CE115" s="127"/>
      <c r="CF115" s="128"/>
      <c r="CH115" s="96"/>
      <c r="CI115" s="128"/>
      <c r="CJ115" s="128"/>
      <c r="CL115" s="96"/>
      <c r="CM115" s="127"/>
      <c r="CN115" s="128"/>
      <c r="CQ115" s="127"/>
      <c r="CR115" s="127"/>
      <c r="CS115" s="96"/>
      <c r="CU115" s="127"/>
      <c r="CV115" s="128"/>
      <c r="CY115" s="127"/>
      <c r="CZ115" s="127"/>
      <c r="DC115" s="96"/>
      <c r="DG115" s="96"/>
      <c r="DJ115" s="96"/>
      <c r="DM115" s="96"/>
      <c r="DQ115" s="96"/>
      <c r="DT115" s="96"/>
    </row>
    <row r="116" spans="1:124" s="95" customFormat="1" x14ac:dyDescent="0.3">
      <c r="A116" s="94" t="s">
        <v>85</v>
      </c>
      <c r="B116" s="94">
        <v>1</v>
      </c>
      <c r="C116" s="96" t="s">
        <v>110</v>
      </c>
      <c r="D116" s="97">
        <v>9</v>
      </c>
      <c r="E116" s="96" t="s">
        <v>15</v>
      </c>
      <c r="G116" s="96"/>
      <c r="I116" s="96"/>
      <c r="J116" s="96"/>
      <c r="K116" s="96"/>
      <c r="L116" s="96"/>
      <c r="Q116" s="127"/>
      <c r="R116" s="127"/>
      <c r="S116" s="96"/>
      <c r="T116" s="127"/>
      <c r="U116" s="128"/>
      <c r="V116" s="110"/>
      <c r="W116" s="110"/>
      <c r="X116" s="96"/>
      <c r="Y116" s="96"/>
      <c r="Z116" s="96"/>
      <c r="AA116" s="128"/>
      <c r="AB116" s="128"/>
      <c r="AC116" s="110"/>
      <c r="AD116" s="102"/>
      <c r="AE116" s="131"/>
      <c r="AF116" s="127"/>
      <c r="AG116" s="96"/>
      <c r="AH116" s="96"/>
      <c r="AI116" s="102"/>
      <c r="AJ116" s="111"/>
      <c r="AK116" s="111"/>
      <c r="AL116" s="96"/>
      <c r="AM116" s="127"/>
      <c r="AN116" s="126"/>
      <c r="AO116" s="111"/>
      <c r="AP116" s="96"/>
      <c r="AQ116" s="126"/>
      <c r="AR116" s="127"/>
      <c r="AS116" s="96"/>
      <c r="AT116" s="96"/>
      <c r="AU116" s="131"/>
      <c r="AV116" s="126"/>
      <c r="AW116" s="94"/>
      <c r="AX116" s="94"/>
      <c r="AY116" s="127"/>
      <c r="AZ116" s="127"/>
      <c r="BA116" s="96"/>
      <c r="BB116" s="94"/>
      <c r="BC116" s="127"/>
      <c r="BD116" s="126"/>
      <c r="BE116" s="94"/>
      <c r="BF116" s="96"/>
      <c r="BG116" s="128"/>
      <c r="BH116" s="127"/>
      <c r="BI116" s="96"/>
      <c r="BK116" s="128"/>
      <c r="BL116" s="127"/>
      <c r="BM116" s="96"/>
      <c r="BN116" s="96"/>
      <c r="BO116" s="128"/>
      <c r="BP116" s="128"/>
      <c r="BS116" s="127"/>
      <c r="BT116" s="128"/>
      <c r="BW116" s="127"/>
      <c r="BX116" s="127"/>
      <c r="BY116" s="96"/>
      <c r="CA116" s="128"/>
      <c r="CB116" s="127"/>
      <c r="CC116" s="96"/>
      <c r="CE116" s="127"/>
      <c r="CF116" s="128"/>
      <c r="CH116" s="96"/>
      <c r="CI116" s="128"/>
      <c r="CJ116" s="128"/>
      <c r="CL116" s="96"/>
      <c r="CM116" s="127"/>
      <c r="CN116" s="128"/>
      <c r="CQ116" s="127"/>
      <c r="CR116" s="127"/>
      <c r="CS116" s="96"/>
      <c r="CU116" s="127"/>
      <c r="CV116" s="128"/>
      <c r="CY116" s="127"/>
      <c r="CZ116" s="127"/>
      <c r="DC116" s="96"/>
      <c r="DG116" s="96"/>
      <c r="DJ116" s="96"/>
      <c r="DM116" s="96"/>
      <c r="DQ116" s="96"/>
      <c r="DT116" s="96"/>
    </row>
    <row r="117" spans="1:124" s="95" customFormat="1" x14ac:dyDescent="0.3">
      <c r="A117" s="94" t="s">
        <v>111</v>
      </c>
      <c r="B117" s="94">
        <v>1</v>
      </c>
      <c r="C117" s="96" t="s">
        <v>112</v>
      </c>
      <c r="D117" s="97">
        <v>9</v>
      </c>
      <c r="E117" s="96" t="s">
        <v>15</v>
      </c>
      <c r="G117" s="96"/>
      <c r="I117" s="96"/>
      <c r="J117" s="96"/>
      <c r="K117" s="96"/>
      <c r="L117" s="96"/>
      <c r="Q117" s="127"/>
      <c r="R117" s="127"/>
      <c r="S117" s="96"/>
      <c r="T117" s="127"/>
      <c r="U117" s="128"/>
      <c r="V117" s="110"/>
      <c r="W117" s="110"/>
      <c r="X117" s="96"/>
      <c r="Y117" s="96"/>
      <c r="Z117" s="96"/>
      <c r="AA117" s="128"/>
      <c r="AB117" s="128"/>
      <c r="AC117" s="110"/>
      <c r="AD117" s="102"/>
      <c r="AE117" s="131"/>
      <c r="AF117" s="127"/>
      <c r="AG117" s="96"/>
      <c r="AH117" s="96"/>
      <c r="AI117" s="102"/>
      <c r="AJ117" s="111"/>
      <c r="AK117" s="111"/>
      <c r="AL117" s="96"/>
      <c r="AM117" s="127"/>
      <c r="AN117" s="126"/>
      <c r="AO117" s="111"/>
      <c r="AP117" s="96"/>
      <c r="AQ117" s="126"/>
      <c r="AR117" s="127"/>
      <c r="AS117" s="96"/>
      <c r="AT117" s="96"/>
      <c r="AU117" s="131"/>
      <c r="AV117" s="126"/>
      <c r="AW117" s="94"/>
      <c r="AX117" s="94"/>
      <c r="AY117" s="127"/>
      <c r="AZ117" s="127"/>
      <c r="BA117" s="96"/>
      <c r="BB117" s="94"/>
      <c r="BC117" s="127"/>
      <c r="BD117" s="126"/>
      <c r="BE117" s="94"/>
      <c r="BF117" s="96"/>
      <c r="BG117" s="128"/>
      <c r="BH117" s="127"/>
      <c r="BI117" s="96"/>
      <c r="BK117" s="128"/>
      <c r="BL117" s="127"/>
      <c r="BM117" s="96"/>
      <c r="BN117" s="96"/>
      <c r="BO117" s="128"/>
      <c r="BP117" s="128"/>
      <c r="BS117" s="127"/>
      <c r="BT117" s="128"/>
      <c r="BW117" s="127"/>
      <c r="BX117" s="127"/>
      <c r="BY117" s="96"/>
      <c r="CA117" s="128"/>
      <c r="CB117" s="127"/>
      <c r="CC117" s="96"/>
      <c r="CE117" s="127"/>
      <c r="CF117" s="128"/>
      <c r="CH117" s="96"/>
      <c r="CI117" s="128"/>
      <c r="CJ117" s="128"/>
      <c r="CL117" s="96"/>
      <c r="CM117" s="127"/>
      <c r="CN117" s="128"/>
      <c r="CQ117" s="127"/>
      <c r="CR117" s="127"/>
      <c r="CS117" s="96"/>
      <c r="CU117" s="127"/>
      <c r="CV117" s="128"/>
      <c r="CY117" s="127"/>
      <c r="CZ117" s="127"/>
      <c r="DC117" s="96"/>
      <c r="DG117" s="96"/>
      <c r="DJ117" s="96"/>
      <c r="DM117" s="96"/>
      <c r="DQ117" s="96"/>
      <c r="DT117" s="96"/>
    </row>
    <row r="118" spans="1:124" s="95" customFormat="1" x14ac:dyDescent="0.3">
      <c r="A118" s="94" t="s">
        <v>11</v>
      </c>
      <c r="B118" s="94">
        <v>1</v>
      </c>
      <c r="C118" s="96" t="s">
        <v>107</v>
      </c>
      <c r="D118" s="97">
        <v>1.75</v>
      </c>
      <c r="E118" s="96" t="s">
        <v>101</v>
      </c>
      <c r="F118" s="95">
        <f>D118*D96</f>
        <v>196</v>
      </c>
      <c r="G118" s="96" t="s">
        <v>96</v>
      </c>
      <c r="I118" s="96"/>
      <c r="J118" s="96"/>
      <c r="K118" s="96"/>
      <c r="L118" s="96"/>
      <c r="Q118" s="127"/>
      <c r="R118" s="127"/>
      <c r="S118" s="96"/>
      <c r="T118" s="127"/>
      <c r="U118" s="128"/>
      <c r="V118" s="110"/>
      <c r="W118" s="110"/>
      <c r="X118" s="96"/>
      <c r="Y118" s="96"/>
      <c r="Z118" s="96"/>
      <c r="AA118" s="128"/>
      <c r="AB118" s="128"/>
      <c r="AC118" s="110"/>
      <c r="AD118" s="102"/>
      <c r="AE118" s="131"/>
      <c r="AF118" s="127"/>
      <c r="AG118" s="96"/>
      <c r="AH118" s="96"/>
      <c r="AI118" s="102"/>
      <c r="AJ118" s="111"/>
      <c r="AK118" s="111"/>
      <c r="AL118" s="96"/>
      <c r="AM118" s="127"/>
      <c r="AN118" s="126"/>
      <c r="AO118" s="111"/>
      <c r="AP118" s="96"/>
      <c r="AQ118" s="126"/>
      <c r="AR118" s="127"/>
      <c r="AS118" s="96"/>
      <c r="AT118" s="96"/>
      <c r="AU118" s="131"/>
      <c r="AV118" s="126"/>
      <c r="AW118" s="94"/>
      <c r="AX118" s="94"/>
      <c r="AY118" s="127"/>
      <c r="AZ118" s="127"/>
      <c r="BA118" s="96"/>
      <c r="BB118" s="94"/>
      <c r="BC118" s="127"/>
      <c r="BD118" s="126"/>
      <c r="BE118" s="94"/>
      <c r="BF118" s="96"/>
      <c r="BG118" s="128"/>
      <c r="BH118" s="127"/>
      <c r="BI118" s="96"/>
      <c r="BK118" s="128"/>
      <c r="BL118" s="127"/>
      <c r="BM118" s="96"/>
      <c r="BN118" s="96"/>
      <c r="BO118" s="128"/>
      <c r="BP118" s="128"/>
      <c r="BS118" s="127"/>
      <c r="BT118" s="128"/>
      <c r="BW118" s="127"/>
      <c r="BX118" s="127"/>
      <c r="BY118" s="96"/>
      <c r="CA118" s="128"/>
      <c r="CB118" s="127"/>
      <c r="CC118" s="96"/>
      <c r="CE118" s="127"/>
      <c r="CF118" s="128"/>
      <c r="CH118" s="96"/>
      <c r="CI118" s="128"/>
      <c r="CJ118" s="128"/>
      <c r="CL118" s="96"/>
      <c r="CM118" s="127"/>
      <c r="CN118" s="128"/>
      <c r="CQ118" s="127"/>
      <c r="CR118" s="127"/>
      <c r="CS118" s="96"/>
      <c r="CU118" s="127"/>
      <c r="CV118" s="128"/>
      <c r="CY118" s="127"/>
      <c r="CZ118" s="127"/>
      <c r="DC118" s="96"/>
      <c r="DG118" s="96"/>
      <c r="DJ118" s="96"/>
      <c r="DM118" s="96"/>
      <c r="DQ118" s="96"/>
      <c r="DT118" s="96"/>
    </row>
    <row r="119" spans="1:124" s="95" customFormat="1" x14ac:dyDescent="0.3">
      <c r="A119" s="94" t="s">
        <v>11</v>
      </c>
      <c r="B119" s="94">
        <v>1</v>
      </c>
      <c r="C119" s="96" t="s">
        <v>37</v>
      </c>
      <c r="D119" s="97">
        <v>175</v>
      </c>
      <c r="E119" s="96" t="s">
        <v>96</v>
      </c>
      <c r="F119" s="97">
        <f>D119/D96</f>
        <v>1.5625</v>
      </c>
      <c r="G119" s="96" t="s">
        <v>14</v>
      </c>
      <c r="I119" s="96"/>
      <c r="J119" s="96"/>
      <c r="K119" s="96"/>
      <c r="L119" s="96"/>
      <c r="Q119" s="127"/>
      <c r="R119" s="127"/>
      <c r="S119" s="96"/>
      <c r="T119" s="127"/>
      <c r="U119" s="128"/>
      <c r="V119" s="110"/>
      <c r="W119" s="110"/>
      <c r="X119" s="96"/>
      <c r="Y119" s="96"/>
      <c r="Z119" s="96"/>
      <c r="AA119" s="128"/>
      <c r="AB119" s="128"/>
      <c r="AC119" s="110"/>
      <c r="AD119" s="102"/>
      <c r="AE119" s="131"/>
      <c r="AF119" s="127"/>
      <c r="AG119" s="96"/>
      <c r="AH119" s="96"/>
      <c r="AI119" s="102"/>
      <c r="AJ119" s="111"/>
      <c r="AK119" s="111"/>
      <c r="AL119" s="96"/>
      <c r="AM119" s="127"/>
      <c r="AN119" s="126"/>
      <c r="AO119" s="111"/>
      <c r="AP119" s="96"/>
      <c r="AQ119" s="126"/>
      <c r="AR119" s="127"/>
      <c r="AS119" s="96"/>
      <c r="AT119" s="96"/>
      <c r="AU119" s="131"/>
      <c r="AV119" s="126"/>
      <c r="AW119" s="94"/>
      <c r="AX119" s="94"/>
      <c r="AY119" s="127"/>
      <c r="AZ119" s="127"/>
      <c r="BA119" s="96"/>
      <c r="BB119" s="94"/>
      <c r="BC119" s="127"/>
      <c r="BD119" s="126"/>
      <c r="BE119" s="94"/>
      <c r="BF119" s="96"/>
      <c r="BG119" s="128"/>
      <c r="BH119" s="127"/>
      <c r="BI119" s="96"/>
      <c r="BK119" s="128"/>
      <c r="BL119" s="127"/>
      <c r="BM119" s="96"/>
      <c r="BN119" s="96"/>
      <c r="BO119" s="128"/>
      <c r="BP119" s="128"/>
      <c r="BS119" s="127"/>
      <c r="BT119" s="128"/>
      <c r="BW119" s="127"/>
      <c r="BX119" s="127"/>
      <c r="BY119" s="96"/>
      <c r="CA119" s="128"/>
      <c r="CB119" s="127"/>
      <c r="CC119" s="96"/>
      <c r="CE119" s="127"/>
      <c r="CF119" s="128"/>
      <c r="CH119" s="96"/>
      <c r="CI119" s="128"/>
      <c r="CJ119" s="128"/>
      <c r="CL119" s="96"/>
      <c r="CM119" s="127"/>
      <c r="CN119" s="128"/>
      <c r="CQ119" s="127"/>
      <c r="CR119" s="127"/>
      <c r="CS119" s="96"/>
      <c r="CU119" s="127"/>
      <c r="CV119" s="128"/>
      <c r="CY119" s="127"/>
      <c r="CZ119" s="127"/>
      <c r="DC119" s="96"/>
      <c r="DG119" s="96"/>
      <c r="DJ119" s="96"/>
      <c r="DM119" s="96"/>
      <c r="DQ119" s="96"/>
      <c r="DT119" s="96"/>
    </row>
    <row r="120" spans="1:124" s="95" customFormat="1" x14ac:dyDescent="0.3">
      <c r="A120" s="94" t="s">
        <v>17</v>
      </c>
      <c r="B120" s="94">
        <v>1</v>
      </c>
      <c r="C120" s="96" t="s">
        <v>113</v>
      </c>
      <c r="D120" s="97">
        <v>0.15175</v>
      </c>
      <c r="E120" s="96" t="s">
        <v>101</v>
      </c>
      <c r="F120" s="97">
        <v>16.997</v>
      </c>
      <c r="G120" s="96" t="s">
        <v>96</v>
      </c>
      <c r="I120" s="96"/>
      <c r="J120" s="96"/>
      <c r="K120" s="96"/>
      <c r="L120" s="96"/>
      <c r="Q120" s="127"/>
      <c r="R120" s="127"/>
      <c r="S120" s="96"/>
      <c r="T120" s="127"/>
      <c r="U120" s="128"/>
      <c r="V120" s="110"/>
      <c r="W120" s="110"/>
      <c r="X120" s="96"/>
      <c r="Y120" s="96"/>
      <c r="Z120" s="96"/>
      <c r="AA120" s="128"/>
      <c r="AB120" s="128"/>
      <c r="AC120" s="110"/>
      <c r="AD120" s="102"/>
      <c r="AE120" s="131"/>
      <c r="AF120" s="127"/>
      <c r="AG120" s="96"/>
      <c r="AH120" s="96"/>
      <c r="AI120" s="102"/>
      <c r="AJ120" s="111"/>
      <c r="AK120" s="111"/>
      <c r="AL120" s="96"/>
      <c r="AM120" s="127"/>
      <c r="AN120" s="126"/>
      <c r="AO120" s="111"/>
      <c r="AP120" s="96"/>
      <c r="AQ120" s="126"/>
      <c r="AR120" s="127"/>
      <c r="AS120" s="96"/>
      <c r="AT120" s="96"/>
      <c r="AU120" s="131"/>
      <c r="AV120" s="126"/>
      <c r="AW120" s="94"/>
      <c r="AX120" s="94"/>
      <c r="AY120" s="127"/>
      <c r="AZ120" s="127"/>
      <c r="BA120" s="96"/>
      <c r="BB120" s="94"/>
      <c r="BC120" s="127"/>
      <c r="BD120" s="126"/>
      <c r="BE120" s="94"/>
      <c r="BF120" s="96"/>
      <c r="BG120" s="128"/>
      <c r="BH120" s="127"/>
      <c r="BI120" s="96"/>
      <c r="BK120" s="128"/>
      <c r="BL120" s="127"/>
      <c r="BM120" s="96"/>
      <c r="BN120" s="96"/>
      <c r="BO120" s="128"/>
      <c r="BP120" s="128"/>
      <c r="BS120" s="127"/>
      <c r="BT120" s="128"/>
      <c r="BW120" s="127"/>
      <c r="BX120" s="127"/>
      <c r="BY120" s="96"/>
      <c r="CA120" s="128"/>
      <c r="CB120" s="127"/>
      <c r="CC120" s="96"/>
      <c r="CE120" s="127"/>
      <c r="CF120" s="128"/>
      <c r="CH120" s="96"/>
      <c r="CI120" s="128"/>
      <c r="CJ120" s="128"/>
      <c r="CL120" s="96"/>
      <c r="CM120" s="127"/>
      <c r="CN120" s="128"/>
      <c r="CQ120" s="127"/>
      <c r="CR120" s="127"/>
      <c r="CS120" s="96"/>
      <c r="CU120" s="127"/>
      <c r="CV120" s="128"/>
      <c r="CY120" s="127"/>
      <c r="CZ120" s="127"/>
      <c r="DC120" s="96"/>
      <c r="DG120" s="96"/>
      <c r="DJ120" s="96"/>
      <c r="DM120" s="96"/>
      <c r="DQ120" s="96"/>
      <c r="DT120" s="96"/>
    </row>
    <row r="121" spans="1:124" s="95" customFormat="1" x14ac:dyDescent="0.3">
      <c r="A121" s="94" t="s">
        <v>33</v>
      </c>
      <c r="B121" s="94">
        <v>1</v>
      </c>
      <c r="C121" s="96" t="s">
        <v>107</v>
      </c>
      <c r="D121" s="97">
        <v>1.5</v>
      </c>
      <c r="E121" s="96" t="s">
        <v>101</v>
      </c>
      <c r="G121" s="96"/>
      <c r="I121" s="96"/>
      <c r="J121" s="96"/>
      <c r="K121" s="96"/>
      <c r="L121" s="96"/>
      <c r="Q121" s="127"/>
      <c r="R121" s="127"/>
      <c r="S121" s="96"/>
      <c r="T121" s="127"/>
      <c r="U121" s="128"/>
      <c r="V121" s="110"/>
      <c r="W121" s="110"/>
      <c r="X121" s="96"/>
      <c r="Y121" s="96"/>
      <c r="Z121" s="96"/>
      <c r="AA121" s="128"/>
      <c r="AB121" s="128"/>
      <c r="AC121" s="110"/>
      <c r="AD121" s="102"/>
      <c r="AE121" s="131"/>
      <c r="AF121" s="127"/>
      <c r="AG121" s="96"/>
      <c r="AH121" s="96"/>
      <c r="AI121" s="102"/>
      <c r="AJ121" s="111"/>
      <c r="AK121" s="111"/>
      <c r="AL121" s="96"/>
      <c r="AM121" s="127"/>
      <c r="AN121" s="126"/>
      <c r="AO121" s="111"/>
      <c r="AP121" s="96"/>
      <c r="AQ121" s="126"/>
      <c r="AR121" s="127"/>
      <c r="AS121" s="96"/>
      <c r="AT121" s="96"/>
      <c r="AU121" s="131"/>
      <c r="AV121" s="126"/>
      <c r="AW121" s="94"/>
      <c r="AX121" s="94"/>
      <c r="AY121" s="127"/>
      <c r="AZ121" s="127"/>
      <c r="BA121" s="96"/>
      <c r="BB121" s="94"/>
      <c r="BC121" s="127"/>
      <c r="BD121" s="126"/>
      <c r="BE121" s="94"/>
      <c r="BF121" s="96"/>
      <c r="BG121" s="128"/>
      <c r="BH121" s="127"/>
      <c r="BI121" s="96"/>
      <c r="BK121" s="128"/>
      <c r="BL121" s="127"/>
      <c r="BM121" s="96"/>
      <c r="BN121" s="96"/>
      <c r="BO121" s="128"/>
      <c r="BP121" s="128"/>
      <c r="BS121" s="127"/>
      <c r="BT121" s="128"/>
      <c r="BW121" s="127"/>
      <c r="BX121" s="127"/>
      <c r="BY121" s="96"/>
      <c r="CA121" s="128"/>
      <c r="CB121" s="127"/>
      <c r="CC121" s="96"/>
      <c r="CE121" s="127"/>
      <c r="CF121" s="128"/>
      <c r="CH121" s="96"/>
      <c r="CI121" s="128"/>
      <c r="CJ121" s="128"/>
      <c r="CL121" s="96"/>
      <c r="CM121" s="127"/>
      <c r="CN121" s="128"/>
      <c r="CQ121" s="127"/>
      <c r="CR121" s="127"/>
      <c r="CS121" s="96"/>
      <c r="CU121" s="127"/>
      <c r="CV121" s="128"/>
      <c r="CY121" s="127"/>
      <c r="CZ121" s="127"/>
      <c r="DC121" s="96"/>
      <c r="DG121" s="96"/>
      <c r="DJ121" s="96"/>
      <c r="DM121" s="96"/>
      <c r="DQ121" s="96"/>
      <c r="DT121" s="96"/>
    </row>
    <row r="122" spans="1:124" s="95" customFormat="1" x14ac:dyDescent="0.3">
      <c r="A122" s="94" t="s">
        <v>114</v>
      </c>
      <c r="B122" s="94">
        <v>1</v>
      </c>
      <c r="C122" s="96" t="s">
        <v>107</v>
      </c>
      <c r="D122" s="97">
        <v>1.625</v>
      </c>
      <c r="E122" s="96" t="s">
        <v>101</v>
      </c>
      <c r="G122" s="96"/>
      <c r="I122" s="96"/>
      <c r="J122" s="96"/>
      <c r="K122" s="96"/>
      <c r="L122" s="96"/>
      <c r="Q122" s="127"/>
      <c r="R122" s="127"/>
      <c r="S122" s="96"/>
      <c r="T122" s="127"/>
      <c r="U122" s="128"/>
      <c r="V122" s="110"/>
      <c r="W122" s="110"/>
      <c r="X122" s="96"/>
      <c r="Y122" s="96"/>
      <c r="Z122" s="96"/>
      <c r="AA122" s="128"/>
      <c r="AB122" s="128"/>
      <c r="AC122" s="110"/>
      <c r="AD122" s="102"/>
      <c r="AE122" s="131"/>
      <c r="AF122" s="127"/>
      <c r="AG122" s="96"/>
      <c r="AH122" s="96"/>
      <c r="AI122" s="102"/>
      <c r="AJ122" s="111"/>
      <c r="AK122" s="111"/>
      <c r="AL122" s="96"/>
      <c r="AM122" s="127"/>
      <c r="AN122" s="126"/>
      <c r="AO122" s="111"/>
      <c r="AP122" s="96"/>
      <c r="AQ122" s="126"/>
      <c r="AR122" s="127"/>
      <c r="AS122" s="96"/>
      <c r="AT122" s="96"/>
      <c r="AU122" s="131"/>
      <c r="AV122" s="126"/>
      <c r="AW122" s="94"/>
      <c r="AX122" s="94"/>
      <c r="AY122" s="127"/>
      <c r="AZ122" s="127"/>
      <c r="BA122" s="96"/>
      <c r="BB122" s="94"/>
      <c r="BC122" s="127"/>
      <c r="BD122" s="126"/>
      <c r="BE122" s="94"/>
      <c r="BF122" s="96"/>
      <c r="BG122" s="128"/>
      <c r="BH122" s="127"/>
      <c r="BI122" s="96"/>
      <c r="BK122" s="128"/>
      <c r="BL122" s="127"/>
      <c r="BM122" s="96"/>
      <c r="BN122" s="96"/>
      <c r="BO122" s="128"/>
      <c r="BP122" s="128"/>
      <c r="BS122" s="127"/>
      <c r="BT122" s="128"/>
      <c r="BW122" s="127"/>
      <c r="BX122" s="127"/>
      <c r="BY122" s="96"/>
      <c r="CA122" s="128"/>
      <c r="CB122" s="127"/>
      <c r="CC122" s="96"/>
      <c r="CE122" s="127"/>
      <c r="CF122" s="128"/>
      <c r="CH122" s="96"/>
      <c r="CI122" s="128"/>
      <c r="CJ122" s="128"/>
      <c r="CL122" s="96"/>
      <c r="CM122" s="127"/>
      <c r="CN122" s="128"/>
      <c r="CQ122" s="127"/>
      <c r="CR122" s="127"/>
      <c r="CS122" s="96"/>
      <c r="CU122" s="127"/>
      <c r="CV122" s="128"/>
      <c r="CY122" s="127"/>
      <c r="CZ122" s="127"/>
      <c r="DC122" s="96"/>
      <c r="DG122" s="96"/>
      <c r="DJ122" s="96"/>
      <c r="DM122" s="96"/>
      <c r="DQ122" s="96"/>
      <c r="DT122" s="96"/>
    </row>
    <row r="123" spans="1:124" s="95" customFormat="1" x14ac:dyDescent="0.3">
      <c r="A123" s="94" t="s">
        <v>4</v>
      </c>
      <c r="B123" s="94">
        <v>1</v>
      </c>
      <c r="C123" s="96" t="s">
        <v>107</v>
      </c>
      <c r="D123" s="97">
        <v>1.5</v>
      </c>
      <c r="E123" s="96" t="s">
        <v>101</v>
      </c>
      <c r="G123" s="96"/>
      <c r="I123" s="96"/>
      <c r="J123" s="96"/>
      <c r="K123" s="96"/>
      <c r="L123" s="96"/>
      <c r="Q123" s="127"/>
      <c r="R123" s="127"/>
      <c r="S123" s="96"/>
      <c r="T123" s="127"/>
      <c r="U123" s="128"/>
      <c r="V123" s="110"/>
      <c r="W123" s="110"/>
      <c r="X123" s="96"/>
      <c r="Y123" s="96"/>
      <c r="Z123" s="96"/>
      <c r="AA123" s="128"/>
      <c r="AB123" s="128"/>
      <c r="AC123" s="110"/>
      <c r="AD123" s="102"/>
      <c r="AE123" s="131"/>
      <c r="AF123" s="127"/>
      <c r="AG123" s="96"/>
      <c r="AH123" s="96"/>
      <c r="AI123" s="102"/>
      <c r="AJ123" s="111"/>
      <c r="AK123" s="111"/>
      <c r="AL123" s="96"/>
      <c r="AM123" s="127"/>
      <c r="AN123" s="126"/>
      <c r="AO123" s="111"/>
      <c r="AP123" s="96"/>
      <c r="AQ123" s="126"/>
      <c r="AR123" s="127"/>
      <c r="AS123" s="96"/>
      <c r="AT123" s="96"/>
      <c r="AU123" s="131"/>
      <c r="AV123" s="126"/>
      <c r="AW123" s="94"/>
      <c r="AX123" s="94"/>
      <c r="AY123" s="127"/>
      <c r="AZ123" s="127"/>
      <c r="BA123" s="96"/>
      <c r="BB123" s="94"/>
      <c r="BC123" s="127"/>
      <c r="BD123" s="126"/>
      <c r="BE123" s="94"/>
      <c r="BF123" s="96"/>
      <c r="BG123" s="128"/>
      <c r="BH123" s="127"/>
      <c r="BI123" s="96"/>
      <c r="BK123" s="128"/>
      <c r="BL123" s="127"/>
      <c r="BM123" s="96"/>
      <c r="BN123" s="96"/>
      <c r="BO123" s="128"/>
      <c r="BP123" s="128"/>
      <c r="BS123" s="127"/>
      <c r="BT123" s="128"/>
      <c r="BW123" s="127"/>
      <c r="BX123" s="127"/>
      <c r="BY123" s="96"/>
      <c r="CA123" s="128"/>
      <c r="CB123" s="127"/>
      <c r="CC123" s="96"/>
      <c r="CE123" s="127"/>
      <c r="CF123" s="128"/>
      <c r="CH123" s="96"/>
      <c r="CI123" s="128"/>
      <c r="CJ123" s="128"/>
      <c r="CL123" s="96"/>
      <c r="CM123" s="127"/>
      <c r="CN123" s="128"/>
      <c r="CQ123" s="127"/>
      <c r="CR123" s="127"/>
      <c r="CS123" s="96"/>
      <c r="CU123" s="127"/>
      <c r="CV123" s="128"/>
      <c r="CY123" s="127"/>
      <c r="CZ123" s="127"/>
      <c r="DC123" s="96"/>
      <c r="DG123" s="96"/>
      <c r="DJ123" s="96"/>
      <c r="DM123" s="96"/>
      <c r="DQ123" s="96"/>
      <c r="DT123" s="96"/>
    </row>
    <row r="124" spans="1:124" s="95" customFormat="1" x14ac:dyDescent="0.3">
      <c r="A124" s="94" t="s">
        <v>115</v>
      </c>
      <c r="B124" s="94">
        <v>1</v>
      </c>
      <c r="C124" s="96" t="s">
        <v>107</v>
      </c>
      <c r="D124" s="97">
        <v>1.5</v>
      </c>
      <c r="E124" s="96" t="s">
        <v>101</v>
      </c>
      <c r="G124" s="96"/>
      <c r="I124" s="96"/>
      <c r="J124" s="96"/>
      <c r="K124" s="96"/>
      <c r="L124" s="96"/>
      <c r="Q124" s="127"/>
      <c r="R124" s="127"/>
      <c r="S124" s="96"/>
      <c r="T124" s="127"/>
      <c r="U124" s="128"/>
      <c r="V124" s="110"/>
      <c r="W124" s="110"/>
      <c r="X124" s="96"/>
      <c r="Y124" s="96"/>
      <c r="Z124" s="96"/>
      <c r="AA124" s="128"/>
      <c r="AB124" s="128"/>
      <c r="AC124" s="110"/>
      <c r="AD124" s="102"/>
      <c r="AE124" s="131"/>
      <c r="AF124" s="127"/>
      <c r="AG124" s="96"/>
      <c r="AH124" s="96"/>
      <c r="AI124" s="102"/>
      <c r="AJ124" s="111"/>
      <c r="AK124" s="111"/>
      <c r="AL124" s="96"/>
      <c r="AM124" s="127"/>
      <c r="AN124" s="126"/>
      <c r="AO124" s="111"/>
      <c r="AP124" s="96"/>
      <c r="AQ124" s="126"/>
      <c r="AR124" s="127"/>
      <c r="AS124" s="96"/>
      <c r="AT124" s="96"/>
      <c r="AU124" s="131"/>
      <c r="AV124" s="126"/>
      <c r="AW124" s="94"/>
      <c r="AX124" s="94"/>
      <c r="AY124" s="127"/>
      <c r="AZ124" s="127"/>
      <c r="BA124" s="96"/>
      <c r="BB124" s="94"/>
      <c r="BC124" s="127"/>
      <c r="BD124" s="126"/>
      <c r="BE124" s="94"/>
      <c r="BF124" s="96"/>
      <c r="BG124" s="128"/>
      <c r="BH124" s="127"/>
      <c r="BI124" s="96"/>
      <c r="BK124" s="128"/>
      <c r="BL124" s="127"/>
      <c r="BM124" s="96"/>
      <c r="BN124" s="96"/>
      <c r="BO124" s="128"/>
      <c r="BP124" s="128"/>
      <c r="BS124" s="127"/>
      <c r="BT124" s="128"/>
      <c r="BW124" s="127"/>
      <c r="BX124" s="127"/>
      <c r="BY124" s="96"/>
      <c r="CA124" s="128"/>
      <c r="CB124" s="127"/>
      <c r="CC124" s="96"/>
      <c r="CE124" s="127"/>
      <c r="CF124" s="128"/>
      <c r="CH124" s="96"/>
      <c r="CI124" s="128"/>
      <c r="CJ124" s="128"/>
      <c r="CL124" s="96"/>
      <c r="CM124" s="127"/>
      <c r="CN124" s="128"/>
      <c r="CQ124" s="127"/>
      <c r="CR124" s="127"/>
      <c r="CS124" s="96"/>
      <c r="CU124" s="127"/>
      <c r="CV124" s="128"/>
      <c r="CY124" s="127"/>
      <c r="CZ124" s="127"/>
      <c r="DC124" s="96"/>
      <c r="DG124" s="96"/>
      <c r="DJ124" s="96"/>
      <c r="DM124" s="96"/>
      <c r="DQ124" s="96"/>
      <c r="DT124" s="96"/>
    </row>
    <row r="125" spans="1:124" s="95" customFormat="1" x14ac:dyDescent="0.3">
      <c r="A125" s="155" t="s">
        <v>43</v>
      </c>
      <c r="B125" s="94">
        <v>1</v>
      </c>
      <c r="C125" s="96" t="s">
        <v>116</v>
      </c>
      <c r="D125" s="97">
        <v>18.559999999999999</v>
      </c>
      <c r="E125" s="96" t="s">
        <v>15</v>
      </c>
      <c r="G125" s="96"/>
      <c r="I125" s="96"/>
      <c r="J125" s="96"/>
      <c r="K125" s="96"/>
      <c r="L125" s="96"/>
      <c r="Q125" s="127"/>
      <c r="R125" s="127"/>
      <c r="S125" s="96"/>
      <c r="T125" s="127"/>
      <c r="U125" s="128"/>
      <c r="V125" s="110"/>
      <c r="W125" s="110"/>
      <c r="X125" s="96"/>
      <c r="Y125" s="96"/>
      <c r="Z125" s="96"/>
      <c r="AA125" s="128"/>
      <c r="AB125" s="128"/>
      <c r="AC125" s="110"/>
      <c r="AD125" s="102"/>
      <c r="AE125" s="131"/>
      <c r="AF125" s="127"/>
      <c r="AG125" s="96"/>
      <c r="AH125" s="96"/>
      <c r="AI125" s="102"/>
      <c r="AJ125" s="111"/>
      <c r="AK125" s="111"/>
      <c r="AL125" s="96"/>
      <c r="AM125" s="127"/>
      <c r="AN125" s="126"/>
      <c r="AO125" s="111"/>
      <c r="AP125" s="96"/>
      <c r="AQ125" s="126"/>
      <c r="AR125" s="127"/>
      <c r="AS125" s="96"/>
      <c r="AT125" s="96"/>
      <c r="AU125" s="131"/>
      <c r="AV125" s="126"/>
      <c r="AW125" s="94"/>
      <c r="AX125" s="94"/>
      <c r="AY125" s="127"/>
      <c r="AZ125" s="127"/>
      <c r="BA125" s="96"/>
      <c r="BB125" s="94"/>
      <c r="BC125" s="127"/>
      <c r="BD125" s="126"/>
      <c r="BE125" s="94"/>
      <c r="BF125" s="96"/>
      <c r="BG125" s="128"/>
      <c r="BH125" s="127"/>
      <c r="BI125" s="96"/>
      <c r="BK125" s="128"/>
      <c r="BL125" s="127"/>
      <c r="BM125" s="96"/>
      <c r="BN125" s="96"/>
      <c r="BO125" s="128"/>
      <c r="BP125" s="128"/>
      <c r="BS125" s="127"/>
      <c r="BT125" s="128"/>
      <c r="BW125" s="127"/>
      <c r="BX125" s="127"/>
      <c r="BY125" s="96"/>
      <c r="CA125" s="128"/>
      <c r="CB125" s="127"/>
      <c r="CC125" s="96"/>
      <c r="CE125" s="127"/>
      <c r="CF125" s="128"/>
      <c r="CH125" s="96"/>
      <c r="CI125" s="128"/>
      <c r="CJ125" s="128"/>
      <c r="CL125" s="96"/>
      <c r="CM125" s="127"/>
      <c r="CN125" s="128"/>
      <c r="CQ125" s="127"/>
      <c r="CR125" s="127"/>
      <c r="CS125" s="96"/>
      <c r="CU125" s="127"/>
      <c r="CV125" s="128"/>
      <c r="CY125" s="127"/>
      <c r="CZ125" s="127"/>
      <c r="DC125" s="96"/>
      <c r="DG125" s="96"/>
      <c r="DJ125" s="96"/>
      <c r="DM125" s="96"/>
      <c r="DQ125" s="96"/>
      <c r="DT125" s="96"/>
    </row>
    <row r="126" spans="1:124" s="95" customFormat="1" x14ac:dyDescent="0.3">
      <c r="A126" s="155"/>
      <c r="B126" s="94">
        <v>1</v>
      </c>
      <c r="C126" s="96" t="s">
        <v>36</v>
      </c>
      <c r="D126" s="97">
        <v>164</v>
      </c>
      <c r="E126" s="96" t="s">
        <v>96</v>
      </c>
      <c r="F126" s="97">
        <f>D126/D82</f>
        <v>1.4642857142857142</v>
      </c>
      <c r="G126" s="96" t="s">
        <v>101</v>
      </c>
      <c r="I126" s="99"/>
      <c r="J126" s="99"/>
      <c r="K126" s="99"/>
      <c r="L126" s="96"/>
      <c r="Q126" s="129"/>
      <c r="R126" s="129"/>
      <c r="S126" s="99"/>
      <c r="T126" s="127"/>
      <c r="U126" s="128"/>
      <c r="V126" s="110"/>
      <c r="W126" s="110"/>
      <c r="X126" s="99"/>
      <c r="Y126" s="99"/>
      <c r="Z126" s="96"/>
      <c r="AA126" s="128"/>
      <c r="AB126" s="128"/>
      <c r="AC126" s="110"/>
      <c r="AD126" s="102"/>
      <c r="AE126" s="131"/>
      <c r="AF126" s="127"/>
      <c r="AG126" s="96"/>
      <c r="AH126" s="99"/>
      <c r="AI126" s="102"/>
      <c r="AJ126" s="111"/>
      <c r="AK126" s="111"/>
      <c r="AL126" s="96"/>
      <c r="AM126" s="129"/>
      <c r="AN126" s="126"/>
      <c r="AO126" s="111"/>
      <c r="AP126" s="96"/>
      <c r="AQ126" s="126"/>
      <c r="AR126" s="129"/>
      <c r="AS126" s="99"/>
      <c r="AT126" s="96"/>
      <c r="AU126" s="131"/>
      <c r="AV126" s="126"/>
      <c r="AW126" s="94"/>
      <c r="AX126" s="94"/>
      <c r="AY126" s="127"/>
      <c r="AZ126" s="129"/>
      <c r="BA126" s="99"/>
      <c r="BB126" s="94"/>
      <c r="BC126" s="127"/>
      <c r="BD126" s="126"/>
      <c r="BE126" s="94"/>
      <c r="BF126" s="99"/>
      <c r="BG126" s="128"/>
      <c r="BH126" s="127"/>
      <c r="BI126" s="96"/>
      <c r="BK126" s="128"/>
      <c r="BL126" s="129"/>
      <c r="BM126" s="99"/>
      <c r="BN126" s="96"/>
      <c r="BO126" s="128"/>
      <c r="BP126" s="128"/>
      <c r="BS126" s="127"/>
      <c r="BT126" s="128"/>
      <c r="BW126" s="129"/>
      <c r="BX126" s="127"/>
      <c r="BY126" s="96"/>
      <c r="CA126" s="128"/>
      <c r="CB126" s="127"/>
      <c r="CC126" s="96"/>
      <c r="CE126" s="129"/>
      <c r="CF126" s="128"/>
      <c r="CH126" s="96"/>
      <c r="CI126" s="128"/>
      <c r="CJ126" s="128"/>
      <c r="CL126" s="96"/>
      <c r="CM126" s="129"/>
      <c r="CN126" s="128"/>
      <c r="CQ126" s="127"/>
      <c r="CR126" s="129"/>
      <c r="CS126" s="99"/>
      <c r="CU126" s="127"/>
      <c r="CV126" s="128"/>
      <c r="CY126" s="127"/>
      <c r="CZ126" s="129"/>
      <c r="DC126" s="99"/>
      <c r="DG126" s="99"/>
      <c r="DJ126" s="99"/>
      <c r="DM126" s="99"/>
      <c r="DQ126" s="99"/>
      <c r="DT126" s="99"/>
    </row>
    <row r="127" spans="1:124" s="95" customFormat="1" x14ac:dyDescent="0.3">
      <c r="A127" s="155" t="s">
        <v>117</v>
      </c>
      <c r="B127" s="94">
        <v>1</v>
      </c>
      <c r="C127" s="96" t="s">
        <v>39</v>
      </c>
      <c r="D127" s="97">
        <v>336</v>
      </c>
      <c r="E127" s="96" t="s">
        <v>96</v>
      </c>
      <c r="F127" s="97">
        <v>3</v>
      </c>
      <c r="G127" s="96" t="s">
        <v>101</v>
      </c>
      <c r="I127" s="96"/>
      <c r="J127" s="96"/>
      <c r="K127" s="96"/>
      <c r="L127" s="96"/>
      <c r="Q127" s="127"/>
      <c r="R127" s="127"/>
      <c r="S127" s="96"/>
      <c r="T127" s="127"/>
      <c r="U127" s="128"/>
      <c r="V127" s="110"/>
      <c r="W127" s="110"/>
      <c r="X127" s="96"/>
      <c r="Y127" s="96"/>
      <c r="Z127" s="96"/>
      <c r="AA127" s="128"/>
      <c r="AB127" s="128"/>
      <c r="AC127" s="110"/>
      <c r="AD127" s="102"/>
      <c r="AE127" s="131"/>
      <c r="AF127" s="127"/>
      <c r="AG127" s="96"/>
      <c r="AH127" s="96"/>
      <c r="AI127" s="102"/>
      <c r="AJ127" s="111"/>
      <c r="AK127" s="111"/>
      <c r="AL127" s="96"/>
      <c r="AM127" s="127"/>
      <c r="AN127" s="126"/>
      <c r="AO127" s="111"/>
      <c r="AP127" s="96"/>
      <c r="AQ127" s="126"/>
      <c r="AR127" s="127"/>
      <c r="AS127" s="96"/>
      <c r="AT127" s="96"/>
      <c r="AU127" s="131"/>
      <c r="AV127" s="126"/>
      <c r="AW127" s="94"/>
      <c r="AX127" s="94"/>
      <c r="AY127" s="127"/>
      <c r="AZ127" s="127"/>
      <c r="BA127" s="96"/>
      <c r="BB127" s="94"/>
      <c r="BC127" s="127"/>
      <c r="BD127" s="126"/>
      <c r="BE127" s="94"/>
      <c r="BF127" s="96"/>
      <c r="BG127" s="128"/>
      <c r="BH127" s="127"/>
      <c r="BI127" s="96"/>
      <c r="BK127" s="128"/>
      <c r="BL127" s="127"/>
      <c r="BM127" s="96"/>
      <c r="BN127" s="96"/>
      <c r="BO127" s="128"/>
      <c r="BP127" s="128"/>
      <c r="BS127" s="127"/>
      <c r="BT127" s="128"/>
      <c r="BW127" s="127"/>
      <c r="BX127" s="127"/>
      <c r="BY127" s="96"/>
      <c r="CA127" s="128"/>
      <c r="CB127" s="127"/>
      <c r="CC127" s="96"/>
      <c r="CE127" s="127"/>
      <c r="CF127" s="128"/>
      <c r="CH127" s="96"/>
      <c r="CI127" s="128"/>
      <c r="CJ127" s="128"/>
      <c r="CL127" s="96"/>
      <c r="CM127" s="127"/>
      <c r="CN127" s="128"/>
      <c r="CQ127" s="127"/>
      <c r="CR127" s="127"/>
      <c r="CS127" s="96"/>
      <c r="CU127" s="127"/>
      <c r="CV127" s="128"/>
      <c r="CY127" s="127"/>
      <c r="CZ127" s="127"/>
      <c r="DC127" s="96"/>
      <c r="DG127" s="96"/>
      <c r="DJ127" s="96"/>
      <c r="DM127" s="96"/>
      <c r="DQ127" s="96"/>
      <c r="DT127" s="96"/>
    </row>
    <row r="128" spans="1:124" s="95" customFormat="1" x14ac:dyDescent="0.3">
      <c r="A128" s="155"/>
      <c r="B128" s="94">
        <v>1</v>
      </c>
      <c r="C128" s="96" t="s">
        <v>118</v>
      </c>
      <c r="D128" s="97">
        <v>240</v>
      </c>
      <c r="E128" s="96" t="s">
        <v>96</v>
      </c>
      <c r="F128" s="97">
        <f>D128/D96</f>
        <v>2.1428571428571428</v>
      </c>
      <c r="G128" s="96" t="s">
        <v>101</v>
      </c>
      <c r="I128" s="96"/>
      <c r="J128" s="96"/>
      <c r="K128" s="96"/>
      <c r="L128" s="96"/>
      <c r="Q128" s="127"/>
      <c r="R128" s="127"/>
      <c r="S128" s="96"/>
      <c r="T128" s="127"/>
      <c r="U128" s="128"/>
      <c r="V128" s="110"/>
      <c r="W128" s="110"/>
      <c r="X128" s="96"/>
      <c r="Y128" s="96"/>
      <c r="Z128" s="96"/>
      <c r="AA128" s="128"/>
      <c r="AB128" s="128"/>
      <c r="AC128" s="110"/>
      <c r="AD128" s="102"/>
      <c r="AE128" s="131"/>
      <c r="AF128" s="127"/>
      <c r="AG128" s="96"/>
      <c r="AH128" s="96"/>
      <c r="AI128" s="102"/>
      <c r="AJ128" s="111"/>
      <c r="AK128" s="111"/>
      <c r="AL128" s="96"/>
      <c r="AM128" s="127"/>
      <c r="AN128" s="126"/>
      <c r="AO128" s="111"/>
      <c r="AP128" s="96"/>
      <c r="AQ128" s="126"/>
      <c r="AR128" s="127"/>
      <c r="AS128" s="96"/>
      <c r="AT128" s="96"/>
      <c r="AU128" s="131"/>
      <c r="AV128" s="126"/>
      <c r="AW128" s="94"/>
      <c r="AX128" s="94"/>
      <c r="AY128" s="127"/>
      <c r="AZ128" s="127"/>
      <c r="BA128" s="96"/>
      <c r="BB128" s="94"/>
      <c r="BC128" s="127"/>
      <c r="BD128" s="126"/>
      <c r="BE128" s="94"/>
      <c r="BF128" s="96"/>
      <c r="BG128" s="128"/>
      <c r="BH128" s="127"/>
      <c r="BI128" s="96"/>
      <c r="BK128" s="128"/>
      <c r="BL128" s="127"/>
      <c r="BM128" s="96"/>
      <c r="BN128" s="96"/>
      <c r="BO128" s="128"/>
      <c r="BP128" s="128"/>
      <c r="BS128" s="127"/>
      <c r="BT128" s="128"/>
      <c r="BW128" s="127"/>
      <c r="BX128" s="127"/>
      <c r="BY128" s="96"/>
      <c r="CA128" s="128"/>
      <c r="CB128" s="127"/>
      <c r="CC128" s="96"/>
      <c r="CE128" s="127"/>
      <c r="CF128" s="128"/>
      <c r="CH128" s="96"/>
      <c r="CI128" s="128"/>
      <c r="CJ128" s="128"/>
      <c r="CL128" s="96"/>
      <c r="CM128" s="127"/>
      <c r="CN128" s="128"/>
      <c r="CQ128" s="127"/>
      <c r="CR128" s="127"/>
      <c r="CS128" s="96"/>
      <c r="CU128" s="127"/>
      <c r="CV128" s="128"/>
      <c r="CY128" s="127"/>
      <c r="CZ128" s="127"/>
      <c r="DC128" s="96"/>
      <c r="DG128" s="96"/>
      <c r="DJ128" s="96"/>
      <c r="DM128" s="96"/>
      <c r="DQ128" s="96"/>
      <c r="DT128" s="96"/>
    </row>
    <row r="129" spans="1:124" s="95" customFormat="1" x14ac:dyDescent="0.3">
      <c r="A129" s="155" t="s">
        <v>35</v>
      </c>
      <c r="B129" s="94">
        <v>1</v>
      </c>
      <c r="C129" s="96" t="s">
        <v>24</v>
      </c>
      <c r="D129" s="97">
        <v>3.40835</v>
      </c>
      <c r="E129" s="96" t="s">
        <v>107</v>
      </c>
      <c r="F129" s="97">
        <f>D129*D130/D96</f>
        <v>5.9646125000000003</v>
      </c>
      <c r="G129" s="96" t="s">
        <v>101</v>
      </c>
      <c r="I129" s="96"/>
      <c r="J129" s="96"/>
      <c r="K129" s="96"/>
      <c r="L129" s="96"/>
      <c r="Q129" s="127"/>
      <c r="R129" s="127"/>
      <c r="S129" s="96"/>
      <c r="T129" s="127"/>
      <c r="U129" s="128"/>
      <c r="V129" s="110"/>
      <c r="W129" s="110"/>
      <c r="X129" s="96"/>
      <c r="Y129" s="96"/>
      <c r="Z129" s="96"/>
      <c r="AA129" s="128"/>
      <c r="AB129" s="128"/>
      <c r="AC129" s="110"/>
      <c r="AD129" s="102"/>
      <c r="AE129" s="131"/>
      <c r="AF129" s="127"/>
      <c r="AG129" s="96"/>
      <c r="AH129" s="96"/>
      <c r="AI129" s="102"/>
      <c r="AJ129" s="111"/>
      <c r="AK129" s="111"/>
      <c r="AL129" s="96"/>
      <c r="AM129" s="127"/>
      <c r="AN129" s="126"/>
      <c r="AO129" s="111"/>
      <c r="AP129" s="96"/>
      <c r="AQ129" s="126"/>
      <c r="AR129" s="127"/>
      <c r="AS129" s="96"/>
      <c r="AT129" s="96"/>
      <c r="AU129" s="131"/>
      <c r="AV129" s="126"/>
      <c r="AW129" s="94"/>
      <c r="AX129" s="94"/>
      <c r="AY129" s="127"/>
      <c r="AZ129" s="127"/>
      <c r="BA129" s="96"/>
      <c r="BB129" s="94"/>
      <c r="BC129" s="127"/>
      <c r="BD129" s="126"/>
      <c r="BE129" s="94"/>
      <c r="BF129" s="96"/>
      <c r="BG129" s="128"/>
      <c r="BH129" s="127"/>
      <c r="BI129" s="96"/>
      <c r="BK129" s="128"/>
      <c r="BL129" s="127"/>
      <c r="BM129" s="96"/>
      <c r="BN129" s="96"/>
      <c r="BO129" s="128"/>
      <c r="BP129" s="128"/>
      <c r="BS129" s="127"/>
      <c r="BT129" s="128"/>
      <c r="BW129" s="127"/>
      <c r="BX129" s="127"/>
      <c r="BY129" s="96"/>
      <c r="CA129" s="128"/>
      <c r="CB129" s="127"/>
      <c r="CC129" s="96"/>
      <c r="CE129" s="127"/>
      <c r="CF129" s="128"/>
      <c r="CH129" s="96"/>
      <c r="CI129" s="128"/>
      <c r="CJ129" s="128"/>
      <c r="CL129" s="96"/>
      <c r="CM129" s="127"/>
      <c r="CN129" s="128"/>
      <c r="CQ129" s="127"/>
      <c r="CR129" s="127"/>
      <c r="CS129" s="96"/>
      <c r="CU129" s="127"/>
      <c r="CV129" s="128"/>
      <c r="CY129" s="127"/>
      <c r="CZ129" s="127"/>
      <c r="DC129" s="96"/>
      <c r="DG129" s="96"/>
      <c r="DJ129" s="96"/>
      <c r="DM129" s="96"/>
      <c r="DQ129" s="96"/>
      <c r="DT129" s="96"/>
    </row>
    <row r="130" spans="1:124" s="95" customFormat="1" x14ac:dyDescent="0.3">
      <c r="A130" s="155"/>
      <c r="B130" s="94">
        <v>1</v>
      </c>
      <c r="C130" s="96" t="s">
        <v>107</v>
      </c>
      <c r="D130" s="98">
        <v>196</v>
      </c>
      <c r="E130" s="96" t="s">
        <v>96</v>
      </c>
      <c r="F130" s="97"/>
      <c r="G130" s="94"/>
      <c r="I130" s="96"/>
      <c r="J130" s="96"/>
      <c r="K130" s="96"/>
      <c r="L130" s="96"/>
      <c r="Q130" s="127"/>
      <c r="R130" s="127"/>
      <c r="S130" s="96"/>
      <c r="T130" s="127"/>
      <c r="U130" s="128"/>
      <c r="V130" s="110"/>
      <c r="W130" s="110"/>
      <c r="X130" s="96"/>
      <c r="Y130" s="96"/>
      <c r="Z130" s="96"/>
      <c r="AA130" s="128"/>
      <c r="AB130" s="128"/>
      <c r="AC130" s="110"/>
      <c r="AD130" s="102"/>
      <c r="AE130" s="131"/>
      <c r="AF130" s="127"/>
      <c r="AG130" s="96"/>
      <c r="AH130" s="96"/>
      <c r="AI130" s="102"/>
      <c r="AJ130" s="111"/>
      <c r="AK130" s="111"/>
      <c r="AL130" s="96"/>
      <c r="AM130" s="127"/>
      <c r="AN130" s="126"/>
      <c r="AO130" s="111"/>
      <c r="AP130" s="96"/>
      <c r="AQ130" s="126"/>
      <c r="AR130" s="127"/>
      <c r="AS130" s="96"/>
      <c r="AT130" s="96"/>
      <c r="AU130" s="131"/>
      <c r="AV130" s="126"/>
      <c r="AW130" s="94"/>
      <c r="AX130" s="94"/>
      <c r="AY130" s="127"/>
      <c r="AZ130" s="127"/>
      <c r="BA130" s="96"/>
      <c r="BB130" s="94"/>
      <c r="BC130" s="127"/>
      <c r="BD130" s="126"/>
      <c r="BE130" s="94"/>
      <c r="BF130" s="96"/>
      <c r="BG130" s="128"/>
      <c r="BH130" s="127"/>
      <c r="BI130" s="96"/>
      <c r="BK130" s="128"/>
      <c r="BL130" s="127"/>
      <c r="BM130" s="96"/>
      <c r="BN130" s="96"/>
      <c r="BO130" s="128"/>
      <c r="BP130" s="128"/>
      <c r="BS130" s="127"/>
      <c r="BT130" s="128"/>
      <c r="BW130" s="127"/>
      <c r="BX130" s="127"/>
      <c r="BY130" s="96"/>
      <c r="CA130" s="128"/>
      <c r="CB130" s="127"/>
      <c r="CC130" s="96"/>
      <c r="CE130" s="127"/>
      <c r="CF130" s="128"/>
      <c r="CH130" s="96"/>
      <c r="CI130" s="128"/>
      <c r="CJ130" s="128"/>
      <c r="CL130" s="96"/>
      <c r="CM130" s="127"/>
      <c r="CN130" s="128"/>
      <c r="CQ130" s="127"/>
      <c r="CR130" s="127"/>
      <c r="CS130" s="96"/>
      <c r="CU130" s="127"/>
      <c r="CV130" s="128"/>
      <c r="CY130" s="127"/>
      <c r="CZ130" s="127"/>
      <c r="DC130" s="96"/>
      <c r="DG130" s="96"/>
      <c r="DJ130" s="96"/>
      <c r="DM130" s="96"/>
      <c r="DQ130" s="96"/>
      <c r="DT130" s="96"/>
    </row>
    <row r="131" spans="1:124" s="95" customFormat="1" x14ac:dyDescent="0.3">
      <c r="A131" s="155" t="s">
        <v>30</v>
      </c>
      <c r="B131" s="94">
        <v>1</v>
      </c>
      <c r="C131" s="96" t="s">
        <v>25</v>
      </c>
      <c r="D131" s="98">
        <v>1</v>
      </c>
      <c r="E131" s="96" t="s">
        <v>40</v>
      </c>
      <c r="F131" s="97">
        <f>F132</f>
        <v>3.0446428571428572</v>
      </c>
      <c r="G131" s="96" t="s">
        <v>101</v>
      </c>
      <c r="I131" s="96"/>
      <c r="J131" s="96"/>
      <c r="K131" s="96"/>
      <c r="L131" s="96"/>
      <c r="Q131" s="127"/>
      <c r="R131" s="127"/>
      <c r="S131" s="96"/>
      <c r="T131" s="127"/>
      <c r="U131" s="128"/>
      <c r="V131" s="110"/>
      <c r="W131" s="110"/>
      <c r="X131" s="96"/>
      <c r="Y131" s="96"/>
      <c r="Z131" s="96"/>
      <c r="AA131" s="128"/>
      <c r="AB131" s="128"/>
      <c r="AC131" s="110"/>
      <c r="AD131" s="102"/>
      <c r="AE131" s="131"/>
      <c r="AF131" s="127"/>
      <c r="AG131" s="96"/>
      <c r="AH131" s="96"/>
      <c r="AI131" s="102"/>
      <c r="AJ131" s="111"/>
      <c r="AK131" s="111"/>
      <c r="AL131" s="96"/>
      <c r="AM131" s="127"/>
      <c r="AN131" s="126"/>
      <c r="AO131" s="111"/>
      <c r="AP131" s="96"/>
      <c r="AQ131" s="126"/>
      <c r="AR131" s="127"/>
      <c r="AS131" s="96"/>
      <c r="AT131" s="96"/>
      <c r="AU131" s="131"/>
      <c r="AV131" s="126"/>
      <c r="AW131" s="94"/>
      <c r="AX131" s="94"/>
      <c r="AY131" s="127"/>
      <c r="AZ131" s="127"/>
      <c r="BA131" s="96"/>
      <c r="BB131" s="94"/>
      <c r="BC131" s="127"/>
      <c r="BD131" s="126"/>
      <c r="BE131" s="94"/>
      <c r="BF131" s="96"/>
      <c r="BG131" s="128"/>
      <c r="BH131" s="127"/>
      <c r="BI131" s="96"/>
      <c r="BK131" s="128"/>
      <c r="BL131" s="127"/>
      <c r="BM131" s="96"/>
      <c r="BN131" s="96"/>
      <c r="BO131" s="128"/>
      <c r="BP131" s="128"/>
      <c r="BS131" s="127"/>
      <c r="BT131" s="128"/>
      <c r="BW131" s="127"/>
      <c r="BX131" s="127"/>
      <c r="BY131" s="96"/>
      <c r="CA131" s="128"/>
      <c r="CB131" s="127"/>
      <c r="CC131" s="96"/>
      <c r="CE131" s="127"/>
      <c r="CF131" s="128"/>
      <c r="CH131" s="96"/>
      <c r="CI131" s="128"/>
      <c r="CJ131" s="128"/>
      <c r="CL131" s="96"/>
      <c r="CM131" s="127"/>
      <c r="CN131" s="128"/>
      <c r="CQ131" s="127"/>
      <c r="CR131" s="127"/>
      <c r="CS131" s="96"/>
      <c r="CU131" s="127"/>
      <c r="CV131" s="128"/>
      <c r="CY131" s="127"/>
      <c r="CZ131" s="127"/>
      <c r="DC131" s="96"/>
      <c r="DG131" s="96"/>
      <c r="DJ131" s="96"/>
      <c r="DM131" s="96"/>
      <c r="DQ131" s="96"/>
      <c r="DT131" s="96"/>
    </row>
    <row r="132" spans="1:124" s="95" customFormat="1" x14ac:dyDescent="0.3">
      <c r="A132" s="155"/>
      <c r="B132" s="94">
        <v>1</v>
      </c>
      <c r="C132" s="96" t="s">
        <v>40</v>
      </c>
      <c r="D132" s="98">
        <f>(355+327)/2</f>
        <v>341</v>
      </c>
      <c r="E132" s="96" t="s">
        <v>96</v>
      </c>
      <c r="F132" s="97">
        <f>D132/D96</f>
        <v>3.0446428571428572</v>
      </c>
      <c r="G132" s="96" t="s">
        <v>101</v>
      </c>
      <c r="I132" s="96"/>
      <c r="J132" s="96"/>
      <c r="K132" s="96"/>
      <c r="L132" s="96"/>
      <c r="Q132" s="127"/>
      <c r="R132" s="127"/>
      <c r="S132" s="96"/>
      <c r="T132" s="127"/>
      <c r="U132" s="128"/>
      <c r="V132" s="110"/>
      <c r="W132" s="110"/>
      <c r="X132" s="96"/>
      <c r="Y132" s="96"/>
      <c r="Z132" s="96"/>
      <c r="AA132" s="128"/>
      <c r="AB132" s="128"/>
      <c r="AC132" s="110"/>
      <c r="AD132" s="102"/>
      <c r="AE132" s="131"/>
      <c r="AF132" s="127"/>
      <c r="AG132" s="96"/>
      <c r="AH132" s="96"/>
      <c r="AI132" s="102"/>
      <c r="AJ132" s="111"/>
      <c r="AK132" s="111"/>
      <c r="AL132" s="96"/>
      <c r="AM132" s="127"/>
      <c r="AN132" s="126"/>
      <c r="AO132" s="111"/>
      <c r="AP132" s="96"/>
      <c r="AQ132" s="126"/>
      <c r="AR132" s="127"/>
      <c r="AS132" s="96"/>
      <c r="AT132" s="96"/>
      <c r="AU132" s="131"/>
      <c r="AV132" s="126"/>
      <c r="AW132" s="94"/>
      <c r="AX132" s="94"/>
      <c r="AY132" s="127"/>
      <c r="AZ132" s="127"/>
      <c r="BA132" s="96"/>
      <c r="BB132" s="94"/>
      <c r="BC132" s="127"/>
      <c r="BD132" s="126"/>
      <c r="BE132" s="94"/>
      <c r="BF132" s="96"/>
      <c r="BG132" s="128"/>
      <c r="BH132" s="127"/>
      <c r="BI132" s="96"/>
      <c r="BK132" s="128"/>
      <c r="BL132" s="127"/>
      <c r="BM132" s="96"/>
      <c r="BN132" s="96"/>
      <c r="BO132" s="128"/>
      <c r="BP132" s="128"/>
      <c r="BS132" s="127"/>
      <c r="BT132" s="128"/>
      <c r="BW132" s="127"/>
      <c r="BX132" s="127"/>
      <c r="BY132" s="96"/>
      <c r="CA132" s="128"/>
      <c r="CB132" s="127"/>
      <c r="CC132" s="96"/>
      <c r="CE132" s="127"/>
      <c r="CF132" s="128"/>
      <c r="CH132" s="96"/>
      <c r="CI132" s="128"/>
      <c r="CJ132" s="128"/>
      <c r="CL132" s="96"/>
      <c r="CM132" s="127"/>
      <c r="CN132" s="128"/>
      <c r="CQ132" s="127"/>
      <c r="CR132" s="127"/>
      <c r="CS132" s="96"/>
      <c r="CU132" s="127"/>
      <c r="CV132" s="128"/>
      <c r="CY132" s="127"/>
      <c r="CZ132" s="127"/>
      <c r="DC132" s="96"/>
      <c r="DG132" s="96"/>
      <c r="DJ132" s="96"/>
      <c r="DM132" s="96"/>
      <c r="DQ132" s="96"/>
      <c r="DT132" s="96"/>
    </row>
    <row r="133" spans="1:124" s="95" customFormat="1" x14ac:dyDescent="0.3">
      <c r="A133" s="155" t="s">
        <v>38</v>
      </c>
      <c r="B133" s="94">
        <v>1</v>
      </c>
      <c r="C133" s="99" t="s">
        <v>37</v>
      </c>
      <c r="D133" s="98">
        <v>140.63</v>
      </c>
      <c r="E133" s="96" t="s">
        <v>96</v>
      </c>
      <c r="F133" s="97">
        <f>D133/D96</f>
        <v>1.255625</v>
      </c>
      <c r="G133" s="96" t="s">
        <v>101</v>
      </c>
      <c r="I133" s="96"/>
      <c r="J133" s="96"/>
      <c r="K133" s="96"/>
      <c r="L133" s="96"/>
      <c r="Q133" s="127"/>
      <c r="R133" s="127"/>
      <c r="S133" s="96"/>
      <c r="T133" s="127"/>
      <c r="U133" s="128"/>
      <c r="V133" s="110"/>
      <c r="W133" s="110"/>
      <c r="X133" s="96"/>
      <c r="Y133" s="96"/>
      <c r="Z133" s="96"/>
      <c r="AA133" s="128"/>
      <c r="AB133" s="128"/>
      <c r="AC133" s="110"/>
      <c r="AD133" s="102"/>
      <c r="AE133" s="131"/>
      <c r="AF133" s="127"/>
      <c r="AG133" s="96"/>
      <c r="AH133" s="96"/>
      <c r="AI133" s="102"/>
      <c r="AJ133" s="111"/>
      <c r="AK133" s="111"/>
      <c r="AL133" s="96"/>
      <c r="AM133" s="127"/>
      <c r="AN133" s="126"/>
      <c r="AO133" s="111"/>
      <c r="AP133" s="96"/>
      <c r="AQ133" s="126"/>
      <c r="AR133" s="127"/>
      <c r="AS133" s="96"/>
      <c r="AT133" s="96"/>
      <c r="AU133" s="131"/>
      <c r="AV133" s="126"/>
      <c r="AW133" s="94"/>
      <c r="AX133" s="94"/>
      <c r="AY133" s="127"/>
      <c r="AZ133" s="127"/>
      <c r="BA133" s="96"/>
      <c r="BB133" s="94"/>
      <c r="BC133" s="127"/>
      <c r="BD133" s="126"/>
      <c r="BE133" s="94"/>
      <c r="BF133" s="96"/>
      <c r="BG133" s="128"/>
      <c r="BH133" s="127"/>
      <c r="BI133" s="96"/>
      <c r="BK133" s="128"/>
      <c r="BL133" s="127"/>
      <c r="BM133" s="96"/>
      <c r="BN133" s="96"/>
      <c r="BO133" s="128"/>
      <c r="BP133" s="128"/>
      <c r="BS133" s="127"/>
      <c r="BT133" s="128"/>
      <c r="BW133" s="127"/>
      <c r="BX133" s="127"/>
      <c r="BY133" s="96"/>
      <c r="CA133" s="128"/>
      <c r="CB133" s="127"/>
      <c r="CC133" s="96"/>
      <c r="CE133" s="127"/>
      <c r="CF133" s="128"/>
      <c r="CH133" s="96"/>
      <c r="CI133" s="128"/>
      <c r="CJ133" s="128"/>
      <c r="CL133" s="96"/>
      <c r="CM133" s="127"/>
      <c r="CN133" s="128"/>
      <c r="CQ133" s="127"/>
      <c r="CR133" s="127"/>
      <c r="CS133" s="96"/>
      <c r="CU133" s="127"/>
      <c r="CV133" s="128"/>
      <c r="CY133" s="127"/>
      <c r="CZ133" s="127"/>
      <c r="DC133" s="96"/>
      <c r="DG133" s="96"/>
      <c r="DJ133" s="96"/>
      <c r="DM133" s="96"/>
      <c r="DQ133" s="96"/>
      <c r="DT133" s="96"/>
    </row>
    <row r="134" spans="1:124" s="95" customFormat="1" x14ac:dyDescent="0.3">
      <c r="A134" s="155"/>
      <c r="B134" s="94">
        <v>1</v>
      </c>
      <c r="C134" s="99" t="s">
        <v>119</v>
      </c>
      <c r="D134" s="98">
        <v>0.91576999999999997</v>
      </c>
      <c r="E134" s="96" t="s">
        <v>37</v>
      </c>
      <c r="F134" s="97">
        <f>F133*D134</f>
        <v>1.1498637062499999</v>
      </c>
      <c r="G134" s="96" t="s">
        <v>101</v>
      </c>
      <c r="I134" s="96"/>
      <c r="J134" s="96"/>
      <c r="K134" s="96"/>
      <c r="L134" s="96"/>
      <c r="Q134" s="127"/>
      <c r="R134" s="127"/>
      <c r="S134" s="96"/>
      <c r="T134" s="127"/>
      <c r="U134" s="128"/>
      <c r="V134" s="110"/>
      <c r="W134" s="110"/>
      <c r="X134" s="96"/>
      <c r="Y134" s="96"/>
      <c r="Z134" s="96"/>
      <c r="AA134" s="128"/>
      <c r="AB134" s="128"/>
      <c r="AC134" s="110"/>
      <c r="AD134" s="102"/>
      <c r="AE134" s="131"/>
      <c r="AF134" s="127"/>
      <c r="AG134" s="96"/>
      <c r="AH134" s="96"/>
      <c r="AI134" s="102"/>
      <c r="AJ134" s="111"/>
      <c r="AK134" s="111"/>
      <c r="AL134" s="96"/>
      <c r="AM134" s="127"/>
      <c r="AN134" s="126"/>
      <c r="AO134" s="111"/>
      <c r="AP134" s="96"/>
      <c r="AQ134" s="126"/>
      <c r="AR134" s="127"/>
      <c r="AS134" s="96"/>
      <c r="AT134" s="96"/>
      <c r="AU134" s="131"/>
      <c r="AV134" s="126"/>
      <c r="AW134" s="94"/>
      <c r="AX134" s="94"/>
      <c r="AY134" s="127"/>
      <c r="AZ134" s="127"/>
      <c r="BA134" s="96"/>
      <c r="BB134" s="94"/>
      <c r="BC134" s="127"/>
      <c r="BD134" s="126"/>
      <c r="BE134" s="94"/>
      <c r="BF134" s="96"/>
      <c r="BG134" s="128"/>
      <c r="BH134" s="127"/>
      <c r="BI134" s="96"/>
      <c r="BK134" s="128"/>
      <c r="BL134" s="127"/>
      <c r="BM134" s="96"/>
      <c r="BN134" s="96"/>
      <c r="BO134" s="128"/>
      <c r="BP134" s="128"/>
      <c r="BS134" s="127"/>
      <c r="BT134" s="128"/>
      <c r="BW134" s="127"/>
      <c r="BX134" s="127"/>
      <c r="BY134" s="96"/>
      <c r="CA134" s="128"/>
      <c r="CB134" s="127"/>
      <c r="CC134" s="96"/>
      <c r="CE134" s="127"/>
      <c r="CF134" s="128"/>
      <c r="CH134" s="96"/>
      <c r="CI134" s="128"/>
      <c r="CJ134" s="128"/>
      <c r="CL134" s="96"/>
      <c r="CM134" s="127"/>
      <c r="CN134" s="128"/>
      <c r="CQ134" s="127"/>
      <c r="CR134" s="127"/>
      <c r="CS134" s="96"/>
      <c r="CU134" s="127"/>
      <c r="CV134" s="128"/>
      <c r="CY134" s="127"/>
      <c r="CZ134" s="127"/>
      <c r="DC134" s="96"/>
      <c r="DG134" s="96"/>
      <c r="DJ134" s="96"/>
      <c r="DM134" s="96"/>
      <c r="DQ134" s="96"/>
      <c r="DT134" s="96"/>
    </row>
    <row r="135" spans="1:124" s="95" customFormat="1" x14ac:dyDescent="0.3">
      <c r="A135" s="155" t="s">
        <v>93</v>
      </c>
      <c r="B135" s="94">
        <v>1</v>
      </c>
      <c r="C135" s="99" t="s">
        <v>40</v>
      </c>
      <c r="D135" s="98">
        <v>2.37609</v>
      </c>
      <c r="E135" s="99" t="s">
        <v>107</v>
      </c>
      <c r="F135" s="97">
        <f>D135*D136</f>
        <v>4.1366063637000003</v>
      </c>
      <c r="G135" s="96" t="s">
        <v>101</v>
      </c>
      <c r="I135" s="96"/>
      <c r="J135" s="96"/>
      <c r="K135" s="96"/>
      <c r="L135" s="99"/>
      <c r="Q135" s="127"/>
      <c r="R135" s="127"/>
      <c r="S135" s="96"/>
      <c r="T135" s="129"/>
      <c r="U135" s="128"/>
      <c r="V135" s="110"/>
      <c r="W135" s="110"/>
      <c r="X135" s="96"/>
      <c r="Y135" s="96"/>
      <c r="Z135" s="99"/>
      <c r="AA135" s="128"/>
      <c r="AB135" s="128"/>
      <c r="AC135" s="110"/>
      <c r="AD135" s="102"/>
      <c r="AE135" s="131"/>
      <c r="AF135" s="129"/>
      <c r="AG135" s="99"/>
      <c r="AH135" s="96"/>
      <c r="AI135" s="102"/>
      <c r="AJ135" s="111"/>
      <c r="AK135" s="111"/>
      <c r="AL135" s="99"/>
      <c r="AM135" s="127"/>
      <c r="AN135" s="126"/>
      <c r="AO135" s="111"/>
      <c r="AP135" s="99"/>
      <c r="AQ135" s="126"/>
      <c r="AR135" s="127"/>
      <c r="AS135" s="96"/>
      <c r="AT135" s="99"/>
      <c r="AU135" s="131"/>
      <c r="AV135" s="126"/>
      <c r="AW135" s="94"/>
      <c r="AX135" s="94"/>
      <c r="AY135" s="129"/>
      <c r="AZ135" s="127"/>
      <c r="BA135" s="96"/>
      <c r="BB135" s="94"/>
      <c r="BC135" s="129"/>
      <c r="BD135" s="126"/>
      <c r="BE135" s="94"/>
      <c r="BF135" s="96"/>
      <c r="BG135" s="128"/>
      <c r="BH135" s="129"/>
      <c r="BI135" s="99"/>
      <c r="BK135" s="128"/>
      <c r="BL135" s="127"/>
      <c r="BM135" s="96"/>
      <c r="BN135" s="99"/>
      <c r="BO135" s="128"/>
      <c r="BP135" s="128"/>
      <c r="BS135" s="129"/>
      <c r="BT135" s="128"/>
      <c r="BW135" s="127"/>
      <c r="BX135" s="129"/>
      <c r="BY135" s="99"/>
      <c r="CA135" s="128"/>
      <c r="CB135" s="129"/>
      <c r="CC135" s="99"/>
      <c r="CE135" s="127"/>
      <c r="CF135" s="128"/>
      <c r="CH135" s="99"/>
      <c r="CI135" s="128"/>
      <c r="CJ135" s="128"/>
      <c r="CL135" s="99"/>
      <c r="CM135" s="127"/>
      <c r="CN135" s="128"/>
      <c r="CQ135" s="129"/>
      <c r="CR135" s="127"/>
      <c r="CS135" s="96"/>
      <c r="CU135" s="129"/>
      <c r="CV135" s="128"/>
      <c r="CY135" s="129"/>
      <c r="CZ135" s="127"/>
      <c r="DC135" s="96"/>
      <c r="DG135" s="96"/>
      <c r="DJ135" s="96"/>
      <c r="DM135" s="96"/>
      <c r="DQ135" s="96"/>
      <c r="DT135" s="96"/>
    </row>
    <row r="136" spans="1:124" s="95" customFormat="1" x14ac:dyDescent="0.3">
      <c r="A136" s="155"/>
      <c r="B136" s="94">
        <v>1</v>
      </c>
      <c r="C136" s="99" t="s">
        <v>107</v>
      </c>
      <c r="D136" s="98">
        <v>1.7409300000000001</v>
      </c>
      <c r="E136" s="96" t="s">
        <v>101</v>
      </c>
      <c r="F136" s="97"/>
      <c r="G136" s="96"/>
      <c r="I136" s="96"/>
      <c r="J136" s="96"/>
      <c r="K136" s="96"/>
      <c r="L136" s="96"/>
      <c r="Q136" s="127"/>
      <c r="R136" s="127"/>
      <c r="S136" s="96"/>
      <c r="T136" s="127"/>
      <c r="U136" s="128"/>
      <c r="V136" s="110"/>
      <c r="W136" s="110"/>
      <c r="X136" s="96"/>
      <c r="Y136" s="96"/>
      <c r="Z136" s="96"/>
      <c r="AA136" s="128"/>
      <c r="AB136" s="128"/>
      <c r="AC136" s="110"/>
      <c r="AD136" s="102"/>
      <c r="AE136" s="131"/>
      <c r="AF136" s="127"/>
      <c r="AG136" s="96"/>
      <c r="AH136" s="96"/>
      <c r="AI136" s="102"/>
      <c r="AJ136" s="111"/>
      <c r="AK136" s="111"/>
      <c r="AL136" s="96"/>
      <c r="AM136" s="127"/>
      <c r="AN136" s="126"/>
      <c r="AO136" s="111"/>
      <c r="AP136" s="96"/>
      <c r="AQ136" s="126"/>
      <c r="AR136" s="127"/>
      <c r="AS136" s="96"/>
      <c r="AT136" s="96"/>
      <c r="AU136" s="131"/>
      <c r="AV136" s="126"/>
      <c r="AW136" s="94"/>
      <c r="AX136" s="94"/>
      <c r="AY136" s="127"/>
      <c r="AZ136" s="127"/>
      <c r="BA136" s="96"/>
      <c r="BB136" s="94"/>
      <c r="BC136" s="127"/>
      <c r="BD136" s="126"/>
      <c r="BE136" s="94"/>
      <c r="BF136" s="96"/>
      <c r="BG136" s="128"/>
      <c r="BH136" s="127"/>
      <c r="BI136" s="96"/>
      <c r="BK136" s="128"/>
      <c r="BL136" s="127"/>
      <c r="BM136" s="96"/>
      <c r="BN136" s="96"/>
      <c r="BO136" s="128"/>
      <c r="BP136" s="128"/>
      <c r="BS136" s="127"/>
      <c r="BT136" s="128"/>
      <c r="BW136" s="127"/>
      <c r="BX136" s="127"/>
      <c r="BY136" s="96"/>
      <c r="CA136" s="128"/>
      <c r="CB136" s="127"/>
      <c r="CC136" s="96"/>
      <c r="CE136" s="127"/>
      <c r="CF136" s="128"/>
      <c r="CH136" s="96"/>
      <c r="CI136" s="128"/>
      <c r="CJ136" s="128"/>
      <c r="CL136" s="96"/>
      <c r="CM136" s="127"/>
      <c r="CN136" s="128"/>
      <c r="CQ136" s="127"/>
      <c r="CR136" s="127"/>
      <c r="CS136" s="96"/>
      <c r="CU136" s="127"/>
      <c r="CV136" s="128"/>
      <c r="CY136" s="127"/>
      <c r="CZ136" s="127"/>
      <c r="DC136" s="96"/>
      <c r="DG136" s="96"/>
      <c r="DJ136" s="96"/>
      <c r="DM136" s="96"/>
      <c r="DQ136" s="96"/>
      <c r="DT136" s="96"/>
    </row>
    <row r="137" spans="1:124" s="95" customFormat="1" x14ac:dyDescent="0.3">
      <c r="A137" s="155" t="s">
        <v>120</v>
      </c>
      <c r="B137" s="94">
        <v>1</v>
      </c>
      <c r="C137" s="99" t="s">
        <v>40</v>
      </c>
      <c r="D137" s="98">
        <v>242</v>
      </c>
      <c r="E137" s="96" t="s">
        <v>96</v>
      </c>
      <c r="F137" s="97">
        <f>D137/D96</f>
        <v>2.1607142857142856</v>
      </c>
      <c r="G137" s="96" t="s">
        <v>101</v>
      </c>
      <c r="I137" s="96"/>
      <c r="J137" s="96"/>
      <c r="K137" s="96"/>
      <c r="L137" s="96"/>
      <c r="Q137" s="127"/>
      <c r="R137" s="127"/>
      <c r="S137" s="96"/>
      <c r="T137" s="127"/>
      <c r="U137" s="128"/>
      <c r="V137" s="110"/>
      <c r="W137" s="110"/>
      <c r="X137" s="96"/>
      <c r="Y137" s="96"/>
      <c r="Z137" s="96"/>
      <c r="AA137" s="128"/>
      <c r="AB137" s="128"/>
      <c r="AC137" s="110"/>
      <c r="AD137" s="102"/>
      <c r="AE137" s="131"/>
      <c r="AF137" s="127"/>
      <c r="AG137" s="96"/>
      <c r="AH137" s="96"/>
      <c r="AI137" s="102"/>
      <c r="AJ137" s="111"/>
      <c r="AK137" s="111"/>
      <c r="AL137" s="96"/>
      <c r="AM137" s="127"/>
      <c r="AN137" s="126"/>
      <c r="AO137" s="111"/>
      <c r="AP137" s="96"/>
      <c r="AQ137" s="126"/>
      <c r="AR137" s="127"/>
      <c r="AS137" s="96"/>
      <c r="AT137" s="96"/>
      <c r="AU137" s="131"/>
      <c r="AV137" s="126"/>
      <c r="AW137" s="94"/>
      <c r="AX137" s="94"/>
      <c r="AY137" s="127"/>
      <c r="AZ137" s="127"/>
      <c r="BA137" s="96"/>
      <c r="BB137" s="94"/>
      <c r="BC137" s="127"/>
      <c r="BD137" s="126"/>
      <c r="BE137" s="94"/>
      <c r="BF137" s="96"/>
      <c r="BG137" s="128"/>
      <c r="BH137" s="127"/>
      <c r="BI137" s="96"/>
      <c r="BK137" s="128"/>
      <c r="BL137" s="127"/>
      <c r="BM137" s="96"/>
      <c r="BN137" s="96"/>
      <c r="BO137" s="128"/>
      <c r="BP137" s="128"/>
      <c r="BS137" s="127"/>
      <c r="BT137" s="128"/>
      <c r="BW137" s="127"/>
      <c r="BX137" s="127"/>
      <c r="BY137" s="96"/>
      <c r="CA137" s="128"/>
      <c r="CB137" s="127"/>
      <c r="CC137" s="96"/>
      <c r="CE137" s="127"/>
      <c r="CF137" s="128"/>
      <c r="CH137" s="96"/>
      <c r="CI137" s="128"/>
      <c r="CJ137" s="128"/>
      <c r="CL137" s="96"/>
      <c r="CM137" s="127"/>
      <c r="CN137" s="128"/>
      <c r="CQ137" s="127"/>
      <c r="CR137" s="127"/>
      <c r="CS137" s="96"/>
      <c r="CU137" s="127"/>
      <c r="CV137" s="128"/>
      <c r="CY137" s="127"/>
      <c r="CZ137" s="127"/>
      <c r="DC137" s="96"/>
      <c r="DG137" s="96"/>
      <c r="DJ137" s="96"/>
      <c r="DM137" s="96"/>
      <c r="DQ137" s="96"/>
      <c r="DT137" s="96"/>
    </row>
    <row r="138" spans="1:124" s="95" customFormat="1" x14ac:dyDescent="0.3">
      <c r="A138" s="155"/>
      <c r="B138" s="94">
        <v>1</v>
      </c>
      <c r="C138" s="99" t="s">
        <v>37</v>
      </c>
      <c r="D138" s="97">
        <f>F140/D139</f>
        <v>4.400227973715972</v>
      </c>
      <c r="E138" s="96" t="s">
        <v>101</v>
      </c>
      <c r="F138" s="97">
        <f>D138/D88</f>
        <v>0.22001139868579861</v>
      </c>
      <c r="G138" s="96" t="s">
        <v>28</v>
      </c>
      <c r="I138" s="96"/>
      <c r="J138" s="96"/>
      <c r="K138" s="96"/>
      <c r="L138" s="96"/>
      <c r="Q138" s="127"/>
      <c r="R138" s="127"/>
      <c r="S138" s="96"/>
      <c r="T138" s="127"/>
      <c r="U138" s="128"/>
      <c r="V138" s="110"/>
      <c r="W138" s="110"/>
      <c r="X138" s="96"/>
      <c r="Y138" s="96"/>
      <c r="Z138" s="96"/>
      <c r="AA138" s="128"/>
      <c r="AB138" s="128"/>
      <c r="AC138" s="110"/>
      <c r="AD138" s="102"/>
      <c r="AE138" s="131"/>
      <c r="AF138" s="127"/>
      <c r="AG138" s="96"/>
      <c r="AH138" s="96"/>
      <c r="AI138" s="102"/>
      <c r="AJ138" s="111"/>
      <c r="AK138" s="111"/>
      <c r="AL138" s="96"/>
      <c r="AM138" s="127"/>
      <c r="AN138" s="126"/>
      <c r="AO138" s="111"/>
      <c r="AP138" s="96"/>
      <c r="AQ138" s="126"/>
      <c r="AR138" s="127"/>
      <c r="AS138" s="96"/>
      <c r="AT138" s="96"/>
      <c r="AU138" s="131"/>
      <c r="AV138" s="126"/>
      <c r="AW138" s="94"/>
      <c r="AX138" s="94"/>
      <c r="AY138" s="127"/>
      <c r="AZ138" s="127"/>
      <c r="BA138" s="96"/>
      <c r="BB138" s="94"/>
      <c r="BC138" s="127"/>
      <c r="BD138" s="126"/>
      <c r="BE138" s="94"/>
      <c r="BF138" s="96"/>
      <c r="BG138" s="128"/>
      <c r="BH138" s="127"/>
      <c r="BI138" s="96"/>
      <c r="BK138" s="128"/>
      <c r="BL138" s="127"/>
      <c r="BM138" s="96"/>
      <c r="BN138" s="96"/>
      <c r="BO138" s="128"/>
      <c r="BP138" s="128"/>
      <c r="BS138" s="127"/>
      <c r="BT138" s="128"/>
      <c r="BW138" s="127"/>
      <c r="BX138" s="127"/>
      <c r="BY138" s="96"/>
      <c r="CA138" s="128"/>
      <c r="CB138" s="127"/>
      <c r="CC138" s="96"/>
      <c r="CE138" s="127"/>
      <c r="CF138" s="128"/>
      <c r="CH138" s="96"/>
      <c r="CI138" s="128"/>
      <c r="CJ138" s="128"/>
      <c r="CL138" s="96"/>
      <c r="CM138" s="127"/>
      <c r="CN138" s="128"/>
      <c r="CQ138" s="127"/>
      <c r="CR138" s="127"/>
      <c r="CS138" s="96"/>
      <c r="CU138" s="127"/>
      <c r="CV138" s="128"/>
      <c r="CY138" s="127"/>
      <c r="CZ138" s="127"/>
      <c r="DC138" s="96"/>
      <c r="DG138" s="96"/>
      <c r="DJ138" s="96"/>
      <c r="DM138" s="96"/>
      <c r="DQ138" s="96"/>
      <c r="DT138" s="96"/>
    </row>
    <row r="139" spans="1:124" s="95" customFormat="1" x14ac:dyDescent="0.3">
      <c r="A139" s="155"/>
      <c r="B139" s="94">
        <v>1</v>
      </c>
      <c r="C139" s="99" t="s">
        <v>121</v>
      </c>
      <c r="D139" s="98">
        <v>0.59655999999999998</v>
      </c>
      <c r="E139" s="96" t="s">
        <v>37</v>
      </c>
      <c r="I139" s="96"/>
      <c r="J139" s="96"/>
      <c r="K139" s="96"/>
      <c r="L139" s="96"/>
      <c r="Q139" s="127"/>
      <c r="R139" s="127"/>
      <c r="S139" s="96"/>
      <c r="T139" s="127"/>
      <c r="U139" s="128"/>
      <c r="V139" s="110"/>
      <c r="W139" s="110"/>
      <c r="X139" s="96"/>
      <c r="Y139" s="96"/>
      <c r="Z139" s="96"/>
      <c r="AA139" s="128"/>
      <c r="AB139" s="128"/>
      <c r="AC139" s="110"/>
      <c r="AD139" s="102"/>
      <c r="AE139" s="131"/>
      <c r="AF139" s="127"/>
      <c r="AG139" s="96"/>
      <c r="AH139" s="96"/>
      <c r="AI139" s="102"/>
      <c r="AJ139" s="111"/>
      <c r="AK139" s="111"/>
      <c r="AL139" s="96"/>
      <c r="AM139" s="127"/>
      <c r="AN139" s="126"/>
      <c r="AO139" s="111"/>
      <c r="AP139" s="96"/>
      <c r="AQ139" s="126"/>
      <c r="AR139" s="127"/>
      <c r="AS139" s="96"/>
      <c r="AT139" s="96"/>
      <c r="AU139" s="131"/>
      <c r="AV139" s="126"/>
      <c r="AW139" s="94"/>
      <c r="AX139" s="94"/>
      <c r="AY139" s="127"/>
      <c r="AZ139" s="127"/>
      <c r="BA139" s="96"/>
      <c r="BB139" s="94"/>
      <c r="BC139" s="127"/>
      <c r="BD139" s="126"/>
      <c r="BE139" s="94"/>
      <c r="BF139" s="96"/>
      <c r="BG139" s="128"/>
      <c r="BH139" s="127"/>
      <c r="BI139" s="96"/>
      <c r="BK139" s="128"/>
      <c r="BL139" s="127"/>
      <c r="BM139" s="96"/>
      <c r="BN139" s="96"/>
      <c r="BO139" s="128"/>
      <c r="BP139" s="128"/>
      <c r="BS139" s="127"/>
      <c r="BT139" s="128"/>
      <c r="BW139" s="127"/>
      <c r="BX139" s="127"/>
      <c r="BY139" s="96"/>
      <c r="CA139" s="128"/>
      <c r="CB139" s="127"/>
      <c r="CC139" s="96"/>
      <c r="CE139" s="127"/>
      <c r="CF139" s="128"/>
      <c r="CH139" s="96"/>
      <c r="CI139" s="128"/>
      <c r="CJ139" s="128"/>
      <c r="CL139" s="96"/>
      <c r="CM139" s="127"/>
      <c r="CN139" s="128"/>
      <c r="CQ139" s="127"/>
      <c r="CR139" s="127"/>
      <c r="CS139" s="96"/>
      <c r="CU139" s="127"/>
      <c r="CV139" s="128"/>
      <c r="CY139" s="127"/>
      <c r="CZ139" s="127"/>
      <c r="DC139" s="96"/>
      <c r="DG139" s="96"/>
      <c r="DJ139" s="96"/>
      <c r="DM139" s="96"/>
      <c r="DQ139" s="96"/>
      <c r="DT139" s="96"/>
    </row>
    <row r="140" spans="1:124" s="95" customFormat="1" x14ac:dyDescent="0.3">
      <c r="A140" s="94" t="s">
        <v>90</v>
      </c>
      <c r="B140" s="94">
        <v>1</v>
      </c>
      <c r="C140" s="99" t="s">
        <v>121</v>
      </c>
      <c r="D140" s="98">
        <v>294</v>
      </c>
      <c r="E140" s="96" t="s">
        <v>96</v>
      </c>
      <c r="F140" s="97">
        <f>D140/D96</f>
        <v>2.625</v>
      </c>
      <c r="G140" s="96" t="s">
        <v>101</v>
      </c>
      <c r="H140" s="95">
        <f>F140/D88</f>
        <v>0.13125000000000001</v>
      </c>
      <c r="I140" s="96" t="s">
        <v>28</v>
      </c>
      <c r="J140" s="96"/>
      <c r="K140" s="96"/>
      <c r="L140" s="96"/>
      <c r="Q140" s="127"/>
      <c r="R140" s="127"/>
      <c r="S140" s="96"/>
      <c r="T140" s="127"/>
      <c r="U140" s="128"/>
      <c r="V140" s="110"/>
      <c r="W140" s="110"/>
      <c r="X140" s="96"/>
      <c r="Y140" s="96"/>
      <c r="Z140" s="96"/>
      <c r="AA140" s="128"/>
      <c r="AB140" s="128"/>
      <c r="AC140" s="110"/>
      <c r="AD140" s="102"/>
      <c r="AE140" s="131"/>
      <c r="AF140" s="127"/>
      <c r="AG140" s="96"/>
      <c r="AH140" s="96"/>
      <c r="AI140" s="102"/>
      <c r="AJ140" s="111"/>
      <c r="AK140" s="111"/>
      <c r="AL140" s="96"/>
      <c r="AM140" s="127"/>
      <c r="AN140" s="126"/>
      <c r="AO140" s="111"/>
      <c r="AP140" s="96"/>
      <c r="AQ140" s="126"/>
      <c r="AR140" s="127"/>
      <c r="AS140" s="96"/>
      <c r="AT140" s="96"/>
      <c r="AU140" s="131"/>
      <c r="AV140" s="126"/>
      <c r="AW140" s="94"/>
      <c r="AX140" s="94"/>
      <c r="AY140" s="127"/>
      <c r="AZ140" s="127"/>
      <c r="BA140" s="96"/>
      <c r="BB140" s="94"/>
      <c r="BC140" s="127"/>
      <c r="BD140" s="126"/>
      <c r="BE140" s="94"/>
      <c r="BF140" s="96"/>
      <c r="BG140" s="128"/>
      <c r="BH140" s="127"/>
      <c r="BI140" s="96"/>
      <c r="BK140" s="128"/>
      <c r="BL140" s="127"/>
      <c r="BM140" s="96"/>
      <c r="BN140" s="96"/>
      <c r="BO140" s="128"/>
      <c r="BP140" s="128"/>
      <c r="BS140" s="127"/>
      <c r="BT140" s="128"/>
      <c r="BW140" s="127"/>
      <c r="BX140" s="127"/>
      <c r="BY140" s="96"/>
      <c r="CA140" s="128"/>
      <c r="CB140" s="127"/>
      <c r="CC140" s="96"/>
      <c r="CE140" s="127"/>
      <c r="CF140" s="128"/>
      <c r="CH140" s="96"/>
      <c r="CI140" s="128"/>
      <c r="CJ140" s="128"/>
      <c r="CL140" s="96"/>
      <c r="CM140" s="127"/>
      <c r="CN140" s="128"/>
      <c r="CQ140" s="127"/>
      <c r="CR140" s="127"/>
      <c r="CS140" s="96"/>
      <c r="CU140" s="127"/>
      <c r="CV140" s="128"/>
      <c r="CY140" s="127"/>
      <c r="CZ140" s="127"/>
      <c r="DC140" s="96"/>
      <c r="DG140" s="96"/>
      <c r="DJ140" s="96"/>
      <c r="DM140" s="96"/>
      <c r="DQ140" s="96"/>
      <c r="DT140" s="96"/>
    </row>
    <row r="141" spans="1:124" s="95" customFormat="1" x14ac:dyDescent="0.3">
      <c r="A141" s="94" t="s">
        <v>21</v>
      </c>
      <c r="B141" s="94">
        <v>1</v>
      </c>
      <c r="C141" s="99" t="s">
        <v>37</v>
      </c>
      <c r="D141" s="97">
        <v>0.88400000000000001</v>
      </c>
      <c r="E141" s="96" t="s">
        <v>101</v>
      </c>
      <c r="I141" s="96"/>
      <c r="J141" s="96"/>
      <c r="K141" s="96"/>
      <c r="L141" s="96"/>
      <c r="Q141" s="127"/>
      <c r="R141" s="127"/>
      <c r="S141" s="96"/>
      <c r="T141" s="127"/>
      <c r="U141" s="128"/>
      <c r="V141" s="110"/>
      <c r="W141" s="110"/>
      <c r="X141" s="96"/>
      <c r="Y141" s="96"/>
      <c r="Z141" s="96"/>
      <c r="AA141" s="128"/>
      <c r="AB141" s="128"/>
      <c r="AC141" s="110"/>
      <c r="AD141" s="102"/>
      <c r="AE141" s="131"/>
      <c r="AF141" s="127"/>
      <c r="AG141" s="96"/>
      <c r="AH141" s="96"/>
      <c r="AI141" s="102"/>
      <c r="AJ141" s="111"/>
      <c r="AK141" s="111"/>
      <c r="AL141" s="96"/>
      <c r="AM141" s="127"/>
      <c r="AN141" s="126"/>
      <c r="AO141" s="111"/>
      <c r="AP141" s="96"/>
      <c r="AQ141" s="126"/>
      <c r="AR141" s="127"/>
      <c r="AS141" s="96"/>
      <c r="AT141" s="96"/>
      <c r="AU141" s="131"/>
      <c r="AV141" s="126"/>
      <c r="AW141" s="94"/>
      <c r="AX141" s="94"/>
      <c r="AY141" s="127"/>
      <c r="AZ141" s="127"/>
      <c r="BA141" s="96"/>
      <c r="BB141" s="94"/>
      <c r="BC141" s="127"/>
      <c r="BD141" s="126"/>
      <c r="BE141" s="94"/>
      <c r="BF141" s="96"/>
      <c r="BG141" s="128"/>
      <c r="BH141" s="127"/>
      <c r="BI141" s="96"/>
      <c r="BK141" s="128"/>
      <c r="BL141" s="127"/>
      <c r="BM141" s="96"/>
      <c r="BN141" s="96"/>
      <c r="BO141" s="128"/>
      <c r="BP141" s="128"/>
      <c r="BS141" s="127"/>
      <c r="BT141" s="128"/>
      <c r="BW141" s="127"/>
      <c r="BX141" s="127"/>
      <c r="BY141" s="96"/>
      <c r="CA141" s="128"/>
      <c r="CB141" s="127"/>
      <c r="CC141" s="96"/>
      <c r="CE141" s="127"/>
      <c r="CF141" s="128"/>
      <c r="CH141" s="96"/>
      <c r="CI141" s="128"/>
      <c r="CJ141" s="128"/>
      <c r="CL141" s="96"/>
      <c r="CM141" s="127"/>
      <c r="CN141" s="128"/>
      <c r="CQ141" s="127"/>
      <c r="CR141" s="127"/>
      <c r="CS141" s="96"/>
      <c r="CU141" s="127"/>
      <c r="CV141" s="128"/>
      <c r="CY141" s="127"/>
      <c r="CZ141" s="127"/>
      <c r="DC141" s="96"/>
      <c r="DG141" s="96"/>
      <c r="DJ141" s="96"/>
      <c r="DM141" s="96"/>
      <c r="DQ141" s="96"/>
      <c r="DT141" s="96"/>
    </row>
    <row r="142" spans="1:124" s="95" customFormat="1" x14ac:dyDescent="0.3">
      <c r="A142" s="94" t="s">
        <v>42</v>
      </c>
      <c r="B142" s="94">
        <v>1</v>
      </c>
      <c r="C142" s="99" t="s">
        <v>107</v>
      </c>
      <c r="D142" s="98">
        <v>149</v>
      </c>
      <c r="E142" s="96" t="s">
        <v>96</v>
      </c>
      <c r="F142" s="97">
        <f>D142/D96</f>
        <v>1.3303571428571428</v>
      </c>
      <c r="G142" s="96" t="s">
        <v>101</v>
      </c>
      <c r="I142" s="96"/>
      <c r="J142" s="96"/>
      <c r="K142" s="96"/>
      <c r="L142" s="96"/>
      <c r="Q142" s="127"/>
      <c r="R142" s="127"/>
      <c r="S142" s="96"/>
      <c r="T142" s="127"/>
      <c r="U142" s="128"/>
      <c r="V142" s="110"/>
      <c r="W142" s="110"/>
      <c r="X142" s="96"/>
      <c r="Y142" s="96"/>
      <c r="Z142" s="96"/>
      <c r="AA142" s="128"/>
      <c r="AB142" s="128"/>
      <c r="AC142" s="110"/>
      <c r="AD142" s="102"/>
      <c r="AE142" s="131"/>
      <c r="AF142" s="127"/>
      <c r="AG142" s="96"/>
      <c r="AH142" s="96"/>
      <c r="AI142" s="102"/>
      <c r="AJ142" s="111"/>
      <c r="AK142" s="111"/>
      <c r="AL142" s="96"/>
      <c r="AM142" s="127"/>
      <c r="AN142" s="126"/>
      <c r="AO142" s="111"/>
      <c r="AP142" s="96"/>
      <c r="AQ142" s="126"/>
      <c r="AR142" s="127"/>
      <c r="AS142" s="96"/>
      <c r="AT142" s="96"/>
      <c r="AU142" s="131"/>
      <c r="AV142" s="126"/>
      <c r="AW142" s="94"/>
      <c r="AX142" s="94"/>
      <c r="AY142" s="127"/>
      <c r="AZ142" s="127"/>
      <c r="BA142" s="96"/>
      <c r="BB142" s="94"/>
      <c r="BC142" s="127"/>
      <c r="BD142" s="126"/>
      <c r="BE142" s="94"/>
      <c r="BF142" s="96"/>
      <c r="BG142" s="128"/>
      <c r="BH142" s="127"/>
      <c r="BI142" s="96"/>
      <c r="BK142" s="128"/>
      <c r="BL142" s="127"/>
      <c r="BM142" s="96"/>
      <c r="BN142" s="96"/>
      <c r="BO142" s="128"/>
      <c r="BP142" s="128"/>
      <c r="BS142" s="127"/>
      <c r="BT142" s="128"/>
      <c r="BW142" s="127"/>
      <c r="BX142" s="127"/>
      <c r="BY142" s="96"/>
      <c r="CA142" s="128"/>
      <c r="CB142" s="127"/>
      <c r="CC142" s="96"/>
      <c r="CE142" s="127"/>
      <c r="CF142" s="128"/>
      <c r="CH142" s="96"/>
      <c r="CI142" s="128"/>
      <c r="CJ142" s="128"/>
      <c r="CL142" s="96"/>
      <c r="CM142" s="127"/>
      <c r="CN142" s="128"/>
      <c r="CQ142" s="127"/>
      <c r="CR142" s="127"/>
      <c r="CS142" s="96"/>
      <c r="CU142" s="127"/>
      <c r="CV142" s="128"/>
      <c r="CY142" s="127"/>
      <c r="CZ142" s="127"/>
      <c r="DC142" s="96"/>
      <c r="DG142" s="96"/>
      <c r="DJ142" s="96"/>
      <c r="DM142" s="96"/>
      <c r="DQ142" s="96"/>
      <c r="DT142" s="96"/>
    </row>
    <row r="143" spans="1:124" s="95" customFormat="1" x14ac:dyDescent="0.3">
      <c r="A143" s="94" t="s">
        <v>43</v>
      </c>
      <c r="B143" s="94">
        <v>1</v>
      </c>
      <c r="C143" s="99" t="s">
        <v>37</v>
      </c>
      <c r="D143" s="98">
        <v>164</v>
      </c>
      <c r="E143" s="96" t="s">
        <v>96</v>
      </c>
      <c r="F143" s="97">
        <f>D143/D96</f>
        <v>1.4642857142857142</v>
      </c>
      <c r="G143" s="96" t="s">
        <v>101</v>
      </c>
      <c r="I143" s="96"/>
      <c r="J143" s="96"/>
      <c r="K143" s="96"/>
      <c r="L143" s="96"/>
      <c r="Q143" s="127"/>
      <c r="R143" s="127"/>
      <c r="S143" s="96"/>
      <c r="T143" s="127"/>
      <c r="U143" s="128"/>
      <c r="V143" s="110"/>
      <c r="W143" s="110"/>
      <c r="X143" s="96"/>
      <c r="Y143" s="96"/>
      <c r="Z143" s="96"/>
      <c r="AA143" s="128"/>
      <c r="AB143" s="128"/>
      <c r="AC143" s="110"/>
      <c r="AD143" s="102"/>
      <c r="AE143" s="131"/>
      <c r="AF143" s="127"/>
      <c r="AG143" s="96"/>
      <c r="AH143" s="96"/>
      <c r="AI143" s="102"/>
      <c r="AJ143" s="111"/>
      <c r="AK143" s="111"/>
      <c r="AL143" s="96"/>
      <c r="AM143" s="127"/>
      <c r="AN143" s="126"/>
      <c r="AO143" s="111"/>
      <c r="AP143" s="96"/>
      <c r="AQ143" s="126"/>
      <c r="AR143" s="127"/>
      <c r="AS143" s="96"/>
      <c r="AT143" s="96"/>
      <c r="AU143" s="131"/>
      <c r="AV143" s="126"/>
      <c r="AW143" s="94"/>
      <c r="AX143" s="94"/>
      <c r="AY143" s="127"/>
      <c r="AZ143" s="127"/>
      <c r="BA143" s="96"/>
      <c r="BB143" s="94"/>
      <c r="BC143" s="127"/>
      <c r="BD143" s="126"/>
      <c r="BE143" s="94"/>
      <c r="BF143" s="96"/>
      <c r="BG143" s="128"/>
      <c r="BH143" s="127"/>
      <c r="BI143" s="96"/>
      <c r="BK143" s="128"/>
      <c r="BL143" s="127"/>
      <c r="BM143" s="96"/>
      <c r="BN143" s="96"/>
      <c r="BO143" s="128"/>
      <c r="BP143" s="128"/>
      <c r="BS143" s="127"/>
      <c r="BT143" s="128"/>
      <c r="BW143" s="127"/>
      <c r="BX143" s="127"/>
      <c r="BY143" s="96"/>
      <c r="CA143" s="128"/>
      <c r="CB143" s="127"/>
      <c r="CC143" s="96"/>
      <c r="CE143" s="127"/>
      <c r="CF143" s="128"/>
      <c r="CH143" s="96"/>
      <c r="CI143" s="128"/>
      <c r="CJ143" s="128"/>
      <c r="CL143" s="96"/>
      <c r="CM143" s="127"/>
      <c r="CN143" s="128"/>
      <c r="CQ143" s="127"/>
      <c r="CR143" s="127"/>
      <c r="CS143" s="96"/>
      <c r="CU143" s="127"/>
      <c r="CV143" s="128"/>
      <c r="CY143" s="127"/>
      <c r="CZ143" s="127"/>
      <c r="DC143" s="96"/>
      <c r="DG143" s="96"/>
      <c r="DJ143" s="96"/>
      <c r="DM143" s="96"/>
      <c r="DQ143" s="96"/>
      <c r="DT143" s="96"/>
    </row>
    <row r="144" spans="1:124" s="95" customFormat="1" x14ac:dyDescent="0.3">
      <c r="A144" s="155" t="s">
        <v>54</v>
      </c>
      <c r="B144" s="94">
        <v>1</v>
      </c>
      <c r="C144" s="99" t="s">
        <v>121</v>
      </c>
      <c r="D144" s="98">
        <v>2.0271699999999999</v>
      </c>
      <c r="E144" s="96" t="s">
        <v>40</v>
      </c>
      <c r="F144" s="97">
        <f>D145*D144/D96</f>
        <v>6.0815099999999997</v>
      </c>
      <c r="G144" s="96" t="s">
        <v>101</v>
      </c>
      <c r="I144" s="96"/>
      <c r="J144" s="96"/>
      <c r="K144" s="96"/>
      <c r="L144" s="96"/>
      <c r="Q144" s="127"/>
      <c r="R144" s="127"/>
      <c r="S144" s="96"/>
      <c r="T144" s="127"/>
      <c r="U144" s="128"/>
      <c r="V144" s="110"/>
      <c r="W144" s="110"/>
      <c r="X144" s="96"/>
      <c r="Y144" s="96"/>
      <c r="Z144" s="96"/>
      <c r="AA144" s="128"/>
      <c r="AB144" s="128"/>
      <c r="AC144" s="110"/>
      <c r="AD144" s="102"/>
      <c r="AE144" s="131"/>
      <c r="AF144" s="127"/>
      <c r="AG144" s="96"/>
      <c r="AH144" s="96"/>
      <c r="AI144" s="102"/>
      <c r="AJ144" s="111"/>
      <c r="AK144" s="111"/>
      <c r="AL144" s="96"/>
      <c r="AM144" s="127"/>
      <c r="AN144" s="126"/>
      <c r="AO144" s="111"/>
      <c r="AP144" s="96"/>
      <c r="AQ144" s="126"/>
      <c r="AR144" s="127"/>
      <c r="AS144" s="96"/>
      <c r="AT144" s="96"/>
      <c r="AU144" s="131"/>
      <c r="AV144" s="126"/>
      <c r="AW144" s="94"/>
      <c r="AX144" s="94"/>
      <c r="AY144" s="127"/>
      <c r="AZ144" s="127"/>
      <c r="BA144" s="96"/>
      <c r="BB144" s="94"/>
      <c r="BC144" s="127"/>
      <c r="BD144" s="126"/>
      <c r="BE144" s="94"/>
      <c r="BF144" s="96"/>
      <c r="BG144" s="128"/>
      <c r="BH144" s="127"/>
      <c r="BI144" s="96"/>
      <c r="BK144" s="128"/>
      <c r="BL144" s="127"/>
      <c r="BM144" s="96"/>
      <c r="BN144" s="96"/>
      <c r="BO144" s="128"/>
      <c r="BP144" s="128"/>
      <c r="BS144" s="127"/>
      <c r="BT144" s="128"/>
      <c r="BW144" s="127"/>
      <c r="BX144" s="127"/>
      <c r="BY144" s="96"/>
      <c r="CA144" s="128"/>
      <c r="CB144" s="127"/>
      <c r="CC144" s="96"/>
      <c r="CE144" s="127"/>
      <c r="CF144" s="128"/>
      <c r="CH144" s="96"/>
      <c r="CI144" s="128"/>
      <c r="CJ144" s="128"/>
      <c r="CL144" s="96"/>
      <c r="CM144" s="127"/>
      <c r="CN144" s="128"/>
      <c r="CQ144" s="127"/>
      <c r="CR144" s="127"/>
      <c r="CS144" s="96"/>
      <c r="CU144" s="127"/>
      <c r="CV144" s="128"/>
      <c r="CY144" s="127"/>
      <c r="CZ144" s="127"/>
      <c r="DC144" s="96"/>
      <c r="DG144" s="96"/>
      <c r="DJ144" s="96"/>
      <c r="DM144" s="96"/>
      <c r="DQ144" s="96"/>
      <c r="DT144" s="96"/>
    </row>
    <row r="145" spans="1:124" s="95" customFormat="1" x14ac:dyDescent="0.3">
      <c r="A145" s="155"/>
      <c r="B145" s="94">
        <v>1</v>
      </c>
      <c r="C145" s="99" t="s">
        <v>40</v>
      </c>
      <c r="D145" s="98">
        <v>336</v>
      </c>
      <c r="E145" s="96" t="s">
        <v>96</v>
      </c>
      <c r="F145" s="97">
        <f>D145/D96</f>
        <v>3</v>
      </c>
      <c r="G145" s="96" t="s">
        <v>101</v>
      </c>
      <c r="H145" s="97">
        <f>F145/D88</f>
        <v>0.15</v>
      </c>
      <c r="I145" s="96" t="s">
        <v>28</v>
      </c>
      <c r="J145" s="96"/>
      <c r="K145" s="96"/>
      <c r="L145" s="96"/>
      <c r="Q145" s="127"/>
      <c r="R145" s="127"/>
      <c r="S145" s="96"/>
      <c r="T145" s="127"/>
      <c r="U145" s="128"/>
      <c r="V145" s="110"/>
      <c r="W145" s="110"/>
      <c r="X145" s="96"/>
      <c r="Y145" s="96"/>
      <c r="Z145" s="96"/>
      <c r="AA145" s="128"/>
      <c r="AB145" s="128"/>
      <c r="AC145" s="110"/>
      <c r="AD145" s="102"/>
      <c r="AE145" s="131"/>
      <c r="AF145" s="127"/>
      <c r="AG145" s="96"/>
      <c r="AH145" s="96"/>
      <c r="AI145" s="102"/>
      <c r="AJ145" s="111"/>
      <c r="AK145" s="111"/>
      <c r="AL145" s="96"/>
      <c r="AM145" s="127"/>
      <c r="AN145" s="126"/>
      <c r="AO145" s="111"/>
      <c r="AP145" s="96"/>
      <c r="AQ145" s="126"/>
      <c r="AR145" s="127"/>
      <c r="AS145" s="96"/>
      <c r="AT145" s="96"/>
      <c r="AU145" s="131"/>
      <c r="AV145" s="126"/>
      <c r="AW145" s="94"/>
      <c r="AX145" s="94"/>
      <c r="AY145" s="127"/>
      <c r="AZ145" s="127"/>
      <c r="BA145" s="96"/>
      <c r="BB145" s="94"/>
      <c r="BC145" s="127"/>
      <c r="BD145" s="126"/>
      <c r="BE145" s="94"/>
      <c r="BF145" s="96"/>
      <c r="BG145" s="128"/>
      <c r="BH145" s="127"/>
      <c r="BI145" s="96"/>
      <c r="BK145" s="128"/>
      <c r="BL145" s="127"/>
      <c r="BM145" s="96"/>
      <c r="BN145" s="96"/>
      <c r="BO145" s="128"/>
      <c r="BP145" s="128"/>
      <c r="BS145" s="127"/>
      <c r="BT145" s="128"/>
      <c r="BW145" s="127"/>
      <c r="BX145" s="127"/>
      <c r="BY145" s="96"/>
      <c r="CA145" s="128"/>
      <c r="CB145" s="127"/>
      <c r="CC145" s="96"/>
      <c r="CE145" s="127"/>
      <c r="CF145" s="128"/>
      <c r="CH145" s="96"/>
      <c r="CI145" s="128"/>
      <c r="CJ145" s="128"/>
      <c r="CL145" s="96"/>
      <c r="CM145" s="127"/>
      <c r="CN145" s="128"/>
      <c r="CQ145" s="127"/>
      <c r="CR145" s="127"/>
      <c r="CS145" s="96"/>
      <c r="CU145" s="127"/>
      <c r="CV145" s="128"/>
      <c r="CY145" s="127"/>
      <c r="CZ145" s="127"/>
      <c r="DC145" s="96"/>
      <c r="DG145" s="96"/>
      <c r="DJ145" s="96"/>
      <c r="DM145" s="96"/>
      <c r="DQ145" s="96"/>
      <c r="DT145" s="96"/>
    </row>
    <row r="146" spans="1:124" s="95" customFormat="1" x14ac:dyDescent="0.3">
      <c r="A146" s="113" t="s">
        <v>122</v>
      </c>
      <c r="B146" s="94">
        <v>1</v>
      </c>
      <c r="C146" s="99" t="s">
        <v>37</v>
      </c>
      <c r="D146" s="98">
        <v>746.66700000000003</v>
      </c>
      <c r="E146" s="96" t="s">
        <v>96</v>
      </c>
      <c r="F146" s="97">
        <f>D146/D96</f>
        <v>6.6666696428571433</v>
      </c>
      <c r="G146" s="96" t="s">
        <v>101</v>
      </c>
      <c r="H146" s="97">
        <f>F146/D88</f>
        <v>0.33333348214285718</v>
      </c>
      <c r="I146" s="96" t="s">
        <v>28</v>
      </c>
      <c r="J146" s="96"/>
      <c r="K146" s="96"/>
      <c r="L146" s="96"/>
      <c r="Q146" s="127"/>
      <c r="R146" s="127"/>
      <c r="S146" s="96"/>
      <c r="T146" s="127"/>
      <c r="U146" s="128"/>
      <c r="V146" s="110"/>
      <c r="W146" s="110"/>
      <c r="X146" s="96"/>
      <c r="Y146" s="96"/>
      <c r="Z146" s="96"/>
      <c r="AA146" s="128"/>
      <c r="AB146" s="128"/>
      <c r="AC146" s="110"/>
      <c r="AD146" s="102"/>
      <c r="AE146" s="131"/>
      <c r="AF146" s="127"/>
      <c r="AG146" s="96"/>
      <c r="AH146" s="96"/>
      <c r="AI146" s="102"/>
      <c r="AJ146" s="111"/>
      <c r="AK146" s="111"/>
      <c r="AL146" s="96"/>
      <c r="AM146" s="127"/>
      <c r="AN146" s="126"/>
      <c r="AO146" s="111"/>
      <c r="AP146" s="96"/>
      <c r="AQ146" s="126"/>
      <c r="AR146" s="127"/>
      <c r="AS146" s="96"/>
      <c r="AT146" s="96"/>
      <c r="AU146" s="131"/>
      <c r="AV146" s="126"/>
      <c r="AW146" s="94"/>
      <c r="AX146" s="94"/>
      <c r="AY146" s="127"/>
      <c r="AZ146" s="127"/>
      <c r="BA146" s="96"/>
      <c r="BB146" s="94"/>
      <c r="BC146" s="127"/>
      <c r="BD146" s="126"/>
      <c r="BE146" s="94"/>
      <c r="BF146" s="96"/>
      <c r="BG146" s="128"/>
      <c r="BH146" s="127"/>
      <c r="BI146" s="96"/>
      <c r="BK146" s="128"/>
      <c r="BL146" s="127"/>
      <c r="BM146" s="96"/>
      <c r="BN146" s="96"/>
      <c r="BO146" s="128"/>
      <c r="BP146" s="128"/>
      <c r="BS146" s="127"/>
      <c r="BT146" s="128"/>
      <c r="BW146" s="127"/>
      <c r="BX146" s="127"/>
      <c r="BY146" s="96"/>
      <c r="CA146" s="128"/>
      <c r="CB146" s="127"/>
      <c r="CC146" s="96"/>
      <c r="CE146" s="127"/>
      <c r="CF146" s="128"/>
      <c r="CH146" s="96"/>
      <c r="CI146" s="128"/>
      <c r="CJ146" s="128"/>
      <c r="CL146" s="96"/>
      <c r="CM146" s="127"/>
      <c r="CN146" s="128"/>
      <c r="CQ146" s="127"/>
      <c r="CR146" s="127"/>
      <c r="CS146" s="96"/>
      <c r="CU146" s="127"/>
      <c r="CV146" s="128"/>
      <c r="CY146" s="127"/>
      <c r="CZ146" s="127"/>
      <c r="DC146" s="96"/>
      <c r="DG146" s="96"/>
      <c r="DJ146" s="96"/>
      <c r="DM146" s="96"/>
      <c r="DQ146" s="96"/>
      <c r="DT146" s="96"/>
    </row>
    <row r="147" spans="1:124" s="95" customFormat="1" x14ac:dyDescent="0.3">
      <c r="A147" s="155" t="s">
        <v>6</v>
      </c>
      <c r="B147" s="94">
        <v>1</v>
      </c>
      <c r="C147" s="99" t="s">
        <v>119</v>
      </c>
      <c r="D147" s="98">
        <v>260</v>
      </c>
      <c r="E147" s="96" t="s">
        <v>96</v>
      </c>
      <c r="F147" s="97">
        <f>D147/D96</f>
        <v>2.3214285714285716</v>
      </c>
      <c r="G147" s="96" t="s">
        <v>101</v>
      </c>
      <c r="I147" s="96"/>
      <c r="J147" s="96"/>
      <c r="K147" s="96"/>
      <c r="L147" s="96"/>
      <c r="Q147" s="127"/>
      <c r="R147" s="127"/>
      <c r="S147" s="96"/>
      <c r="T147" s="127"/>
      <c r="U147" s="128"/>
      <c r="X147" s="96"/>
      <c r="Y147" s="96"/>
      <c r="Z147" s="96"/>
      <c r="AA147" s="128"/>
      <c r="AB147" s="128"/>
      <c r="AD147" s="102"/>
      <c r="AE147" s="131"/>
      <c r="AF147" s="127"/>
      <c r="AG147" s="96"/>
      <c r="AH147" s="96"/>
      <c r="AI147" s="102"/>
      <c r="AJ147" s="94"/>
      <c r="AK147" s="94"/>
      <c r="AL147" s="96"/>
      <c r="AM147" s="127"/>
      <c r="AN147" s="126"/>
      <c r="AO147" s="94"/>
      <c r="AP147" s="96"/>
      <c r="AQ147" s="126"/>
      <c r="AR147" s="127"/>
      <c r="AS147" s="96"/>
      <c r="AT147" s="96"/>
      <c r="AU147" s="131"/>
      <c r="AV147" s="126"/>
      <c r="AW147" s="94"/>
      <c r="AX147" s="94"/>
      <c r="AY147" s="127"/>
      <c r="AZ147" s="127"/>
      <c r="BA147" s="96"/>
      <c r="BB147" s="94"/>
      <c r="BC147" s="127"/>
      <c r="BD147" s="126"/>
      <c r="BE147" s="94"/>
      <c r="BF147" s="96"/>
      <c r="BG147" s="128"/>
      <c r="BH147" s="127"/>
      <c r="BI147" s="96"/>
      <c r="BK147" s="128"/>
      <c r="BL147" s="127"/>
      <c r="BM147" s="96"/>
      <c r="BN147" s="96"/>
      <c r="BO147" s="128"/>
      <c r="BP147" s="128"/>
      <c r="BS147" s="127"/>
      <c r="BT147" s="128"/>
      <c r="BW147" s="127"/>
      <c r="BX147" s="127"/>
      <c r="BY147" s="96"/>
      <c r="CA147" s="128"/>
      <c r="CB147" s="127"/>
      <c r="CC147" s="96"/>
      <c r="CE147" s="127"/>
      <c r="CF147" s="128"/>
      <c r="CH147" s="96"/>
      <c r="CI147" s="128"/>
      <c r="CJ147" s="128"/>
      <c r="CL147" s="96"/>
      <c r="CM147" s="127"/>
      <c r="CN147" s="128"/>
      <c r="CQ147" s="127"/>
      <c r="CR147" s="127"/>
      <c r="CS147" s="96"/>
      <c r="CU147" s="127"/>
      <c r="CV147" s="128"/>
      <c r="CY147" s="127"/>
      <c r="CZ147" s="127"/>
      <c r="DC147" s="96"/>
      <c r="DG147" s="96"/>
      <c r="DJ147" s="96"/>
      <c r="DM147" s="96"/>
      <c r="DQ147" s="96"/>
      <c r="DT147" s="96"/>
    </row>
    <row r="148" spans="1:124" s="95" customFormat="1" x14ac:dyDescent="0.3">
      <c r="A148" s="155"/>
      <c r="B148" s="94">
        <v>1</v>
      </c>
      <c r="C148" s="99" t="s">
        <v>37</v>
      </c>
      <c r="D148" s="98">
        <v>1.5662799999999999</v>
      </c>
      <c r="E148" s="96" t="s">
        <v>101</v>
      </c>
      <c r="F148" s="97">
        <f>D148/D88</f>
        <v>7.8313999999999995E-2</v>
      </c>
      <c r="G148" s="96" t="s">
        <v>28</v>
      </c>
      <c r="I148" s="96"/>
      <c r="J148" s="96"/>
      <c r="K148" s="96"/>
      <c r="L148" s="96"/>
      <c r="Q148" s="127"/>
      <c r="R148" s="127"/>
      <c r="S148" s="96"/>
      <c r="T148" s="127"/>
      <c r="U148" s="128"/>
      <c r="X148" s="96"/>
      <c r="Y148" s="96"/>
      <c r="Z148" s="96"/>
      <c r="AA148" s="128"/>
      <c r="AB148" s="128"/>
      <c r="AD148" s="102"/>
      <c r="AE148" s="131"/>
      <c r="AF148" s="127"/>
      <c r="AG148" s="96"/>
      <c r="AH148" s="96"/>
      <c r="AI148" s="102"/>
      <c r="AJ148" s="94"/>
      <c r="AK148" s="94"/>
      <c r="AL148" s="96"/>
      <c r="AM148" s="127"/>
      <c r="AN148" s="126"/>
      <c r="AO148" s="94"/>
      <c r="AP148" s="96"/>
      <c r="AQ148" s="126"/>
      <c r="AR148" s="127"/>
      <c r="AS148" s="96"/>
      <c r="AT148" s="96"/>
      <c r="AU148" s="131"/>
      <c r="AV148" s="126"/>
      <c r="AW148" s="94"/>
      <c r="AX148" s="94"/>
      <c r="AY148" s="127"/>
      <c r="AZ148" s="127"/>
      <c r="BA148" s="96"/>
      <c r="BB148" s="94"/>
      <c r="BC148" s="127"/>
      <c r="BD148" s="126"/>
      <c r="BE148" s="94"/>
      <c r="BF148" s="96"/>
      <c r="BG148" s="128"/>
      <c r="BH148" s="127"/>
      <c r="BI148" s="96"/>
      <c r="BK148" s="128"/>
      <c r="BL148" s="127"/>
      <c r="BM148" s="96"/>
      <c r="BN148" s="96"/>
      <c r="BO148" s="128"/>
      <c r="BP148" s="128"/>
      <c r="BS148" s="127"/>
      <c r="BT148" s="128"/>
      <c r="BW148" s="127"/>
      <c r="BX148" s="127"/>
      <c r="BY148" s="96"/>
      <c r="CA148" s="128"/>
      <c r="CB148" s="127"/>
      <c r="CC148" s="96"/>
      <c r="CE148" s="127"/>
      <c r="CF148" s="128"/>
      <c r="CH148" s="96"/>
      <c r="CI148" s="128"/>
      <c r="CJ148" s="128"/>
      <c r="CL148" s="96"/>
      <c r="CM148" s="127"/>
      <c r="CN148" s="128"/>
      <c r="CQ148" s="127"/>
      <c r="CR148" s="127"/>
      <c r="CS148" s="96"/>
      <c r="CU148" s="127"/>
      <c r="CV148" s="128"/>
      <c r="CY148" s="127"/>
      <c r="CZ148" s="127"/>
      <c r="DC148" s="96"/>
      <c r="DG148" s="96"/>
      <c r="DJ148" s="96"/>
      <c r="DM148" s="96"/>
      <c r="DQ148" s="96"/>
      <c r="DT148" s="96"/>
    </row>
    <row r="149" spans="1:124" s="95" customFormat="1" x14ac:dyDescent="0.3">
      <c r="A149" s="155"/>
      <c r="B149" s="94">
        <v>1</v>
      </c>
      <c r="C149" s="99" t="s">
        <v>23</v>
      </c>
      <c r="D149" s="98">
        <v>560</v>
      </c>
      <c r="E149" s="96" t="s">
        <v>96</v>
      </c>
      <c r="F149" s="97">
        <f>D149/D96</f>
        <v>5</v>
      </c>
      <c r="G149" s="96" t="s">
        <v>101</v>
      </c>
      <c r="H149" s="102"/>
      <c r="I149" s="96"/>
      <c r="J149" s="96"/>
      <c r="K149" s="96"/>
      <c r="L149" s="96"/>
      <c r="N149" s="102"/>
      <c r="O149" s="102"/>
      <c r="P149" s="102"/>
      <c r="Q149" s="127"/>
      <c r="R149" s="127"/>
      <c r="S149" s="96"/>
      <c r="T149" s="127"/>
      <c r="U149" s="128"/>
      <c r="X149" s="96"/>
      <c r="Y149" s="96"/>
      <c r="Z149" s="96"/>
      <c r="AA149" s="128"/>
      <c r="AB149" s="128"/>
      <c r="AE149" s="128"/>
      <c r="AF149" s="127"/>
      <c r="AG149" s="96"/>
      <c r="AH149" s="96"/>
      <c r="AL149" s="96"/>
      <c r="AM149" s="127"/>
      <c r="AN149" s="126"/>
      <c r="AO149" s="94"/>
      <c r="AP149" s="96"/>
      <c r="AQ149" s="128"/>
      <c r="AR149" s="127"/>
      <c r="AS149" s="96"/>
      <c r="AT149" s="96"/>
      <c r="AU149" s="128"/>
      <c r="AV149" s="131"/>
      <c r="AW149" s="102"/>
      <c r="AX149" s="102"/>
      <c r="AY149" s="127"/>
      <c r="AZ149" s="127"/>
      <c r="BA149" s="96"/>
      <c r="BC149" s="127"/>
      <c r="BD149" s="128"/>
      <c r="BF149" s="96"/>
      <c r="BG149" s="128"/>
      <c r="BH149" s="127"/>
      <c r="BI149" s="96"/>
      <c r="BK149" s="128"/>
      <c r="BL149" s="127"/>
      <c r="BM149" s="96"/>
      <c r="BN149" s="96"/>
      <c r="BO149" s="128"/>
      <c r="BP149" s="128"/>
      <c r="BS149" s="127"/>
      <c r="BT149" s="128"/>
      <c r="BW149" s="127"/>
      <c r="BX149" s="127"/>
      <c r="BY149" s="96"/>
      <c r="CA149" s="131"/>
      <c r="CB149" s="127"/>
      <c r="CC149" s="96"/>
      <c r="CE149" s="127"/>
      <c r="CF149" s="128"/>
      <c r="CH149" s="96"/>
      <c r="CI149" s="128"/>
      <c r="CJ149" s="128"/>
      <c r="CL149" s="96"/>
      <c r="CM149" s="127"/>
      <c r="CN149" s="128"/>
      <c r="CQ149" s="127"/>
      <c r="CR149" s="127"/>
      <c r="CS149" s="96"/>
      <c r="CU149" s="127"/>
      <c r="CV149" s="128"/>
      <c r="CY149" s="127"/>
      <c r="CZ149" s="127"/>
      <c r="DC149" s="96"/>
      <c r="DG149" s="96"/>
      <c r="DJ149" s="96"/>
      <c r="DM149" s="96"/>
      <c r="DQ149" s="96"/>
      <c r="DT149" s="96"/>
    </row>
    <row r="150" spans="1:124" s="94" customFormat="1" x14ac:dyDescent="0.3">
      <c r="A150" s="155" t="s">
        <v>82</v>
      </c>
      <c r="B150" s="94">
        <v>1</v>
      </c>
      <c r="C150" s="96" t="s">
        <v>40</v>
      </c>
      <c r="D150" s="114">
        <v>80</v>
      </c>
      <c r="E150" s="96" t="s">
        <v>96</v>
      </c>
      <c r="F150" s="115">
        <f>D150/D151</f>
        <v>0.7142857142857143</v>
      </c>
      <c r="G150" s="96" t="s">
        <v>101</v>
      </c>
      <c r="H150" s="114"/>
      <c r="I150" s="96"/>
      <c r="J150" s="96"/>
      <c r="K150" s="96"/>
      <c r="L150" s="96"/>
      <c r="M150" s="114"/>
      <c r="N150" s="114"/>
      <c r="O150" s="114"/>
      <c r="P150" s="114"/>
      <c r="Q150" s="127"/>
      <c r="R150" s="127"/>
      <c r="S150" s="96"/>
      <c r="T150" s="127"/>
      <c r="U150" s="126"/>
      <c r="V150" s="114"/>
      <c r="X150" s="96"/>
      <c r="Y150" s="96"/>
      <c r="Z150" s="96"/>
      <c r="AA150" s="126"/>
      <c r="AB150" s="126"/>
      <c r="AE150" s="126"/>
      <c r="AF150" s="127"/>
      <c r="AG150" s="96"/>
      <c r="AH150" s="96"/>
      <c r="AL150" s="96"/>
      <c r="AM150" s="127"/>
      <c r="AN150" s="126"/>
      <c r="AP150" s="96"/>
      <c r="AQ150" s="126"/>
      <c r="AR150" s="127"/>
      <c r="AS150" s="96"/>
      <c r="AT150" s="96"/>
      <c r="AU150" s="126"/>
      <c r="AV150" s="126"/>
      <c r="AY150" s="127"/>
      <c r="AZ150" s="127"/>
      <c r="BA150" s="96"/>
      <c r="BC150" s="127"/>
      <c r="BD150" s="126"/>
      <c r="BF150" s="96"/>
      <c r="BG150" s="126"/>
      <c r="BH150" s="127"/>
      <c r="BI150" s="96"/>
      <c r="BK150" s="126"/>
      <c r="BL150" s="127"/>
      <c r="BM150" s="96"/>
      <c r="BN150" s="96"/>
      <c r="BO150" s="126"/>
      <c r="BP150" s="126"/>
      <c r="BS150" s="127"/>
      <c r="BT150" s="126"/>
      <c r="BW150" s="127"/>
      <c r="BX150" s="127"/>
      <c r="BY150" s="96"/>
      <c r="CA150" s="126"/>
      <c r="CB150" s="127"/>
      <c r="CC150" s="96"/>
      <c r="CE150" s="127"/>
      <c r="CF150" s="126"/>
      <c r="CH150" s="96"/>
      <c r="CI150" s="126"/>
      <c r="CJ150" s="126"/>
      <c r="CL150" s="96"/>
      <c r="CM150" s="127"/>
      <c r="CN150" s="126"/>
      <c r="CQ150" s="127"/>
      <c r="CR150" s="127"/>
      <c r="CS150" s="96"/>
      <c r="CU150" s="127"/>
      <c r="CV150" s="126"/>
      <c r="CY150" s="127"/>
      <c r="CZ150" s="127"/>
      <c r="DC150" s="96"/>
      <c r="DG150" s="96"/>
      <c r="DJ150" s="96"/>
      <c r="DM150" s="96"/>
      <c r="DQ150" s="96"/>
      <c r="DT150" s="96"/>
    </row>
    <row r="151" spans="1:124" s="94" customFormat="1" x14ac:dyDescent="0.3">
      <c r="A151" s="155"/>
      <c r="B151" s="94">
        <v>1</v>
      </c>
      <c r="C151" s="96" t="s">
        <v>101</v>
      </c>
      <c r="D151" s="114">
        <v>112</v>
      </c>
      <c r="E151" s="96" t="s">
        <v>96</v>
      </c>
      <c r="F151" s="114"/>
      <c r="G151" s="114"/>
      <c r="H151" s="114"/>
      <c r="I151" s="96"/>
      <c r="J151" s="96"/>
      <c r="K151" s="96"/>
      <c r="L151" s="96"/>
      <c r="M151" s="114"/>
      <c r="N151" s="114"/>
      <c r="O151" s="114"/>
      <c r="P151" s="114"/>
      <c r="Q151" s="127"/>
      <c r="R151" s="127"/>
      <c r="S151" s="96"/>
      <c r="T151" s="127"/>
      <c r="U151" s="126"/>
      <c r="V151" s="114"/>
      <c r="X151" s="96"/>
      <c r="Y151" s="96"/>
      <c r="Z151" s="96"/>
      <c r="AA151" s="126"/>
      <c r="AB151" s="126"/>
      <c r="AE151" s="126"/>
      <c r="AF151" s="127"/>
      <c r="AG151" s="96"/>
      <c r="AH151" s="96"/>
      <c r="AL151" s="96"/>
      <c r="AM151" s="127"/>
      <c r="AN151" s="126"/>
      <c r="AP151" s="96"/>
      <c r="AQ151" s="126"/>
      <c r="AR151" s="127"/>
      <c r="AS151" s="96"/>
      <c r="AT151" s="96"/>
      <c r="AU151" s="126"/>
      <c r="AV151" s="126"/>
      <c r="AY151" s="127"/>
      <c r="AZ151" s="127"/>
      <c r="BA151" s="96"/>
      <c r="BC151" s="127"/>
      <c r="BD151" s="126"/>
      <c r="BF151" s="96"/>
      <c r="BG151" s="126"/>
      <c r="BH151" s="127"/>
      <c r="BI151" s="96"/>
      <c r="BK151" s="126"/>
      <c r="BL151" s="127"/>
      <c r="BM151" s="96"/>
      <c r="BN151" s="96"/>
      <c r="BO151" s="126"/>
      <c r="BP151" s="126"/>
      <c r="BS151" s="127"/>
      <c r="BT151" s="126"/>
      <c r="BW151" s="127"/>
      <c r="BX151" s="127"/>
      <c r="BY151" s="96"/>
      <c r="CA151" s="126"/>
      <c r="CB151" s="127"/>
      <c r="CC151" s="96"/>
      <c r="CE151" s="127"/>
      <c r="CF151" s="126"/>
      <c r="CH151" s="96"/>
      <c r="CI151" s="126"/>
      <c r="CJ151" s="126"/>
      <c r="CL151" s="96"/>
      <c r="CM151" s="127"/>
      <c r="CN151" s="126"/>
      <c r="CQ151" s="127"/>
      <c r="CR151" s="127"/>
      <c r="CS151" s="96"/>
      <c r="CU151" s="127"/>
      <c r="CV151" s="126"/>
      <c r="CY151" s="127"/>
      <c r="CZ151" s="127"/>
      <c r="DC151" s="96"/>
      <c r="DG151" s="96"/>
      <c r="DJ151" s="96"/>
      <c r="DM151" s="96"/>
      <c r="DQ151" s="96"/>
      <c r="DT151" s="96"/>
    </row>
    <row r="152" spans="1:124" s="94" customFormat="1" x14ac:dyDescent="0.3">
      <c r="A152" s="113" t="s">
        <v>123</v>
      </c>
      <c r="B152" s="94">
        <v>1</v>
      </c>
      <c r="C152" s="99" t="s">
        <v>40</v>
      </c>
      <c r="D152" s="98">
        <v>336</v>
      </c>
      <c r="E152" s="96" t="s">
        <v>96</v>
      </c>
      <c r="F152" s="97">
        <f>D152/D151</f>
        <v>3</v>
      </c>
      <c r="G152" s="96" t="s">
        <v>101</v>
      </c>
      <c r="H152" s="114"/>
      <c r="I152" s="96"/>
      <c r="J152" s="96"/>
      <c r="K152" s="96"/>
      <c r="L152" s="96"/>
      <c r="M152" s="114"/>
      <c r="N152" s="114"/>
      <c r="O152" s="114"/>
      <c r="P152" s="114"/>
      <c r="Q152" s="127"/>
      <c r="R152" s="127"/>
      <c r="S152" s="96"/>
      <c r="T152" s="127"/>
      <c r="U152" s="126"/>
      <c r="V152" s="114"/>
      <c r="X152" s="96"/>
      <c r="Y152" s="96"/>
      <c r="Z152" s="96"/>
      <c r="AA152" s="126"/>
      <c r="AB152" s="126"/>
      <c r="AE152" s="126"/>
      <c r="AF152" s="127"/>
      <c r="AG152" s="96"/>
      <c r="AH152" s="96"/>
      <c r="AL152" s="96"/>
      <c r="AM152" s="127"/>
      <c r="AN152" s="126"/>
      <c r="AP152" s="96"/>
      <c r="AQ152" s="126"/>
      <c r="AR152" s="127"/>
      <c r="AS152" s="96"/>
      <c r="AT152" s="96"/>
      <c r="AU152" s="126"/>
      <c r="AV152" s="126"/>
      <c r="AY152" s="127"/>
      <c r="AZ152" s="127"/>
      <c r="BA152" s="96"/>
      <c r="BC152" s="127"/>
      <c r="BD152" s="126"/>
      <c r="BF152" s="96"/>
      <c r="BG152" s="126"/>
      <c r="BH152" s="127"/>
      <c r="BI152" s="96"/>
      <c r="BK152" s="126"/>
      <c r="BL152" s="127"/>
      <c r="BM152" s="96"/>
      <c r="BN152" s="96"/>
      <c r="BO152" s="126"/>
      <c r="BP152" s="126"/>
      <c r="BS152" s="127"/>
      <c r="BT152" s="126"/>
      <c r="BW152" s="127"/>
      <c r="BX152" s="127"/>
      <c r="BY152" s="96"/>
      <c r="CA152" s="126"/>
      <c r="CB152" s="127"/>
      <c r="CC152" s="96"/>
      <c r="CE152" s="127"/>
      <c r="CF152" s="126"/>
      <c r="CH152" s="96"/>
      <c r="CI152" s="126"/>
      <c r="CJ152" s="126"/>
      <c r="CL152" s="96"/>
      <c r="CM152" s="127"/>
      <c r="CN152" s="126"/>
      <c r="CQ152" s="127"/>
      <c r="CR152" s="127"/>
      <c r="CS152" s="96"/>
      <c r="CU152" s="127"/>
      <c r="CV152" s="126"/>
      <c r="CY152" s="127"/>
      <c r="CZ152" s="127"/>
      <c r="DC152" s="96"/>
      <c r="DG152" s="96"/>
      <c r="DJ152" s="96"/>
      <c r="DM152" s="96"/>
      <c r="DQ152" s="96"/>
      <c r="DT152" s="96"/>
    </row>
    <row r="153" spans="1:124" s="94" customFormat="1" x14ac:dyDescent="0.3">
      <c r="A153" s="94" t="s">
        <v>361</v>
      </c>
      <c r="B153" s="94">
        <v>1</v>
      </c>
      <c r="C153" s="99" t="s">
        <v>125</v>
      </c>
      <c r="D153" s="98">
        <v>9</v>
      </c>
      <c r="E153" s="96" t="s">
        <v>15</v>
      </c>
      <c r="F153" s="114"/>
      <c r="G153" s="114"/>
      <c r="H153" s="114"/>
      <c r="I153" s="96"/>
      <c r="J153" s="96"/>
      <c r="K153" s="96"/>
      <c r="L153" s="96"/>
      <c r="M153" s="114"/>
      <c r="N153" s="114"/>
      <c r="O153" s="114"/>
      <c r="P153" s="114"/>
      <c r="Q153" s="127"/>
      <c r="R153" s="127"/>
      <c r="S153" s="96"/>
      <c r="T153" s="127"/>
      <c r="U153" s="126"/>
      <c r="V153" s="114"/>
      <c r="X153" s="96"/>
      <c r="Y153" s="96"/>
      <c r="Z153" s="96"/>
      <c r="AA153" s="126"/>
      <c r="AB153" s="126"/>
      <c r="AE153" s="126"/>
      <c r="AF153" s="127"/>
      <c r="AG153" s="96"/>
      <c r="AH153" s="96"/>
      <c r="AL153" s="96"/>
      <c r="AM153" s="127"/>
      <c r="AN153" s="126"/>
      <c r="AP153" s="96"/>
      <c r="AQ153" s="126"/>
      <c r="AR153" s="127"/>
      <c r="AS153" s="96"/>
      <c r="AT153" s="96"/>
      <c r="AU153" s="126"/>
      <c r="AV153" s="126"/>
      <c r="AY153" s="127"/>
      <c r="AZ153" s="127"/>
      <c r="BA153" s="96"/>
      <c r="BC153" s="127"/>
      <c r="BD153" s="126"/>
      <c r="BF153" s="96"/>
      <c r="BG153" s="126"/>
      <c r="BH153" s="127"/>
      <c r="BI153" s="96"/>
      <c r="BK153" s="126"/>
      <c r="BL153" s="127"/>
      <c r="BM153" s="96"/>
      <c r="BN153" s="96"/>
      <c r="BO153" s="126"/>
      <c r="BP153" s="126"/>
      <c r="BS153" s="127"/>
      <c r="BT153" s="126"/>
      <c r="BW153" s="127"/>
      <c r="BX153" s="127"/>
      <c r="BY153" s="96"/>
      <c r="CA153" s="126"/>
      <c r="CB153" s="127"/>
      <c r="CC153" s="96"/>
      <c r="CE153" s="127"/>
      <c r="CF153" s="126"/>
      <c r="CH153" s="96"/>
      <c r="CI153" s="126"/>
      <c r="CJ153" s="126"/>
      <c r="CL153" s="96"/>
      <c r="CM153" s="127"/>
      <c r="CN153" s="126"/>
      <c r="CQ153" s="127"/>
      <c r="CR153" s="127"/>
      <c r="CS153" s="96"/>
      <c r="CU153" s="127"/>
      <c r="CV153" s="126"/>
      <c r="CY153" s="127"/>
      <c r="CZ153" s="127"/>
      <c r="DC153" s="96"/>
      <c r="DG153" s="96"/>
      <c r="DJ153" s="96"/>
      <c r="DM153" s="96"/>
      <c r="DQ153" s="96"/>
      <c r="DT153" s="96"/>
    </row>
    <row r="154" spans="1:124" s="94" customFormat="1" x14ac:dyDescent="0.3">
      <c r="A154" s="94" t="s">
        <v>83</v>
      </c>
      <c r="B154" s="94">
        <v>1</v>
      </c>
      <c r="C154" s="99" t="s">
        <v>37</v>
      </c>
      <c r="D154" s="98">
        <f>756/3720</f>
        <v>0.20322580645161289</v>
      </c>
      <c r="E154" s="96" t="s">
        <v>101</v>
      </c>
      <c r="F154" s="115">
        <f>D154/D88</f>
        <v>1.0161290322580644E-2</v>
      </c>
      <c r="G154" s="116" t="s">
        <v>28</v>
      </c>
      <c r="H154" s="114"/>
      <c r="I154" s="96"/>
      <c r="J154" s="96"/>
      <c r="K154" s="96"/>
      <c r="L154" s="96"/>
      <c r="M154" s="114"/>
      <c r="N154" s="114"/>
      <c r="O154" s="114"/>
      <c r="P154" s="114"/>
      <c r="Q154" s="127"/>
      <c r="R154" s="127"/>
      <c r="S154" s="96"/>
      <c r="T154" s="127"/>
      <c r="U154" s="126"/>
      <c r="V154" s="114"/>
      <c r="X154" s="96"/>
      <c r="Y154" s="96"/>
      <c r="Z154" s="96"/>
      <c r="AA154" s="126"/>
      <c r="AB154" s="126"/>
      <c r="AE154" s="126"/>
      <c r="AF154" s="127"/>
      <c r="AG154" s="96"/>
      <c r="AH154" s="96"/>
      <c r="AL154" s="96"/>
      <c r="AM154" s="127"/>
      <c r="AN154" s="126"/>
      <c r="AP154" s="96"/>
      <c r="AQ154" s="126"/>
      <c r="AR154" s="127"/>
      <c r="AS154" s="96"/>
      <c r="AT154" s="96"/>
      <c r="AU154" s="126"/>
      <c r="AV154" s="126"/>
      <c r="AY154" s="127"/>
      <c r="AZ154" s="127"/>
      <c r="BA154" s="96"/>
      <c r="BC154" s="127"/>
      <c r="BD154" s="126"/>
      <c r="BF154" s="96"/>
      <c r="BG154" s="126"/>
      <c r="BH154" s="127"/>
      <c r="BI154" s="96"/>
      <c r="BK154" s="126"/>
      <c r="BL154" s="127"/>
      <c r="BM154" s="96"/>
      <c r="BN154" s="96"/>
      <c r="BO154" s="126"/>
      <c r="BP154" s="126"/>
      <c r="BS154" s="127"/>
      <c r="BT154" s="126"/>
      <c r="BW154" s="127"/>
      <c r="BX154" s="127"/>
      <c r="BY154" s="96"/>
      <c r="CA154" s="126"/>
      <c r="CB154" s="127"/>
      <c r="CC154" s="96"/>
      <c r="CE154" s="127"/>
      <c r="CF154" s="126"/>
      <c r="CH154" s="96"/>
      <c r="CI154" s="126"/>
      <c r="CJ154" s="126"/>
      <c r="CL154" s="96"/>
      <c r="CM154" s="127"/>
      <c r="CN154" s="126"/>
      <c r="CQ154" s="127"/>
      <c r="CR154" s="127"/>
      <c r="CS154" s="96"/>
      <c r="CU154" s="127"/>
      <c r="CV154" s="126"/>
      <c r="CY154" s="127"/>
      <c r="CZ154" s="127"/>
      <c r="DC154" s="96"/>
      <c r="DG154" s="96"/>
      <c r="DJ154" s="96"/>
      <c r="DM154" s="96"/>
      <c r="DQ154" s="96"/>
      <c r="DT154" s="96"/>
    </row>
    <row r="155" spans="1:124" s="94" customFormat="1" x14ac:dyDescent="0.3">
      <c r="A155" s="94" t="s">
        <v>10</v>
      </c>
      <c r="B155" s="94">
        <v>1</v>
      </c>
      <c r="C155" s="99" t="s">
        <v>107</v>
      </c>
      <c r="D155" s="98">
        <f>600/400</f>
        <v>1.5</v>
      </c>
      <c r="E155" s="96" t="s">
        <v>101</v>
      </c>
      <c r="F155" s="114"/>
      <c r="G155" s="114"/>
      <c r="H155" s="114"/>
      <c r="I155" s="96"/>
      <c r="J155" s="96"/>
      <c r="K155" s="96"/>
      <c r="L155" s="96"/>
      <c r="M155" s="114"/>
      <c r="N155" s="114"/>
      <c r="O155" s="114"/>
      <c r="P155" s="114"/>
      <c r="Q155" s="127"/>
      <c r="R155" s="127"/>
      <c r="S155" s="96"/>
      <c r="T155" s="127"/>
      <c r="U155" s="126"/>
      <c r="V155" s="114"/>
      <c r="X155" s="96"/>
      <c r="Y155" s="96"/>
      <c r="Z155" s="96"/>
      <c r="AA155" s="126"/>
      <c r="AB155" s="126"/>
      <c r="AE155" s="126"/>
      <c r="AF155" s="127"/>
      <c r="AG155" s="96"/>
      <c r="AH155" s="96"/>
      <c r="AL155" s="96"/>
      <c r="AM155" s="127"/>
      <c r="AN155" s="126"/>
      <c r="AP155" s="96"/>
      <c r="AQ155" s="126"/>
      <c r="AR155" s="127"/>
      <c r="AS155" s="96"/>
      <c r="AT155" s="96"/>
      <c r="AU155" s="126"/>
      <c r="AV155" s="126"/>
      <c r="AY155" s="127"/>
      <c r="AZ155" s="127"/>
      <c r="BA155" s="96"/>
      <c r="BC155" s="127"/>
      <c r="BD155" s="126"/>
      <c r="BF155" s="96"/>
      <c r="BG155" s="126"/>
      <c r="BH155" s="127"/>
      <c r="BI155" s="96"/>
      <c r="BK155" s="126"/>
      <c r="BL155" s="127"/>
      <c r="BM155" s="96"/>
      <c r="BN155" s="96"/>
      <c r="BO155" s="126"/>
      <c r="BP155" s="126"/>
      <c r="BS155" s="127"/>
      <c r="BT155" s="126"/>
      <c r="BW155" s="127"/>
      <c r="BX155" s="127"/>
      <c r="BY155" s="96"/>
      <c r="CA155" s="126"/>
      <c r="CB155" s="127"/>
      <c r="CC155" s="96"/>
      <c r="CE155" s="127"/>
      <c r="CF155" s="126"/>
      <c r="CH155" s="96"/>
      <c r="CI155" s="126"/>
      <c r="CJ155" s="126"/>
      <c r="CL155" s="96"/>
      <c r="CM155" s="127"/>
      <c r="CN155" s="126"/>
      <c r="CQ155" s="127"/>
      <c r="CR155" s="127"/>
      <c r="CS155" s="96"/>
      <c r="CU155" s="127"/>
      <c r="CV155" s="126"/>
      <c r="CY155" s="127"/>
      <c r="CZ155" s="127"/>
      <c r="DC155" s="96"/>
      <c r="DG155" s="96"/>
      <c r="DJ155" s="96"/>
      <c r="DM155" s="96"/>
      <c r="DQ155" s="96"/>
      <c r="DT155" s="96"/>
    </row>
    <row r="156" spans="1:124" s="94" customFormat="1" x14ac:dyDescent="0.3">
      <c r="A156" s="94" t="s">
        <v>126</v>
      </c>
      <c r="B156" s="94">
        <v>1</v>
      </c>
      <c r="C156" s="99" t="s">
        <v>40</v>
      </c>
      <c r="D156" s="98">
        <f>600/400</f>
        <v>1.5</v>
      </c>
      <c r="E156" s="96" t="s">
        <v>101</v>
      </c>
      <c r="F156" s="114"/>
      <c r="G156" s="114"/>
      <c r="H156" s="114"/>
      <c r="I156" s="96"/>
      <c r="J156" s="96"/>
      <c r="K156" s="96"/>
      <c r="L156" s="96"/>
      <c r="M156" s="114"/>
      <c r="N156" s="114"/>
      <c r="O156" s="114"/>
      <c r="P156" s="114"/>
      <c r="Q156" s="127"/>
      <c r="R156" s="127"/>
      <c r="S156" s="96"/>
      <c r="T156" s="127"/>
      <c r="U156" s="126"/>
      <c r="V156" s="114"/>
      <c r="X156" s="96"/>
      <c r="Y156" s="96"/>
      <c r="Z156" s="96"/>
      <c r="AA156" s="126"/>
      <c r="AB156" s="126"/>
      <c r="AE156" s="126"/>
      <c r="AF156" s="127"/>
      <c r="AG156" s="96"/>
      <c r="AH156" s="96"/>
      <c r="AL156" s="96"/>
      <c r="AM156" s="127"/>
      <c r="AN156" s="126"/>
      <c r="AP156" s="96"/>
      <c r="AQ156" s="126"/>
      <c r="AR156" s="127"/>
      <c r="AS156" s="96"/>
      <c r="AT156" s="96"/>
      <c r="AU156" s="126"/>
      <c r="AV156" s="126"/>
      <c r="AY156" s="127"/>
      <c r="AZ156" s="127"/>
      <c r="BA156" s="96"/>
      <c r="BC156" s="127"/>
      <c r="BD156" s="126"/>
      <c r="BF156" s="96"/>
      <c r="BG156" s="126"/>
      <c r="BH156" s="127"/>
      <c r="BI156" s="96"/>
      <c r="BK156" s="126"/>
      <c r="BL156" s="127"/>
      <c r="BM156" s="96"/>
      <c r="BN156" s="96"/>
      <c r="BO156" s="126"/>
      <c r="BP156" s="126"/>
      <c r="BS156" s="127"/>
      <c r="BT156" s="126"/>
      <c r="BW156" s="127"/>
      <c r="BX156" s="127"/>
      <c r="BY156" s="96"/>
      <c r="CA156" s="126"/>
      <c r="CB156" s="127"/>
      <c r="CC156" s="96"/>
      <c r="CE156" s="127"/>
      <c r="CF156" s="126"/>
      <c r="CH156" s="96"/>
      <c r="CI156" s="126"/>
      <c r="CJ156" s="126"/>
      <c r="CL156" s="96"/>
      <c r="CM156" s="127"/>
      <c r="CN156" s="126"/>
      <c r="CQ156" s="127"/>
      <c r="CR156" s="127"/>
      <c r="CS156" s="96"/>
      <c r="CU156" s="127"/>
      <c r="CV156" s="126"/>
      <c r="CY156" s="127"/>
      <c r="CZ156" s="127"/>
      <c r="DC156" s="96"/>
      <c r="DG156" s="96"/>
      <c r="DJ156" s="96"/>
      <c r="DM156" s="96"/>
      <c r="DQ156" s="96"/>
      <c r="DT156" s="96"/>
    </row>
    <row r="157" spans="1:124" s="94" customFormat="1" x14ac:dyDescent="0.3">
      <c r="A157" s="94" t="s">
        <v>32</v>
      </c>
      <c r="B157" s="94">
        <v>1</v>
      </c>
      <c r="C157" s="99" t="s">
        <v>37</v>
      </c>
      <c r="D157" s="98">
        <f>3600/2400</f>
        <v>1.5</v>
      </c>
      <c r="E157" s="96" t="s">
        <v>101</v>
      </c>
      <c r="F157" s="115">
        <f>D157/D88</f>
        <v>7.4999999999999997E-2</v>
      </c>
      <c r="G157" s="116" t="s">
        <v>28</v>
      </c>
      <c r="H157" s="114"/>
      <c r="I157" s="96"/>
      <c r="J157" s="96"/>
      <c r="K157" s="96"/>
      <c r="L157" s="96"/>
      <c r="M157" s="114"/>
      <c r="N157" s="114"/>
      <c r="O157" s="114"/>
      <c r="P157" s="114"/>
      <c r="Q157" s="127"/>
      <c r="R157" s="127"/>
      <c r="S157" s="96"/>
      <c r="T157" s="127"/>
      <c r="U157" s="126"/>
      <c r="V157" s="114"/>
      <c r="X157" s="96"/>
      <c r="Y157" s="96"/>
      <c r="Z157" s="96"/>
      <c r="AA157" s="126"/>
      <c r="AB157" s="126"/>
      <c r="AE157" s="126"/>
      <c r="AF157" s="127"/>
      <c r="AG157" s="96"/>
      <c r="AH157" s="96"/>
      <c r="AL157" s="96"/>
      <c r="AM157" s="127"/>
      <c r="AN157" s="126"/>
      <c r="AP157" s="96"/>
      <c r="AQ157" s="126"/>
      <c r="AR157" s="127"/>
      <c r="AS157" s="96"/>
      <c r="AT157" s="96"/>
      <c r="AU157" s="126"/>
      <c r="AV157" s="126"/>
      <c r="AY157" s="127"/>
      <c r="AZ157" s="127"/>
      <c r="BA157" s="96"/>
      <c r="BC157" s="127"/>
      <c r="BD157" s="126"/>
      <c r="BF157" s="96"/>
      <c r="BG157" s="126"/>
      <c r="BH157" s="127"/>
      <c r="BI157" s="96"/>
      <c r="BK157" s="126"/>
      <c r="BL157" s="127"/>
      <c r="BM157" s="96"/>
      <c r="BN157" s="96"/>
      <c r="BO157" s="126"/>
      <c r="BP157" s="126"/>
      <c r="BS157" s="127"/>
      <c r="BT157" s="126"/>
      <c r="BW157" s="127"/>
      <c r="BX157" s="127"/>
      <c r="BY157" s="96"/>
      <c r="CA157" s="126"/>
      <c r="CB157" s="127"/>
      <c r="CC157" s="96"/>
      <c r="CE157" s="127"/>
      <c r="CF157" s="126"/>
      <c r="CH157" s="96"/>
      <c r="CI157" s="126"/>
      <c r="CJ157" s="126"/>
      <c r="CL157" s="96"/>
      <c r="CM157" s="127"/>
      <c r="CN157" s="126"/>
      <c r="CQ157" s="127"/>
      <c r="CR157" s="127"/>
      <c r="CS157" s="96"/>
      <c r="CU157" s="127"/>
      <c r="CV157" s="126"/>
      <c r="CY157" s="127"/>
      <c r="CZ157" s="127"/>
      <c r="DC157" s="96"/>
      <c r="DG157" s="96"/>
      <c r="DJ157" s="96"/>
      <c r="DM157" s="96"/>
      <c r="DQ157" s="96"/>
      <c r="DT157" s="96"/>
    </row>
    <row r="158" spans="1:124" s="95" customFormat="1" x14ac:dyDescent="0.3">
      <c r="A158" s="94" t="s">
        <v>22</v>
      </c>
      <c r="B158" s="94">
        <v>1</v>
      </c>
      <c r="C158" s="99" t="s">
        <v>37</v>
      </c>
      <c r="D158" s="95">
        <v>153.125</v>
      </c>
      <c r="E158" s="96" t="s">
        <v>96</v>
      </c>
      <c r="F158" s="97">
        <f>D158/D96</f>
        <v>1.3671875</v>
      </c>
      <c r="G158" s="96" t="s">
        <v>101</v>
      </c>
      <c r="H158" s="102"/>
      <c r="L158" s="96"/>
      <c r="N158" s="102"/>
      <c r="O158" s="102"/>
      <c r="P158" s="102"/>
      <c r="Q158" s="128"/>
      <c r="R158" s="128"/>
      <c r="T158" s="127"/>
      <c r="U158" s="128"/>
      <c r="Z158" s="96"/>
      <c r="AA158" s="128"/>
      <c r="AB158" s="128"/>
      <c r="AE158" s="128"/>
      <c r="AF158" s="127"/>
      <c r="AG158" s="96"/>
      <c r="AL158" s="96"/>
      <c r="AM158" s="128"/>
      <c r="AN158" s="126"/>
      <c r="AO158" s="94"/>
      <c r="AP158" s="96"/>
      <c r="AQ158" s="128"/>
      <c r="AR158" s="128"/>
      <c r="AT158" s="96"/>
      <c r="AU158" s="128"/>
      <c r="AV158" s="131"/>
      <c r="AW158" s="102"/>
      <c r="AX158" s="102"/>
      <c r="AY158" s="127"/>
      <c r="AZ158" s="128"/>
      <c r="BC158" s="127"/>
      <c r="BD158" s="128"/>
      <c r="BG158" s="128"/>
      <c r="BH158" s="127"/>
      <c r="BI158" s="96"/>
      <c r="BK158" s="128"/>
      <c r="BL158" s="128"/>
      <c r="BN158" s="96"/>
      <c r="BO158" s="128"/>
      <c r="BP158" s="128"/>
      <c r="BS158" s="127"/>
      <c r="BT158" s="128"/>
      <c r="BW158" s="128"/>
      <c r="BX158" s="127"/>
      <c r="BY158" s="96"/>
      <c r="CA158" s="131"/>
      <c r="CB158" s="127"/>
      <c r="CC158" s="96"/>
      <c r="CE158" s="128"/>
      <c r="CF158" s="128"/>
      <c r="CH158" s="96"/>
      <c r="CI158" s="128"/>
      <c r="CJ158" s="128"/>
      <c r="CL158" s="96"/>
      <c r="CM158" s="128"/>
      <c r="CN158" s="128"/>
      <c r="CQ158" s="127"/>
      <c r="CR158" s="128"/>
      <c r="CU158" s="127"/>
      <c r="CV158" s="128"/>
      <c r="CY158" s="127"/>
      <c r="CZ158" s="128"/>
    </row>
    <row r="159" spans="1:124" s="94" customFormat="1" x14ac:dyDescent="0.3">
      <c r="A159" s="155" t="s">
        <v>30</v>
      </c>
      <c r="B159" s="94">
        <v>1</v>
      </c>
      <c r="C159" s="96" t="s">
        <v>25</v>
      </c>
      <c r="D159" s="98">
        <v>1</v>
      </c>
      <c r="E159" s="96" t="s">
        <v>40</v>
      </c>
      <c r="F159" s="97">
        <f>F160</f>
        <v>3.0446428571428572</v>
      </c>
      <c r="G159" s="96" t="s">
        <v>101</v>
      </c>
      <c r="I159" s="95"/>
      <c r="J159" s="95"/>
      <c r="K159" s="95"/>
      <c r="L159" s="96"/>
      <c r="Q159" s="128"/>
      <c r="R159" s="128"/>
      <c r="S159" s="95"/>
      <c r="T159" s="127"/>
      <c r="U159" s="126"/>
      <c r="X159" s="95"/>
      <c r="Y159" s="95"/>
      <c r="Z159" s="96"/>
      <c r="AA159" s="126"/>
      <c r="AB159" s="126"/>
      <c r="AE159" s="126"/>
      <c r="AF159" s="127"/>
      <c r="AG159" s="96"/>
      <c r="AH159" s="95"/>
      <c r="AL159" s="96"/>
      <c r="AM159" s="128"/>
      <c r="AN159" s="126"/>
      <c r="AP159" s="96"/>
      <c r="AQ159" s="126"/>
      <c r="AR159" s="128"/>
      <c r="AS159" s="95"/>
      <c r="AT159" s="96"/>
      <c r="AU159" s="126"/>
      <c r="AV159" s="126"/>
      <c r="AY159" s="127"/>
      <c r="AZ159" s="128"/>
      <c r="BA159" s="95"/>
      <c r="BC159" s="127"/>
      <c r="BD159" s="126"/>
      <c r="BF159" s="95"/>
      <c r="BG159" s="126"/>
      <c r="BH159" s="127"/>
      <c r="BI159" s="96"/>
      <c r="BK159" s="126"/>
      <c r="BL159" s="128"/>
      <c r="BM159" s="95"/>
      <c r="BN159" s="96"/>
      <c r="BO159" s="126"/>
      <c r="BP159" s="126"/>
      <c r="BS159" s="127"/>
      <c r="BT159" s="126"/>
      <c r="BW159" s="128"/>
      <c r="BX159" s="127"/>
      <c r="BY159" s="96"/>
      <c r="CA159" s="126"/>
      <c r="CB159" s="127"/>
      <c r="CC159" s="96"/>
      <c r="CE159" s="128"/>
      <c r="CF159" s="126"/>
      <c r="CH159" s="96"/>
      <c r="CI159" s="126"/>
      <c r="CJ159" s="126"/>
      <c r="CL159" s="96"/>
      <c r="CM159" s="128"/>
      <c r="CN159" s="126"/>
      <c r="CQ159" s="127"/>
      <c r="CR159" s="128"/>
      <c r="CS159" s="95"/>
      <c r="CU159" s="127"/>
      <c r="CV159" s="126"/>
      <c r="CY159" s="127"/>
      <c r="CZ159" s="128"/>
      <c r="DC159" s="95"/>
      <c r="DG159" s="95"/>
      <c r="DJ159" s="95"/>
      <c r="DM159" s="95"/>
      <c r="DQ159" s="95"/>
      <c r="DT159" s="95"/>
    </row>
    <row r="160" spans="1:124" s="94" customFormat="1" x14ac:dyDescent="0.3">
      <c r="A160" s="155"/>
      <c r="B160" s="94">
        <v>1</v>
      </c>
      <c r="C160" s="96" t="s">
        <v>40</v>
      </c>
      <c r="D160" s="98">
        <f>(355+327)/2</f>
        <v>341</v>
      </c>
      <c r="E160" s="96" t="s">
        <v>96</v>
      </c>
      <c r="F160" s="97">
        <f>D160/D96</f>
        <v>3.0446428571428572</v>
      </c>
      <c r="G160" s="96" t="s">
        <v>101</v>
      </c>
      <c r="I160" s="95"/>
      <c r="J160" s="95"/>
      <c r="K160" s="95"/>
      <c r="L160" s="96"/>
      <c r="Q160" s="128"/>
      <c r="R160" s="128"/>
      <c r="S160" s="95"/>
      <c r="T160" s="127"/>
      <c r="U160" s="126"/>
      <c r="X160" s="95"/>
      <c r="Y160" s="95"/>
      <c r="Z160" s="96"/>
      <c r="AA160" s="126"/>
      <c r="AB160" s="126"/>
      <c r="AE160" s="126"/>
      <c r="AF160" s="127"/>
      <c r="AG160" s="96"/>
      <c r="AH160" s="95"/>
      <c r="AL160" s="96"/>
      <c r="AM160" s="128"/>
      <c r="AN160" s="126"/>
      <c r="AP160" s="96"/>
      <c r="AQ160" s="126"/>
      <c r="AR160" s="128"/>
      <c r="AS160" s="95"/>
      <c r="AT160" s="96"/>
      <c r="AU160" s="126"/>
      <c r="AV160" s="126"/>
      <c r="AY160" s="127"/>
      <c r="AZ160" s="128"/>
      <c r="BA160" s="95"/>
      <c r="BC160" s="127"/>
      <c r="BD160" s="126"/>
      <c r="BF160" s="95"/>
      <c r="BG160" s="126"/>
      <c r="BH160" s="127"/>
      <c r="BI160" s="96"/>
      <c r="BK160" s="126"/>
      <c r="BL160" s="128"/>
      <c r="BM160" s="95"/>
      <c r="BN160" s="96"/>
      <c r="BO160" s="126"/>
      <c r="BP160" s="126"/>
      <c r="BS160" s="127"/>
      <c r="BT160" s="126"/>
      <c r="BW160" s="128"/>
      <c r="BX160" s="127"/>
      <c r="BY160" s="96"/>
      <c r="CA160" s="126"/>
      <c r="CB160" s="127"/>
      <c r="CC160" s="96"/>
      <c r="CE160" s="128"/>
      <c r="CF160" s="126"/>
      <c r="CH160" s="96"/>
      <c r="CI160" s="126"/>
      <c r="CJ160" s="126"/>
      <c r="CL160" s="96"/>
      <c r="CM160" s="128"/>
      <c r="CN160" s="126"/>
      <c r="CQ160" s="127"/>
      <c r="CR160" s="128"/>
      <c r="CS160" s="95"/>
      <c r="CU160" s="127"/>
      <c r="CV160" s="126"/>
      <c r="CY160" s="127"/>
      <c r="CZ160" s="128"/>
      <c r="DC160" s="95"/>
      <c r="DG160" s="95"/>
      <c r="DJ160" s="95"/>
      <c r="DM160" s="95"/>
      <c r="DQ160" s="95"/>
      <c r="DT160" s="95"/>
    </row>
    <row r="161" spans="1:124" s="94" customFormat="1" x14ac:dyDescent="0.3">
      <c r="A161" s="155"/>
      <c r="B161" s="94">
        <v>1</v>
      </c>
      <c r="C161" s="99" t="s">
        <v>16</v>
      </c>
      <c r="D161" s="98">
        <f>(2.2+2.5)/2</f>
        <v>2.35</v>
      </c>
      <c r="E161" s="96" t="s">
        <v>96</v>
      </c>
      <c r="F161" s="97">
        <f>D161/D96</f>
        <v>2.0982142857142859E-2</v>
      </c>
      <c r="G161" s="96" t="s">
        <v>101</v>
      </c>
      <c r="I161" s="95"/>
      <c r="J161" s="95"/>
      <c r="K161" s="95"/>
      <c r="L161" s="96"/>
      <c r="Q161" s="128"/>
      <c r="R161" s="128"/>
      <c r="S161" s="95"/>
      <c r="T161" s="127"/>
      <c r="U161" s="126"/>
      <c r="X161" s="95"/>
      <c r="Y161" s="95"/>
      <c r="Z161" s="96"/>
      <c r="AA161" s="126"/>
      <c r="AB161" s="126"/>
      <c r="AE161" s="126"/>
      <c r="AF161" s="127"/>
      <c r="AG161" s="96"/>
      <c r="AH161" s="95"/>
      <c r="AL161" s="96"/>
      <c r="AM161" s="128"/>
      <c r="AN161" s="126"/>
      <c r="AP161" s="96"/>
      <c r="AQ161" s="126"/>
      <c r="AR161" s="128"/>
      <c r="AS161" s="95"/>
      <c r="AT161" s="96"/>
      <c r="AU161" s="126"/>
      <c r="AV161" s="126"/>
      <c r="AY161" s="127"/>
      <c r="AZ161" s="128"/>
      <c r="BA161" s="95"/>
      <c r="BC161" s="127"/>
      <c r="BD161" s="126"/>
      <c r="BF161" s="95"/>
      <c r="BG161" s="126"/>
      <c r="BH161" s="127"/>
      <c r="BI161" s="96"/>
      <c r="BK161" s="126"/>
      <c r="BL161" s="128"/>
      <c r="BM161" s="95"/>
      <c r="BN161" s="96"/>
      <c r="BO161" s="126"/>
      <c r="BP161" s="126"/>
      <c r="BS161" s="127"/>
      <c r="BT161" s="126"/>
      <c r="BW161" s="128"/>
      <c r="BX161" s="127"/>
      <c r="BY161" s="96"/>
      <c r="CA161" s="126"/>
      <c r="CB161" s="127"/>
      <c r="CC161" s="96"/>
      <c r="CE161" s="128"/>
      <c r="CF161" s="126"/>
      <c r="CH161" s="96"/>
      <c r="CI161" s="126"/>
      <c r="CJ161" s="126"/>
      <c r="CL161" s="96"/>
      <c r="CM161" s="128"/>
      <c r="CN161" s="126"/>
      <c r="CQ161" s="127"/>
      <c r="CR161" s="128"/>
      <c r="CS161" s="95"/>
      <c r="CU161" s="127"/>
      <c r="CV161" s="126"/>
      <c r="CY161" s="127"/>
      <c r="CZ161" s="128"/>
      <c r="DC161" s="95"/>
      <c r="DG161" s="95"/>
      <c r="DJ161" s="95"/>
      <c r="DM161" s="95"/>
      <c r="DQ161" s="95"/>
      <c r="DT161" s="95"/>
    </row>
    <row r="162" spans="1:124" s="120" customFormat="1" x14ac:dyDescent="0.3">
      <c r="A162" s="94" t="s">
        <v>92</v>
      </c>
      <c r="B162" s="94">
        <v>1</v>
      </c>
      <c r="C162" s="99" t="s">
        <v>25</v>
      </c>
      <c r="D162" s="98">
        <v>640</v>
      </c>
      <c r="E162" s="96" t="s">
        <v>96</v>
      </c>
      <c r="F162" s="97">
        <f>D162/D96</f>
        <v>5.7142857142857144</v>
      </c>
      <c r="G162" s="96" t="s">
        <v>101</v>
      </c>
      <c r="H162" s="117"/>
      <c r="I162" s="95"/>
      <c r="J162" s="95"/>
      <c r="K162" s="95"/>
      <c r="L162" s="96"/>
      <c r="M162" s="118"/>
      <c r="N162" s="117"/>
      <c r="O162" s="117"/>
      <c r="P162" s="117"/>
      <c r="Q162" s="128"/>
      <c r="R162" s="128"/>
      <c r="S162" s="95"/>
      <c r="T162" s="127"/>
      <c r="U162" s="132"/>
      <c r="V162" s="117"/>
      <c r="W162" s="117"/>
      <c r="X162" s="95"/>
      <c r="Y162" s="95"/>
      <c r="Z162" s="96"/>
      <c r="AA162" s="133"/>
      <c r="AB162" s="132"/>
      <c r="AC162" s="118"/>
      <c r="AD162" s="117"/>
      <c r="AE162" s="133"/>
      <c r="AF162" s="127"/>
      <c r="AG162" s="96"/>
      <c r="AH162" s="95"/>
      <c r="AI162" s="117"/>
      <c r="AJ162" s="117"/>
      <c r="AK162" s="117"/>
      <c r="AL162" s="96"/>
      <c r="AM162" s="128"/>
      <c r="AN162" s="132"/>
      <c r="AO162" s="118"/>
      <c r="AP162" s="96"/>
      <c r="AQ162" s="133"/>
      <c r="AR162" s="128"/>
      <c r="AS162" s="95"/>
      <c r="AT162" s="96"/>
      <c r="AU162" s="133"/>
      <c r="AV162" s="133"/>
      <c r="AW162" s="117"/>
      <c r="AX162" s="119"/>
      <c r="AY162" s="127"/>
      <c r="AZ162" s="128"/>
      <c r="BA162" s="95"/>
      <c r="BB162" s="117"/>
      <c r="BC162" s="127"/>
      <c r="BD162" s="132"/>
      <c r="BE162" s="118"/>
      <c r="BF162" s="95"/>
      <c r="BG162" s="133"/>
      <c r="BH162" s="127"/>
      <c r="BI162" s="96"/>
      <c r="BJ162" s="117"/>
      <c r="BK162" s="133"/>
      <c r="BL162" s="128"/>
      <c r="BM162" s="95"/>
      <c r="BN162" s="96"/>
      <c r="BO162" s="132"/>
      <c r="BP162" s="133"/>
      <c r="BQ162" s="117"/>
      <c r="BR162" s="117"/>
      <c r="BS162" s="127"/>
      <c r="BT162" s="132"/>
      <c r="BU162" s="118"/>
      <c r="BV162" s="117"/>
      <c r="BW162" s="128"/>
      <c r="BX162" s="127"/>
      <c r="BY162" s="96"/>
      <c r="BZ162" s="118"/>
      <c r="CA162" s="133"/>
      <c r="CB162" s="127"/>
      <c r="CC162" s="96"/>
      <c r="CD162" s="118"/>
      <c r="CE162" s="128"/>
      <c r="CF162" s="133"/>
      <c r="CG162" s="117"/>
      <c r="CH162" s="96"/>
      <c r="CI162" s="132"/>
      <c r="CJ162" s="133"/>
      <c r="CK162" s="117"/>
      <c r="CL162" s="96"/>
      <c r="CM162" s="128"/>
      <c r="CN162" s="133"/>
      <c r="CQ162" s="127"/>
      <c r="CR162" s="128"/>
      <c r="CS162" s="95"/>
      <c r="CU162" s="127"/>
      <c r="CV162" s="133"/>
      <c r="CY162" s="127"/>
      <c r="CZ162" s="128"/>
      <c r="DC162" s="95"/>
      <c r="DG162" s="95"/>
      <c r="DJ162" s="95"/>
      <c r="DM162" s="95"/>
      <c r="DQ162" s="95"/>
      <c r="DT162" s="95"/>
    </row>
    <row r="163" spans="1:124" s="120" customFormat="1" x14ac:dyDescent="0.3">
      <c r="A163" s="155" t="s">
        <v>5</v>
      </c>
      <c r="B163" s="94">
        <v>1</v>
      </c>
      <c r="C163" s="99" t="s">
        <v>18</v>
      </c>
      <c r="D163" s="98">
        <v>196</v>
      </c>
      <c r="E163" s="96" t="s">
        <v>96</v>
      </c>
      <c r="F163" s="97">
        <f>D163/D96</f>
        <v>1.75</v>
      </c>
      <c r="G163" s="96" t="s">
        <v>101</v>
      </c>
      <c r="H163" s="117"/>
      <c r="I163" s="95"/>
      <c r="J163" s="95"/>
      <c r="K163" s="95"/>
      <c r="L163" s="96"/>
      <c r="M163" s="117"/>
      <c r="N163" s="119"/>
      <c r="O163" s="119"/>
      <c r="P163" s="117"/>
      <c r="Q163" s="128"/>
      <c r="R163" s="128"/>
      <c r="S163" s="95"/>
      <c r="T163" s="127"/>
      <c r="U163" s="133"/>
      <c r="V163" s="119"/>
      <c r="W163" s="117"/>
      <c r="X163" s="95"/>
      <c r="Y163" s="95"/>
      <c r="Z163" s="96"/>
      <c r="AA163" s="133"/>
      <c r="AB163" s="133"/>
      <c r="AC163" s="117"/>
      <c r="AD163" s="119"/>
      <c r="AE163" s="132"/>
      <c r="AF163" s="127"/>
      <c r="AG163" s="96"/>
      <c r="AH163" s="95"/>
      <c r="AI163" s="117"/>
      <c r="AJ163" s="117"/>
      <c r="AK163" s="117"/>
      <c r="AL163" s="96"/>
      <c r="AM163" s="128"/>
      <c r="AN163" s="133"/>
      <c r="AO163" s="117"/>
      <c r="AP163" s="96"/>
      <c r="AQ163" s="132"/>
      <c r="AR163" s="128"/>
      <c r="AS163" s="95"/>
      <c r="AT163" s="96"/>
      <c r="AU163" s="133"/>
      <c r="AV163" s="133"/>
      <c r="AX163" s="117"/>
      <c r="AY163" s="127"/>
      <c r="AZ163" s="128"/>
      <c r="BA163" s="95"/>
      <c r="BB163" s="119"/>
      <c r="BC163" s="127"/>
      <c r="BD163" s="133"/>
      <c r="BE163" s="117"/>
      <c r="BF163" s="95"/>
      <c r="BG163" s="132"/>
      <c r="BH163" s="127"/>
      <c r="BI163" s="96"/>
      <c r="BJ163" s="117"/>
      <c r="BK163" s="133"/>
      <c r="BL163" s="128"/>
      <c r="BM163" s="95"/>
      <c r="BN163" s="96"/>
      <c r="BO163" s="133"/>
      <c r="BP163" s="132"/>
      <c r="BQ163" s="119"/>
      <c r="BR163" s="119"/>
      <c r="BS163" s="127"/>
      <c r="BT163" s="133"/>
      <c r="BU163" s="117"/>
      <c r="BV163" s="119"/>
      <c r="BW163" s="128"/>
      <c r="BX163" s="127"/>
      <c r="BY163" s="96"/>
      <c r="BZ163" s="117"/>
      <c r="CA163" s="132"/>
      <c r="CB163" s="127"/>
      <c r="CC163" s="96"/>
      <c r="CD163" s="117"/>
      <c r="CE163" s="128"/>
      <c r="CF163" s="132"/>
      <c r="CG163" s="119"/>
      <c r="CH163" s="96"/>
      <c r="CI163" s="133"/>
      <c r="CJ163" s="132"/>
      <c r="CK163" s="119"/>
      <c r="CL163" s="96"/>
      <c r="CM163" s="128"/>
      <c r="CN163" s="133"/>
      <c r="CO163" s="117"/>
      <c r="CQ163" s="127"/>
      <c r="CR163" s="128"/>
      <c r="CS163" s="95"/>
      <c r="CU163" s="127"/>
      <c r="CV163" s="133"/>
      <c r="CY163" s="127"/>
      <c r="CZ163" s="128"/>
      <c r="DC163" s="95"/>
      <c r="DG163" s="95"/>
      <c r="DJ163" s="95"/>
      <c r="DM163" s="95"/>
      <c r="DQ163" s="95"/>
      <c r="DT163" s="95"/>
    </row>
    <row r="164" spans="1:124" s="95" customFormat="1" ht="13.8" customHeight="1" x14ac:dyDescent="0.3">
      <c r="A164" s="155"/>
      <c r="B164" s="94">
        <v>1</v>
      </c>
      <c r="C164" s="99" t="s">
        <v>127</v>
      </c>
      <c r="D164" s="98">
        <v>280</v>
      </c>
      <c r="E164" s="96" t="s">
        <v>96</v>
      </c>
      <c r="F164" s="97">
        <f>D164/D96</f>
        <v>2.5</v>
      </c>
      <c r="G164" s="96" t="s">
        <v>101</v>
      </c>
      <c r="L164" s="96"/>
      <c r="Q164" s="128"/>
      <c r="R164" s="128"/>
      <c r="T164" s="127"/>
      <c r="U164" s="128"/>
      <c r="Z164" s="96"/>
      <c r="AA164" s="128"/>
      <c r="AB164" s="128"/>
      <c r="AE164" s="128"/>
      <c r="AF164" s="127"/>
      <c r="AG164" s="96"/>
      <c r="AL164" s="96"/>
      <c r="AM164" s="128"/>
      <c r="AN164" s="128"/>
      <c r="AP164" s="96"/>
      <c r="AQ164" s="128"/>
      <c r="AR164" s="128"/>
      <c r="AT164" s="96"/>
      <c r="AU164" s="128"/>
      <c r="AV164" s="128"/>
      <c r="AY164" s="127"/>
      <c r="AZ164" s="128"/>
      <c r="BC164" s="127"/>
      <c r="BD164" s="128"/>
      <c r="BG164" s="128"/>
      <c r="BH164" s="127"/>
      <c r="BI164" s="96"/>
      <c r="BK164" s="128"/>
      <c r="BL164" s="128"/>
      <c r="BN164" s="96"/>
      <c r="BO164" s="128"/>
      <c r="BP164" s="128"/>
      <c r="BS164" s="127"/>
      <c r="BT164" s="128"/>
      <c r="BW164" s="128"/>
      <c r="BX164" s="127"/>
      <c r="BY164" s="96"/>
      <c r="CA164" s="128"/>
      <c r="CB164" s="127"/>
      <c r="CC164" s="96"/>
      <c r="CE164" s="128"/>
      <c r="CF164" s="128"/>
      <c r="CH164" s="96"/>
      <c r="CI164" s="128"/>
      <c r="CJ164" s="128"/>
      <c r="CL164" s="96"/>
      <c r="CM164" s="128"/>
      <c r="CN164" s="128"/>
      <c r="CQ164" s="127"/>
      <c r="CR164" s="128"/>
      <c r="CU164" s="127"/>
      <c r="CV164" s="128"/>
      <c r="CY164" s="127"/>
      <c r="CZ164" s="128"/>
    </row>
    <row r="165" spans="1:124" s="95" customFormat="1" x14ac:dyDescent="0.3">
      <c r="A165" s="108" t="s">
        <v>20</v>
      </c>
      <c r="B165" s="94">
        <v>1</v>
      </c>
      <c r="C165" s="99" t="s">
        <v>107</v>
      </c>
      <c r="D165" s="98">
        <v>112</v>
      </c>
      <c r="E165" s="96" t="s">
        <v>96</v>
      </c>
      <c r="F165" s="97">
        <f>D165/D96</f>
        <v>1</v>
      </c>
      <c r="G165" s="96" t="s">
        <v>101</v>
      </c>
      <c r="L165" s="96"/>
      <c r="Q165" s="128"/>
      <c r="R165" s="128"/>
      <c r="T165" s="127"/>
      <c r="U165" s="128"/>
      <c r="Z165" s="96"/>
      <c r="AA165" s="128"/>
      <c r="AB165" s="128"/>
      <c r="AE165" s="128"/>
      <c r="AF165" s="127"/>
      <c r="AG165" s="96"/>
      <c r="AL165" s="96"/>
      <c r="AM165" s="128"/>
      <c r="AN165" s="128"/>
      <c r="AP165" s="96"/>
      <c r="AQ165" s="128"/>
      <c r="AR165" s="128"/>
      <c r="AT165" s="96"/>
      <c r="AU165" s="128"/>
      <c r="AV165" s="128"/>
      <c r="AY165" s="127"/>
      <c r="AZ165" s="128"/>
      <c r="BC165" s="127"/>
      <c r="BD165" s="128"/>
      <c r="BG165" s="128"/>
      <c r="BH165" s="127"/>
      <c r="BI165" s="96"/>
      <c r="BK165" s="128"/>
      <c r="BL165" s="128"/>
      <c r="BN165" s="96"/>
      <c r="BO165" s="128"/>
      <c r="BP165" s="128"/>
      <c r="BS165" s="127"/>
      <c r="BT165" s="128"/>
      <c r="BW165" s="128"/>
      <c r="BX165" s="127"/>
      <c r="BY165" s="96"/>
      <c r="CA165" s="128"/>
      <c r="CB165" s="127"/>
      <c r="CC165" s="96"/>
      <c r="CE165" s="128"/>
      <c r="CF165" s="128"/>
      <c r="CH165" s="96"/>
      <c r="CI165" s="128"/>
      <c r="CJ165" s="128"/>
      <c r="CL165" s="96"/>
      <c r="CM165" s="128"/>
      <c r="CN165" s="128"/>
      <c r="CQ165" s="127"/>
      <c r="CR165" s="128"/>
      <c r="CU165" s="127"/>
      <c r="CV165" s="128"/>
      <c r="CY165" s="127"/>
      <c r="CZ165" s="128"/>
    </row>
    <row r="166" spans="1:124" s="95" customFormat="1" x14ac:dyDescent="0.3">
      <c r="A166" s="108" t="s">
        <v>79</v>
      </c>
      <c r="B166" s="94">
        <v>1</v>
      </c>
      <c r="C166" s="99" t="s">
        <v>40</v>
      </c>
      <c r="D166" s="98">
        <v>0.67513000000000001</v>
      </c>
      <c r="E166" s="96" t="s">
        <v>101</v>
      </c>
      <c r="F166" s="97">
        <f>D166/D88</f>
        <v>3.3756500000000002E-2</v>
      </c>
      <c r="G166" s="96" t="s">
        <v>28</v>
      </c>
      <c r="L166" s="96"/>
      <c r="Q166" s="128"/>
      <c r="R166" s="128"/>
      <c r="T166" s="127"/>
      <c r="U166" s="128"/>
      <c r="Z166" s="96"/>
      <c r="AA166" s="128"/>
      <c r="AB166" s="128"/>
      <c r="AE166" s="128"/>
      <c r="AF166" s="127"/>
      <c r="AG166" s="96"/>
      <c r="AL166" s="96"/>
      <c r="AM166" s="128"/>
      <c r="AN166" s="128"/>
      <c r="AP166" s="96"/>
      <c r="AQ166" s="128"/>
      <c r="AR166" s="128"/>
      <c r="AT166" s="96"/>
      <c r="AU166" s="128"/>
      <c r="AV166" s="128"/>
      <c r="AY166" s="127"/>
      <c r="AZ166" s="128"/>
      <c r="BC166" s="127"/>
      <c r="BD166" s="128"/>
      <c r="BG166" s="128"/>
      <c r="BH166" s="127"/>
      <c r="BI166" s="96"/>
      <c r="BK166" s="128"/>
      <c r="BL166" s="128"/>
      <c r="BN166" s="96"/>
      <c r="BO166" s="128"/>
      <c r="BP166" s="128"/>
      <c r="BS166" s="127"/>
      <c r="BT166" s="128"/>
      <c r="BW166" s="128"/>
      <c r="BX166" s="127"/>
      <c r="BY166" s="96"/>
      <c r="CA166" s="128"/>
      <c r="CB166" s="127"/>
      <c r="CC166" s="96"/>
      <c r="CE166" s="128"/>
      <c r="CF166" s="128"/>
      <c r="CH166" s="96"/>
      <c r="CI166" s="128"/>
      <c r="CJ166" s="128"/>
      <c r="CL166" s="96"/>
      <c r="CM166" s="128"/>
      <c r="CN166" s="128"/>
      <c r="CQ166" s="127"/>
      <c r="CR166" s="128"/>
      <c r="CU166" s="127"/>
      <c r="CV166" s="128"/>
      <c r="CY166" s="127"/>
      <c r="CZ166" s="128"/>
    </row>
    <row r="167" spans="1:124" s="95" customFormat="1" x14ac:dyDescent="0.3">
      <c r="A167" s="112" t="s">
        <v>81</v>
      </c>
      <c r="B167" s="94">
        <v>1</v>
      </c>
      <c r="C167" s="99" t="s">
        <v>121</v>
      </c>
      <c r="D167" s="98">
        <v>2.39975</v>
      </c>
      <c r="E167" s="96" t="s">
        <v>101</v>
      </c>
      <c r="F167" s="97"/>
      <c r="G167" s="96"/>
      <c r="L167" s="96"/>
      <c r="Q167" s="128"/>
      <c r="R167" s="128"/>
      <c r="T167" s="127"/>
      <c r="U167" s="128"/>
      <c r="Z167" s="96"/>
      <c r="AA167" s="128"/>
      <c r="AB167" s="128"/>
      <c r="AE167" s="128"/>
      <c r="AF167" s="127"/>
      <c r="AG167" s="96"/>
      <c r="AL167" s="96"/>
      <c r="AM167" s="128"/>
      <c r="AN167" s="128"/>
      <c r="AP167" s="96"/>
      <c r="AQ167" s="128"/>
      <c r="AR167" s="128"/>
      <c r="AT167" s="96"/>
      <c r="AU167" s="128"/>
      <c r="AV167" s="128"/>
      <c r="AY167" s="127"/>
      <c r="AZ167" s="128"/>
      <c r="BC167" s="127"/>
      <c r="BD167" s="128"/>
      <c r="BG167" s="128"/>
      <c r="BH167" s="127"/>
      <c r="BI167" s="96"/>
      <c r="BK167" s="128"/>
      <c r="BL167" s="128"/>
      <c r="BN167" s="96"/>
      <c r="BO167" s="128"/>
      <c r="BP167" s="128"/>
      <c r="BS167" s="127"/>
      <c r="BT167" s="128"/>
      <c r="BW167" s="128"/>
      <c r="BX167" s="127"/>
      <c r="BY167" s="96"/>
      <c r="CA167" s="128"/>
      <c r="CB167" s="127"/>
      <c r="CC167" s="96"/>
      <c r="CE167" s="128"/>
      <c r="CF167" s="128"/>
      <c r="CH167" s="96"/>
      <c r="CI167" s="128"/>
      <c r="CJ167" s="128"/>
      <c r="CL167" s="96"/>
      <c r="CM167" s="128"/>
      <c r="CN167" s="128"/>
      <c r="CQ167" s="127"/>
      <c r="CR167" s="128"/>
      <c r="CU167" s="127"/>
      <c r="CV167" s="128"/>
      <c r="CY167" s="127"/>
      <c r="CZ167" s="128"/>
    </row>
    <row r="168" spans="1:124" s="95" customFormat="1" x14ac:dyDescent="0.3">
      <c r="A168" s="108" t="s">
        <v>80</v>
      </c>
      <c r="B168" s="94">
        <v>1</v>
      </c>
      <c r="C168" s="99" t="s">
        <v>37</v>
      </c>
      <c r="D168" s="98">
        <v>746.66600000000005</v>
      </c>
      <c r="E168" s="96" t="s">
        <v>96</v>
      </c>
      <c r="F168" s="97">
        <f>D168/D96</f>
        <v>6.6666607142857144</v>
      </c>
      <c r="G168" s="96" t="s">
        <v>101</v>
      </c>
      <c r="L168" s="96"/>
      <c r="Q168" s="128"/>
      <c r="R168" s="128"/>
      <c r="T168" s="127"/>
      <c r="U168" s="128"/>
      <c r="Z168" s="96"/>
      <c r="AA168" s="128"/>
      <c r="AB168" s="128"/>
      <c r="AE168" s="128"/>
      <c r="AF168" s="127"/>
      <c r="AG168" s="96"/>
      <c r="AL168" s="96"/>
      <c r="AM168" s="128"/>
      <c r="AN168" s="128"/>
      <c r="AP168" s="96"/>
      <c r="AQ168" s="128"/>
      <c r="AR168" s="128"/>
      <c r="AT168" s="96"/>
      <c r="AU168" s="128"/>
      <c r="AV168" s="128"/>
      <c r="AY168" s="127"/>
      <c r="AZ168" s="128"/>
      <c r="BC168" s="127"/>
      <c r="BD168" s="128"/>
      <c r="BG168" s="128"/>
      <c r="BH168" s="127"/>
      <c r="BI168" s="96"/>
      <c r="BK168" s="128"/>
      <c r="BL168" s="128"/>
      <c r="BN168" s="96"/>
      <c r="BO168" s="128"/>
      <c r="BP168" s="128"/>
      <c r="BS168" s="127"/>
      <c r="BT168" s="128"/>
      <c r="BW168" s="128"/>
      <c r="BX168" s="127"/>
      <c r="BY168" s="96"/>
      <c r="CA168" s="128"/>
      <c r="CB168" s="127"/>
      <c r="CC168" s="96"/>
      <c r="CE168" s="128"/>
      <c r="CF168" s="128"/>
      <c r="CH168" s="96"/>
      <c r="CI168" s="128"/>
      <c r="CJ168" s="128"/>
      <c r="CL168" s="96"/>
      <c r="CM168" s="128"/>
      <c r="CN168" s="128"/>
      <c r="CQ168" s="127"/>
      <c r="CR168" s="128"/>
      <c r="CU168" s="127"/>
      <c r="CV168" s="128"/>
      <c r="CY168" s="127"/>
      <c r="CZ168" s="128"/>
    </row>
    <row r="169" spans="1:124" s="95" customFormat="1" x14ac:dyDescent="0.3">
      <c r="A169" s="108" t="s">
        <v>128</v>
      </c>
      <c r="B169" s="94">
        <v>1</v>
      </c>
      <c r="C169" s="99" t="s">
        <v>40</v>
      </c>
      <c r="D169" s="98">
        <v>250</v>
      </c>
      <c r="E169" s="96" t="s">
        <v>96</v>
      </c>
      <c r="F169" s="97">
        <f>D169/D96</f>
        <v>2.2321428571428572</v>
      </c>
      <c r="G169" s="96" t="s">
        <v>101</v>
      </c>
      <c r="L169" s="96"/>
      <c r="Q169" s="128"/>
      <c r="R169" s="128"/>
      <c r="T169" s="127"/>
      <c r="U169" s="128"/>
      <c r="Z169" s="96"/>
      <c r="AA169" s="128"/>
      <c r="AB169" s="128"/>
      <c r="AE169" s="128"/>
      <c r="AF169" s="127"/>
      <c r="AG169" s="96"/>
      <c r="AL169" s="96"/>
      <c r="AM169" s="128"/>
      <c r="AN169" s="128"/>
      <c r="AP169" s="96"/>
      <c r="AQ169" s="128"/>
      <c r="AR169" s="128"/>
      <c r="AT169" s="96"/>
      <c r="AU169" s="128"/>
      <c r="AV169" s="128"/>
      <c r="AY169" s="127"/>
      <c r="AZ169" s="128"/>
      <c r="BC169" s="127"/>
      <c r="BD169" s="128"/>
      <c r="BG169" s="128"/>
      <c r="BH169" s="127"/>
      <c r="BI169" s="96"/>
      <c r="BK169" s="128"/>
      <c r="BL169" s="128"/>
      <c r="BN169" s="96"/>
      <c r="BO169" s="128"/>
      <c r="BP169" s="128"/>
      <c r="BS169" s="127"/>
      <c r="BT169" s="128"/>
      <c r="BW169" s="128"/>
      <c r="BX169" s="127"/>
      <c r="BY169" s="96"/>
      <c r="CA169" s="128"/>
      <c r="CB169" s="127"/>
      <c r="CC169" s="96"/>
      <c r="CE169" s="128"/>
      <c r="CF169" s="128"/>
      <c r="CH169" s="96"/>
      <c r="CI169" s="128"/>
      <c r="CJ169" s="128"/>
      <c r="CL169" s="96"/>
      <c r="CM169" s="128"/>
      <c r="CN169" s="128"/>
      <c r="CQ169" s="127"/>
      <c r="CR169" s="128"/>
      <c r="CU169" s="127"/>
      <c r="CV169" s="128"/>
      <c r="CY169" s="127"/>
      <c r="CZ169" s="128"/>
    </row>
    <row r="170" spans="1:124" s="95" customFormat="1" x14ac:dyDescent="0.3">
      <c r="A170" s="108" t="s">
        <v>20</v>
      </c>
      <c r="B170" s="94">
        <v>1</v>
      </c>
      <c r="C170" s="99" t="s">
        <v>107</v>
      </c>
      <c r="D170" s="98">
        <v>112</v>
      </c>
      <c r="E170" s="96" t="s">
        <v>96</v>
      </c>
      <c r="F170" s="97">
        <f>D170/D96</f>
        <v>1</v>
      </c>
      <c r="G170" s="96" t="s">
        <v>101</v>
      </c>
      <c r="L170" s="96"/>
      <c r="Q170" s="128"/>
      <c r="R170" s="128"/>
      <c r="T170" s="127"/>
      <c r="U170" s="128"/>
      <c r="Z170" s="96"/>
      <c r="AA170" s="128"/>
      <c r="AB170" s="128"/>
      <c r="AE170" s="128"/>
      <c r="AF170" s="127"/>
      <c r="AG170" s="96"/>
      <c r="AL170" s="96"/>
      <c r="AM170" s="128"/>
      <c r="AN170" s="128"/>
      <c r="AP170" s="96"/>
      <c r="AQ170" s="128"/>
      <c r="AR170" s="128"/>
      <c r="AT170" s="96"/>
      <c r="AU170" s="128"/>
      <c r="AV170" s="128"/>
      <c r="AY170" s="127"/>
      <c r="AZ170" s="128"/>
      <c r="BC170" s="127"/>
      <c r="BD170" s="128"/>
      <c r="BG170" s="128"/>
      <c r="BH170" s="127"/>
      <c r="BI170" s="96"/>
      <c r="BK170" s="128"/>
      <c r="BL170" s="128"/>
      <c r="BN170" s="96"/>
      <c r="BO170" s="128"/>
      <c r="BP170" s="128"/>
      <c r="BS170" s="127"/>
      <c r="BT170" s="128"/>
      <c r="BW170" s="128"/>
      <c r="BX170" s="127"/>
      <c r="BY170" s="96"/>
      <c r="CA170" s="128"/>
      <c r="CB170" s="127"/>
      <c r="CC170" s="96"/>
      <c r="CE170" s="128"/>
      <c r="CF170" s="128"/>
      <c r="CH170" s="96"/>
      <c r="CI170" s="128"/>
      <c r="CJ170" s="128"/>
      <c r="CL170" s="96"/>
      <c r="CM170" s="128"/>
      <c r="CN170" s="128"/>
      <c r="CQ170" s="127"/>
      <c r="CR170" s="128"/>
      <c r="CU170" s="127"/>
      <c r="CV170" s="128"/>
      <c r="CY170" s="127"/>
      <c r="CZ170" s="128"/>
    </row>
    <row r="171" spans="1:124" s="95" customFormat="1" x14ac:dyDescent="0.3">
      <c r="A171" s="156" t="s">
        <v>129</v>
      </c>
      <c r="B171" s="94">
        <v>1</v>
      </c>
      <c r="C171" s="99" t="s">
        <v>40</v>
      </c>
      <c r="D171" s="98">
        <v>227</v>
      </c>
      <c r="E171" s="96" t="s">
        <v>96</v>
      </c>
      <c r="F171" s="97">
        <f>D171/D96</f>
        <v>2.0267857142857144</v>
      </c>
      <c r="G171" s="96" t="s">
        <v>101</v>
      </c>
      <c r="L171" s="96"/>
      <c r="Q171" s="128"/>
      <c r="R171" s="128"/>
      <c r="T171" s="127"/>
      <c r="U171" s="128"/>
      <c r="Z171" s="96"/>
      <c r="AA171" s="128"/>
      <c r="AB171" s="128"/>
      <c r="AE171" s="128"/>
      <c r="AF171" s="127"/>
      <c r="AG171" s="96"/>
      <c r="AL171" s="96"/>
      <c r="AM171" s="128"/>
      <c r="AN171" s="128"/>
      <c r="AP171" s="96"/>
      <c r="AQ171" s="128"/>
      <c r="AR171" s="128"/>
      <c r="AT171" s="96"/>
      <c r="AU171" s="128"/>
      <c r="AV171" s="128"/>
      <c r="AY171" s="127"/>
      <c r="AZ171" s="128"/>
      <c r="BC171" s="127"/>
      <c r="BD171" s="128"/>
      <c r="BG171" s="128"/>
      <c r="BH171" s="127"/>
      <c r="BI171" s="96"/>
      <c r="BK171" s="128"/>
      <c r="BL171" s="128"/>
      <c r="BN171" s="96"/>
      <c r="BO171" s="128"/>
      <c r="BP171" s="128"/>
      <c r="BS171" s="127"/>
      <c r="BT171" s="128"/>
      <c r="BW171" s="128"/>
      <c r="BX171" s="127"/>
      <c r="BY171" s="96"/>
      <c r="CA171" s="128"/>
      <c r="CB171" s="127"/>
      <c r="CC171" s="96"/>
      <c r="CE171" s="128"/>
      <c r="CF171" s="128"/>
      <c r="CH171" s="96"/>
      <c r="CI171" s="128"/>
      <c r="CJ171" s="128"/>
      <c r="CL171" s="96"/>
      <c r="CM171" s="128"/>
      <c r="CN171" s="128"/>
      <c r="CQ171" s="127"/>
      <c r="CR171" s="128"/>
      <c r="CU171" s="127"/>
      <c r="CV171" s="128"/>
      <c r="CY171" s="127"/>
      <c r="CZ171" s="128"/>
    </row>
    <row r="172" spans="1:124" s="95" customFormat="1" x14ac:dyDescent="0.3">
      <c r="A172" s="156"/>
      <c r="B172" s="94">
        <v>1</v>
      </c>
      <c r="C172" s="96" t="s">
        <v>121</v>
      </c>
      <c r="D172" s="95">
        <v>746.66700000000003</v>
      </c>
      <c r="E172" s="96" t="s">
        <v>96</v>
      </c>
      <c r="F172" s="98">
        <f>D172/D96</f>
        <v>6.6666696428571433</v>
      </c>
      <c r="G172" s="96" t="s">
        <v>101</v>
      </c>
      <c r="H172" s="94"/>
      <c r="L172" s="102"/>
      <c r="M172" s="94"/>
      <c r="N172" s="94"/>
      <c r="O172" s="94"/>
      <c r="P172" s="94"/>
      <c r="Q172" s="128"/>
      <c r="R172" s="128"/>
      <c r="T172" s="131"/>
      <c r="U172" s="128"/>
      <c r="Z172" s="102"/>
      <c r="AA172" s="128"/>
      <c r="AB172" s="128"/>
      <c r="AE172" s="128"/>
      <c r="AF172" s="131"/>
      <c r="AG172" s="102"/>
      <c r="AL172" s="102"/>
      <c r="AM172" s="128"/>
      <c r="AN172" s="128"/>
      <c r="AP172" s="102"/>
      <c r="AQ172" s="128"/>
      <c r="AR172" s="128"/>
      <c r="AT172" s="102"/>
      <c r="AU172" s="128"/>
      <c r="AV172" s="128"/>
      <c r="AY172" s="131"/>
      <c r="AZ172" s="128"/>
      <c r="BC172" s="131"/>
      <c r="BD172" s="128"/>
      <c r="BG172" s="128"/>
      <c r="BH172" s="131"/>
      <c r="BI172" s="102"/>
      <c r="BK172" s="128"/>
      <c r="BL172" s="128"/>
      <c r="BN172" s="102"/>
      <c r="BO172" s="128"/>
      <c r="BP172" s="128"/>
      <c r="BS172" s="131"/>
      <c r="BT172" s="128"/>
      <c r="BW172" s="128"/>
      <c r="BX172" s="131"/>
      <c r="BY172" s="102"/>
      <c r="CA172" s="128"/>
      <c r="CB172" s="131"/>
      <c r="CC172" s="102"/>
      <c r="CE172" s="128"/>
      <c r="CF172" s="128"/>
      <c r="CH172" s="102"/>
      <c r="CI172" s="128"/>
      <c r="CJ172" s="128"/>
      <c r="CL172" s="102"/>
      <c r="CM172" s="128"/>
      <c r="CN172" s="128"/>
      <c r="CQ172" s="131"/>
      <c r="CR172" s="128"/>
      <c r="CU172" s="131"/>
      <c r="CV172" s="128"/>
      <c r="CY172" s="131"/>
      <c r="CZ172" s="128"/>
    </row>
    <row r="173" spans="1:124" s="95" customFormat="1" x14ac:dyDescent="0.3">
      <c r="A173" s="156"/>
      <c r="B173" s="94">
        <v>1</v>
      </c>
      <c r="C173" s="96" t="s">
        <v>37</v>
      </c>
      <c r="D173" s="98">
        <v>0.75087000000000004</v>
      </c>
      <c r="E173" s="96" t="s">
        <v>29</v>
      </c>
      <c r="F173" s="98">
        <f>D173*F171</f>
        <v>1.5218525892857144</v>
      </c>
      <c r="G173" s="96" t="s">
        <v>101</v>
      </c>
      <c r="H173" s="94"/>
      <c r="L173" s="102"/>
      <c r="M173" s="94"/>
      <c r="N173" s="94"/>
      <c r="O173" s="94"/>
      <c r="P173" s="94"/>
      <c r="Q173" s="128"/>
      <c r="R173" s="128"/>
      <c r="T173" s="131"/>
      <c r="U173" s="128"/>
      <c r="Z173" s="102"/>
      <c r="AA173" s="128"/>
      <c r="AB173" s="128"/>
      <c r="AE173" s="128"/>
      <c r="AF173" s="131"/>
      <c r="AG173" s="102"/>
      <c r="AL173" s="102"/>
      <c r="AM173" s="128"/>
      <c r="AN173" s="128"/>
      <c r="AP173" s="102"/>
      <c r="AQ173" s="128"/>
      <c r="AR173" s="128"/>
      <c r="AT173" s="102"/>
      <c r="AU173" s="128"/>
      <c r="AV173" s="128"/>
      <c r="AY173" s="131"/>
      <c r="AZ173" s="128"/>
      <c r="BC173" s="131"/>
      <c r="BD173" s="128"/>
      <c r="BG173" s="128"/>
      <c r="BH173" s="131"/>
      <c r="BI173" s="102"/>
      <c r="BK173" s="128"/>
      <c r="BL173" s="128"/>
      <c r="BN173" s="102"/>
      <c r="BO173" s="128"/>
      <c r="BP173" s="128"/>
      <c r="BS173" s="131"/>
      <c r="BT173" s="128"/>
      <c r="BW173" s="128"/>
      <c r="BX173" s="131"/>
      <c r="BY173" s="102"/>
      <c r="CA173" s="128"/>
      <c r="CB173" s="131"/>
      <c r="CC173" s="102"/>
      <c r="CE173" s="128"/>
      <c r="CF173" s="128"/>
      <c r="CH173" s="102"/>
      <c r="CI173" s="128"/>
      <c r="CJ173" s="128"/>
      <c r="CL173" s="102"/>
      <c r="CM173" s="128"/>
      <c r="CN173" s="128"/>
      <c r="CQ173" s="131"/>
      <c r="CR173" s="128"/>
      <c r="CU173" s="131"/>
      <c r="CV173" s="128"/>
      <c r="CY173" s="131"/>
      <c r="CZ173" s="128"/>
    </row>
    <row r="174" spans="1:124" x14ac:dyDescent="0.3">
      <c r="A174" s="138" t="s">
        <v>55</v>
      </c>
      <c r="B174" s="138">
        <v>1</v>
      </c>
      <c r="C174" s="138" t="s">
        <v>413</v>
      </c>
      <c r="D174" s="141">
        <v>61</v>
      </c>
      <c r="E174" s="70"/>
      <c r="Q174" s="90"/>
      <c r="R174" s="90"/>
      <c r="S174" s="70"/>
      <c r="U174" s="90"/>
      <c r="V174" s="70"/>
      <c r="W174" s="70"/>
      <c r="AA174" s="90"/>
      <c r="AB174" s="90"/>
      <c r="AC174" s="70"/>
      <c r="AD174" s="70"/>
      <c r="AE174" s="90"/>
      <c r="AF174" s="90"/>
      <c r="AG174" s="70"/>
      <c r="AH174" s="70"/>
      <c r="AM174" s="90"/>
      <c r="AN174" s="90"/>
      <c r="AO174" s="70"/>
      <c r="AP174" s="70"/>
      <c r="AQ174" s="90"/>
      <c r="AR174" s="90"/>
      <c r="AS174" s="70"/>
      <c r="AT174" s="70"/>
      <c r="AU174" s="90"/>
      <c r="AV174" s="90"/>
      <c r="AW174" s="70"/>
      <c r="AX174" s="70"/>
      <c r="AY174" s="90"/>
      <c r="AZ174" s="90"/>
      <c r="BA174" s="70"/>
      <c r="BB174" s="70"/>
      <c r="BC174" s="90"/>
      <c r="BD174" s="90"/>
      <c r="BE174" s="70"/>
      <c r="BF174" s="70"/>
      <c r="BG174" s="90"/>
      <c r="BH174" s="90"/>
      <c r="BI174" s="70"/>
      <c r="BJ174" s="70"/>
      <c r="BK174" s="90"/>
      <c r="BL174" s="90"/>
      <c r="BM174" s="70"/>
      <c r="BN174" s="70"/>
      <c r="BO174" s="90"/>
      <c r="BP174" s="90"/>
      <c r="BQ174" s="70"/>
      <c r="BR174" s="70"/>
      <c r="BS174" s="90"/>
      <c r="BT174" s="90"/>
      <c r="BU174" s="70"/>
      <c r="BV174" s="70"/>
      <c r="BW174" s="90"/>
      <c r="BX174" s="90"/>
      <c r="BY174" s="70"/>
      <c r="BZ174" s="70"/>
      <c r="CA174" s="90"/>
      <c r="CB174" s="90"/>
      <c r="CC174" s="70"/>
      <c r="CD174" s="70"/>
      <c r="CE174" s="90"/>
      <c r="CF174" s="90"/>
      <c r="CG174" s="70"/>
      <c r="CH174" s="70"/>
      <c r="CI174" s="90"/>
      <c r="CJ174" s="90"/>
      <c r="CK174" s="70"/>
      <c r="CL174" s="70"/>
      <c r="CM174" s="90"/>
      <c r="CN174" s="90"/>
      <c r="CO174" s="70"/>
      <c r="CP174" s="70"/>
      <c r="CQ174" s="90"/>
      <c r="CR174" s="90"/>
      <c r="CS174" s="70"/>
      <c r="CT174" s="70"/>
      <c r="CU174" s="90"/>
      <c r="CV174" s="90"/>
      <c r="CW174" s="70"/>
      <c r="CX174" s="70"/>
      <c r="CY174" s="90"/>
      <c r="CZ174" s="90"/>
      <c r="DA174" s="70"/>
      <c r="DB174" s="70"/>
    </row>
    <row r="175" spans="1:124" x14ac:dyDescent="0.3">
      <c r="A175" s="138" t="s">
        <v>33</v>
      </c>
      <c r="B175" s="138">
        <v>1</v>
      </c>
      <c r="C175" s="138" t="s">
        <v>413</v>
      </c>
      <c r="D175" s="141">
        <v>44.5</v>
      </c>
      <c r="E175" s="139" t="s">
        <v>96</v>
      </c>
      <c r="Q175" s="90"/>
      <c r="R175" s="90"/>
      <c r="S175" s="70"/>
      <c r="U175" s="90"/>
      <c r="V175" s="70"/>
      <c r="W175" s="70"/>
      <c r="AA175" s="90"/>
      <c r="AB175" s="90"/>
      <c r="AC175" s="70"/>
      <c r="AD175" s="70"/>
      <c r="AE175" s="90"/>
      <c r="AF175" s="90"/>
      <c r="AG175" s="70"/>
      <c r="AH175" s="70"/>
      <c r="AM175" s="90"/>
      <c r="AN175" s="90"/>
      <c r="AO175" s="70"/>
      <c r="AP175" s="70"/>
      <c r="AQ175" s="90"/>
      <c r="AR175" s="90"/>
      <c r="AS175" s="70"/>
      <c r="AT175" s="70"/>
      <c r="AU175" s="90"/>
      <c r="AV175" s="90"/>
      <c r="AW175" s="70"/>
      <c r="AX175" s="70"/>
      <c r="AY175" s="90"/>
      <c r="AZ175" s="90"/>
      <c r="BA175" s="70"/>
      <c r="BB175" s="70"/>
      <c r="BC175" s="90"/>
      <c r="BD175" s="90"/>
      <c r="BE175" s="70"/>
      <c r="BF175" s="70"/>
      <c r="BG175" s="90"/>
      <c r="BH175" s="90"/>
      <c r="BI175" s="70"/>
      <c r="BJ175" s="70"/>
      <c r="BK175" s="90"/>
      <c r="BL175" s="90"/>
      <c r="BM175" s="70"/>
      <c r="BN175" s="70"/>
      <c r="BO175" s="90"/>
      <c r="BP175" s="90"/>
      <c r="BQ175" s="70"/>
      <c r="BR175" s="70"/>
      <c r="BS175" s="90"/>
      <c r="BT175" s="90"/>
      <c r="BU175" s="70"/>
      <c r="BV175" s="70"/>
      <c r="BW175" s="90"/>
      <c r="BX175" s="90"/>
      <c r="BY175" s="70"/>
      <c r="BZ175" s="70"/>
      <c r="CA175" s="90"/>
      <c r="CB175" s="90"/>
      <c r="CC175" s="70"/>
      <c r="CD175" s="70"/>
      <c r="CE175" s="90"/>
      <c r="CF175" s="90"/>
      <c r="CG175" s="70"/>
      <c r="CH175" s="70"/>
      <c r="CI175" s="90"/>
      <c r="CJ175" s="90"/>
      <c r="CK175" s="70"/>
      <c r="CL175" s="70"/>
      <c r="CM175" s="90"/>
      <c r="CN175" s="90"/>
      <c r="CO175" s="70"/>
      <c r="CP175" s="70"/>
      <c r="CQ175" s="90"/>
      <c r="CR175" s="90"/>
      <c r="CS175" s="70"/>
      <c r="CT175" s="70"/>
      <c r="CU175" s="90"/>
      <c r="CV175" s="90"/>
      <c r="CW175" s="70"/>
      <c r="CX175" s="70"/>
      <c r="CY175" s="90"/>
      <c r="CZ175" s="90"/>
      <c r="DA175" s="70"/>
      <c r="DB175" s="70"/>
    </row>
    <row r="176" spans="1:124" x14ac:dyDescent="0.3">
      <c r="A176" s="138" t="s">
        <v>47</v>
      </c>
      <c r="B176" s="138">
        <v>1</v>
      </c>
      <c r="C176" s="138" t="s">
        <v>104</v>
      </c>
      <c r="D176" s="141">
        <v>61</v>
      </c>
      <c r="E176" s="139" t="s">
        <v>96</v>
      </c>
      <c r="Q176" s="90"/>
      <c r="R176" s="90"/>
      <c r="S176" s="70"/>
      <c r="U176" s="90"/>
      <c r="V176" s="70"/>
      <c r="W176" s="70"/>
      <c r="AA176" s="90"/>
      <c r="AB176" s="90"/>
      <c r="AC176" s="70"/>
      <c r="AD176" s="70"/>
      <c r="AE176" s="90"/>
      <c r="AF176" s="90"/>
      <c r="AG176" s="70"/>
      <c r="AH176" s="70"/>
      <c r="AM176" s="90"/>
      <c r="AN176" s="90"/>
      <c r="AO176" s="70"/>
      <c r="AP176" s="70"/>
      <c r="AQ176" s="90"/>
      <c r="AR176" s="90"/>
      <c r="AS176" s="70"/>
      <c r="AT176" s="70"/>
      <c r="AU176" s="90"/>
      <c r="AV176" s="90"/>
      <c r="AW176" s="70"/>
      <c r="AX176" s="70"/>
      <c r="AY176" s="90"/>
      <c r="AZ176" s="90"/>
      <c r="BA176" s="70"/>
      <c r="BB176" s="70"/>
      <c r="BC176" s="90"/>
      <c r="BD176" s="90"/>
      <c r="BE176" s="70"/>
      <c r="BF176" s="70"/>
      <c r="BG176" s="90"/>
      <c r="BH176" s="90"/>
      <c r="BI176" s="70"/>
      <c r="BJ176" s="70"/>
      <c r="BK176" s="90"/>
      <c r="BL176" s="90"/>
      <c r="BM176" s="70"/>
      <c r="BN176" s="70"/>
      <c r="BO176" s="90"/>
      <c r="BP176" s="90"/>
      <c r="BQ176" s="70"/>
      <c r="BR176" s="70"/>
      <c r="BS176" s="90"/>
      <c r="BT176" s="90"/>
      <c r="BU176" s="70"/>
      <c r="BV176" s="70"/>
      <c r="BW176" s="90"/>
      <c r="BX176" s="90"/>
      <c r="BY176" s="70"/>
      <c r="BZ176" s="70"/>
      <c r="CA176" s="90"/>
      <c r="CB176" s="90"/>
      <c r="CC176" s="70"/>
      <c r="CD176" s="70"/>
      <c r="CE176" s="90"/>
      <c r="CF176" s="90"/>
      <c r="CG176" s="70"/>
      <c r="CH176" s="70"/>
      <c r="CI176" s="90"/>
      <c r="CJ176" s="90"/>
      <c r="CK176" s="70"/>
      <c r="CL176" s="70"/>
      <c r="CM176" s="90"/>
      <c r="CN176" s="90"/>
      <c r="CO176" s="70"/>
      <c r="CP176" s="70"/>
      <c r="CQ176" s="90"/>
      <c r="CR176" s="90"/>
      <c r="CS176" s="70"/>
      <c r="CT176" s="70"/>
      <c r="CU176" s="90"/>
      <c r="CV176" s="90"/>
      <c r="CW176" s="70"/>
      <c r="CX176" s="70"/>
      <c r="CY176" s="90"/>
      <c r="CZ176" s="90"/>
      <c r="DA176" s="70"/>
      <c r="DB176" s="70"/>
    </row>
    <row r="177" spans="1:106" x14ac:dyDescent="0.3">
      <c r="A177" s="138" t="s">
        <v>414</v>
      </c>
      <c r="B177" s="138">
        <v>1</v>
      </c>
      <c r="C177" s="38" t="s">
        <v>413</v>
      </c>
      <c r="D177" s="140">
        <v>55.5</v>
      </c>
      <c r="E177" s="38" t="s">
        <v>96</v>
      </c>
      <c r="Q177" s="90"/>
      <c r="R177" s="90"/>
      <c r="S177" s="70"/>
      <c r="U177" s="90"/>
      <c r="V177" s="70"/>
      <c r="W177" s="70"/>
      <c r="AA177" s="90"/>
      <c r="AB177" s="90"/>
      <c r="AC177" s="70"/>
      <c r="AD177" s="70"/>
      <c r="AE177" s="90"/>
      <c r="AF177" s="90"/>
      <c r="AG177" s="70"/>
      <c r="AH177" s="70"/>
      <c r="AM177" s="90"/>
      <c r="AN177" s="90"/>
      <c r="AO177" s="70"/>
      <c r="AP177" s="70"/>
      <c r="AQ177" s="90"/>
      <c r="AR177" s="90"/>
      <c r="AS177" s="70"/>
      <c r="AT177" s="70"/>
      <c r="AU177" s="90"/>
      <c r="AV177" s="90"/>
      <c r="AW177" s="70"/>
      <c r="AX177" s="70"/>
      <c r="AY177" s="90"/>
      <c r="AZ177" s="90"/>
      <c r="BA177" s="70"/>
      <c r="BB177" s="70"/>
      <c r="BC177" s="90"/>
      <c r="BD177" s="90"/>
      <c r="BE177" s="70"/>
      <c r="BF177" s="70"/>
      <c r="BG177" s="90"/>
      <c r="BH177" s="90"/>
      <c r="BI177" s="70"/>
      <c r="BJ177" s="70"/>
      <c r="BK177" s="90"/>
      <c r="BL177" s="90"/>
      <c r="BM177" s="70"/>
      <c r="BN177" s="70"/>
      <c r="BO177" s="90"/>
      <c r="BP177" s="90"/>
      <c r="BQ177" s="70"/>
      <c r="BR177" s="70"/>
      <c r="BS177" s="90"/>
      <c r="BT177" s="90"/>
      <c r="BU177" s="70"/>
      <c r="BV177" s="70"/>
      <c r="BW177" s="90"/>
      <c r="BX177" s="90"/>
      <c r="BY177" s="70"/>
      <c r="BZ177" s="70"/>
      <c r="CA177" s="90"/>
      <c r="CB177" s="90"/>
      <c r="CC177" s="70"/>
      <c r="CD177" s="70"/>
      <c r="CE177" s="90"/>
      <c r="CF177" s="90"/>
      <c r="CG177" s="70"/>
      <c r="CH177" s="70"/>
      <c r="CI177" s="90"/>
      <c r="CJ177" s="90"/>
      <c r="CK177" s="70"/>
      <c r="CL177" s="70"/>
      <c r="CM177" s="90"/>
      <c r="CN177" s="90"/>
      <c r="CO177" s="70"/>
      <c r="CP177" s="70"/>
      <c r="CQ177" s="90"/>
      <c r="CR177" s="90"/>
      <c r="CS177" s="70"/>
      <c r="CT177" s="70"/>
      <c r="CU177" s="90"/>
      <c r="CV177" s="90"/>
      <c r="CW177" s="70"/>
      <c r="CX177" s="70"/>
      <c r="CY177" s="90"/>
      <c r="CZ177" s="90"/>
      <c r="DA177" s="70"/>
      <c r="DB177" s="70"/>
    </row>
    <row r="178" spans="1:106" x14ac:dyDescent="0.3">
      <c r="A178" s="30" t="s">
        <v>93</v>
      </c>
      <c r="B178" s="138">
        <v>1</v>
      </c>
      <c r="C178" s="41" t="s">
        <v>104</v>
      </c>
      <c r="D178" s="141">
        <v>61.05</v>
      </c>
      <c r="E178" s="41" t="s">
        <v>96</v>
      </c>
      <c r="Q178" s="90"/>
      <c r="R178" s="90"/>
      <c r="S178" s="70"/>
      <c r="U178" s="90"/>
      <c r="V178" s="70"/>
      <c r="W178" s="70"/>
      <c r="AA178" s="90"/>
      <c r="AB178" s="90"/>
      <c r="AC178" s="70"/>
      <c r="AD178" s="70"/>
      <c r="AE178" s="90"/>
      <c r="AF178" s="90"/>
      <c r="AG178" s="70"/>
      <c r="AH178" s="70"/>
      <c r="AM178" s="90"/>
      <c r="AN178" s="90"/>
      <c r="AO178" s="70"/>
      <c r="AP178" s="70"/>
      <c r="AQ178" s="90"/>
      <c r="AR178" s="90"/>
      <c r="AS178" s="70"/>
      <c r="AT178" s="70"/>
      <c r="AU178" s="90"/>
      <c r="AV178" s="90"/>
      <c r="AW178" s="70"/>
      <c r="AX178" s="70"/>
      <c r="AY178" s="90"/>
      <c r="AZ178" s="90"/>
      <c r="BA178" s="70"/>
      <c r="BB178" s="70"/>
      <c r="BC178" s="90"/>
      <c r="BD178" s="90"/>
      <c r="BE178" s="70"/>
      <c r="BF178" s="70"/>
      <c r="BG178" s="90"/>
      <c r="BH178" s="90"/>
      <c r="BI178" s="70"/>
      <c r="BJ178" s="70"/>
      <c r="BK178" s="90"/>
      <c r="BL178" s="90"/>
      <c r="BM178" s="70"/>
      <c r="BN178" s="70"/>
      <c r="BO178" s="90"/>
      <c r="BP178" s="90"/>
      <c r="BQ178" s="70"/>
      <c r="BR178" s="70"/>
      <c r="BS178" s="90"/>
      <c r="BT178" s="90"/>
      <c r="BU178" s="70"/>
      <c r="BV178" s="70"/>
      <c r="BW178" s="90"/>
      <c r="BX178" s="90"/>
      <c r="BY178" s="70"/>
      <c r="BZ178" s="70"/>
      <c r="CA178" s="90"/>
      <c r="CB178" s="90"/>
      <c r="CC178" s="70"/>
      <c r="CD178" s="70"/>
      <c r="CE178" s="90"/>
      <c r="CF178" s="90"/>
      <c r="CG178" s="70"/>
      <c r="CH178" s="70"/>
      <c r="CI178" s="90"/>
      <c r="CJ178" s="90"/>
      <c r="CK178" s="70"/>
      <c r="CL178" s="70"/>
      <c r="CM178" s="90"/>
      <c r="CN178" s="90"/>
      <c r="CO178" s="70"/>
      <c r="CP178" s="70"/>
      <c r="CQ178" s="90"/>
      <c r="CR178" s="90"/>
      <c r="CS178" s="70"/>
      <c r="CT178" s="70"/>
      <c r="CU178" s="90"/>
      <c r="CV178" s="90"/>
      <c r="CW178" s="70"/>
      <c r="CX178" s="70"/>
      <c r="CY178" s="90"/>
      <c r="CZ178" s="90"/>
      <c r="DA178" s="70"/>
      <c r="DB178" s="70"/>
    </row>
    <row r="179" spans="1:106" x14ac:dyDescent="0.3">
      <c r="E179" s="70"/>
      <c r="Q179" s="90"/>
      <c r="R179" s="90"/>
      <c r="S179" s="70"/>
      <c r="U179" s="90"/>
      <c r="V179" s="70"/>
      <c r="W179" s="70"/>
      <c r="AA179" s="90"/>
      <c r="AB179" s="90"/>
      <c r="AC179" s="70"/>
      <c r="AD179" s="70"/>
      <c r="AE179" s="90"/>
      <c r="AF179" s="90"/>
      <c r="AG179" s="70"/>
      <c r="AH179" s="70"/>
      <c r="AM179" s="90"/>
      <c r="AN179" s="90"/>
      <c r="AO179" s="70"/>
      <c r="AP179" s="70"/>
      <c r="AQ179" s="90"/>
      <c r="AR179" s="90"/>
      <c r="AS179" s="70"/>
      <c r="AT179" s="70"/>
      <c r="AU179" s="90"/>
      <c r="AV179" s="90"/>
      <c r="AW179" s="70"/>
      <c r="AX179" s="70"/>
      <c r="AY179" s="90"/>
      <c r="AZ179" s="90"/>
      <c r="BA179" s="70"/>
      <c r="BB179" s="70"/>
      <c r="BC179" s="90"/>
      <c r="BD179" s="90"/>
      <c r="BE179" s="70"/>
      <c r="BF179" s="70"/>
      <c r="BG179" s="90"/>
      <c r="BH179" s="90"/>
      <c r="BI179" s="70"/>
      <c r="BJ179" s="70"/>
      <c r="BK179" s="90"/>
      <c r="BL179" s="90"/>
      <c r="BM179" s="70"/>
      <c r="BN179" s="70"/>
      <c r="BO179" s="90"/>
      <c r="BP179" s="90"/>
      <c r="BQ179" s="70"/>
      <c r="BR179" s="70"/>
      <c r="BS179" s="90"/>
      <c r="BT179" s="90"/>
      <c r="BU179" s="70"/>
      <c r="BV179" s="70"/>
      <c r="BW179" s="90"/>
      <c r="BX179" s="90"/>
      <c r="BY179" s="70"/>
      <c r="BZ179" s="70"/>
      <c r="CA179" s="90"/>
      <c r="CB179" s="90"/>
      <c r="CC179" s="70"/>
      <c r="CD179" s="70"/>
      <c r="CE179" s="90"/>
      <c r="CF179" s="90"/>
      <c r="CG179" s="70"/>
      <c r="CH179" s="70"/>
      <c r="CI179" s="90"/>
      <c r="CJ179" s="90"/>
      <c r="CK179" s="70"/>
      <c r="CL179" s="70"/>
      <c r="CM179" s="90"/>
      <c r="CN179" s="90"/>
      <c r="CO179" s="70"/>
      <c r="CP179" s="70"/>
      <c r="CQ179" s="90"/>
      <c r="CR179" s="90"/>
      <c r="CS179" s="70"/>
      <c r="CT179" s="70"/>
      <c r="CU179" s="90"/>
      <c r="CV179" s="90"/>
      <c r="CW179" s="70"/>
      <c r="CX179" s="70"/>
      <c r="CY179" s="90"/>
      <c r="CZ179" s="90"/>
      <c r="DA179" s="70"/>
      <c r="DB179" s="70"/>
    </row>
    <row r="180" spans="1:106" x14ac:dyDescent="0.3">
      <c r="A180" s="80" t="s">
        <v>316</v>
      </c>
      <c r="E180" s="70"/>
      <c r="Q180" s="90"/>
      <c r="R180" s="90"/>
      <c r="S180" s="70"/>
      <c r="U180" s="90"/>
      <c r="V180" s="70"/>
      <c r="W180" s="70"/>
      <c r="AA180" s="90"/>
      <c r="AB180" s="90"/>
      <c r="AC180" s="70"/>
      <c r="AD180" s="70"/>
      <c r="AE180" s="90"/>
      <c r="AF180" s="90"/>
      <c r="AG180" s="70"/>
      <c r="AH180" s="70"/>
      <c r="AM180" s="90"/>
      <c r="AN180" s="90"/>
      <c r="AO180" s="70"/>
      <c r="AP180" s="70"/>
      <c r="AQ180" s="90"/>
      <c r="AR180" s="90"/>
      <c r="AS180" s="70"/>
      <c r="AT180" s="70"/>
      <c r="AU180" s="90"/>
      <c r="AV180" s="90"/>
      <c r="AW180" s="70"/>
      <c r="AX180" s="70"/>
      <c r="AY180" s="90"/>
      <c r="AZ180" s="90"/>
      <c r="BA180" s="70"/>
      <c r="BB180" s="70"/>
      <c r="BC180" s="90"/>
      <c r="BD180" s="90"/>
      <c r="BE180" s="70"/>
      <c r="BF180" s="70"/>
      <c r="BG180" s="90"/>
      <c r="BH180" s="90"/>
      <c r="BI180" s="70"/>
      <c r="BJ180" s="70"/>
      <c r="BK180" s="90"/>
      <c r="BL180" s="90"/>
      <c r="BM180" s="70"/>
      <c r="BN180" s="70"/>
      <c r="BO180" s="90"/>
      <c r="BP180" s="90"/>
      <c r="BQ180" s="70"/>
      <c r="BR180" s="70"/>
      <c r="BS180" s="90"/>
      <c r="BT180" s="90"/>
      <c r="BU180" s="70"/>
      <c r="BV180" s="70"/>
      <c r="BW180" s="90"/>
      <c r="BX180" s="90"/>
      <c r="BY180" s="70"/>
      <c r="BZ180" s="70"/>
      <c r="CA180" s="90"/>
      <c r="CB180" s="90"/>
      <c r="CC180" s="70"/>
      <c r="CD180" s="70"/>
      <c r="CE180" s="90"/>
      <c r="CF180" s="90"/>
      <c r="CG180" s="70"/>
      <c r="CH180" s="70"/>
      <c r="CI180" s="90"/>
      <c r="CJ180" s="90"/>
      <c r="CK180" s="70"/>
      <c r="CL180" s="70"/>
      <c r="CM180" s="90"/>
      <c r="CN180" s="90"/>
      <c r="CO180" s="70"/>
      <c r="CP180" s="70"/>
      <c r="CQ180" s="90"/>
      <c r="CR180" s="90"/>
      <c r="CS180" s="70"/>
      <c r="CT180" s="70"/>
      <c r="CU180" s="90"/>
      <c r="CV180" s="90"/>
      <c r="CW180" s="70"/>
      <c r="CX180" s="70"/>
      <c r="CY180" s="90"/>
      <c r="CZ180" s="90"/>
      <c r="DA180" s="70"/>
      <c r="DB180" s="70"/>
    </row>
    <row r="181" spans="1:106" x14ac:dyDescent="0.3">
      <c r="E181" s="96" t="s">
        <v>319</v>
      </c>
      <c r="Q181" s="90"/>
      <c r="R181" s="90"/>
      <c r="S181" s="70"/>
      <c r="U181" s="90"/>
      <c r="V181" s="70"/>
      <c r="W181" s="70"/>
      <c r="AA181" s="90"/>
      <c r="AB181" s="90"/>
      <c r="AC181" s="70"/>
      <c r="AD181" s="70"/>
      <c r="AE181" s="90"/>
      <c r="AF181" s="90"/>
      <c r="AG181" s="70"/>
      <c r="AH181" s="70"/>
      <c r="AM181" s="90"/>
      <c r="AN181" s="90"/>
      <c r="AO181" s="70"/>
      <c r="AP181" s="70"/>
      <c r="AQ181" s="90"/>
      <c r="AR181" s="90"/>
      <c r="AS181" s="70"/>
      <c r="AT181" s="70"/>
      <c r="AU181" s="90"/>
      <c r="AV181" s="90"/>
      <c r="AW181" s="70"/>
      <c r="AX181" s="70"/>
      <c r="AY181" s="90"/>
      <c r="AZ181" s="90"/>
      <c r="BA181" s="70"/>
      <c r="BB181" s="70"/>
      <c r="BC181" s="90"/>
      <c r="BD181" s="90"/>
      <c r="BE181" s="70"/>
      <c r="BF181" s="70"/>
      <c r="BG181" s="90"/>
      <c r="BH181" s="90"/>
      <c r="BI181" s="70"/>
      <c r="BJ181" s="70"/>
      <c r="BK181" s="90"/>
      <c r="BL181" s="90"/>
      <c r="BM181" s="70"/>
      <c r="BN181" s="70"/>
      <c r="BO181" s="90"/>
      <c r="BP181" s="90"/>
      <c r="BQ181" s="70"/>
      <c r="BR181" s="70"/>
      <c r="BS181" s="90"/>
      <c r="BT181" s="90"/>
      <c r="BU181" s="70"/>
      <c r="BV181" s="70"/>
      <c r="BW181" s="90"/>
      <c r="BX181" s="90"/>
      <c r="BY181" s="70"/>
      <c r="BZ181" s="70"/>
      <c r="CA181" s="90"/>
      <c r="CB181" s="90"/>
      <c r="CC181" s="70"/>
      <c r="CD181" s="70"/>
      <c r="CE181" s="90"/>
      <c r="CF181" s="90"/>
      <c r="CG181" s="70"/>
      <c r="CH181" s="70"/>
      <c r="CI181" s="90"/>
      <c r="CJ181" s="90"/>
      <c r="CK181" s="70"/>
      <c r="CL181" s="70"/>
      <c r="CM181" s="90"/>
      <c r="CN181" s="90"/>
      <c r="CO181" s="70"/>
      <c r="CP181" s="70"/>
      <c r="CQ181" s="90"/>
      <c r="CR181" s="90"/>
      <c r="CS181" s="70"/>
      <c r="CT181" s="70"/>
      <c r="CU181" s="90"/>
      <c r="CV181" s="90"/>
      <c r="CW181" s="70"/>
      <c r="CX181" s="70"/>
      <c r="CY181" s="90"/>
      <c r="CZ181" s="90"/>
      <c r="DA181" s="70"/>
      <c r="DB181" s="70"/>
    </row>
    <row r="182" spans="1:106" x14ac:dyDescent="0.3">
      <c r="A182" s="121" t="s">
        <v>317</v>
      </c>
      <c r="B182" s="94">
        <v>1</v>
      </c>
      <c r="C182" s="96" t="s">
        <v>318</v>
      </c>
      <c r="D182" s="98">
        <v>110</v>
      </c>
      <c r="E182" s="96" t="s">
        <v>319</v>
      </c>
      <c r="R182" s="90"/>
      <c r="T182" s="70"/>
      <c r="U182" s="90"/>
      <c r="W182" s="70"/>
      <c r="AB182" s="90"/>
      <c r="AD182" s="70"/>
      <c r="AF182" s="90"/>
      <c r="AH182" s="70"/>
      <c r="AN182" s="90"/>
      <c r="AP182" s="70"/>
      <c r="AR182" s="90"/>
      <c r="AT182" s="70"/>
      <c r="AV182" s="90"/>
      <c r="AX182" s="70"/>
      <c r="AZ182" s="90"/>
      <c r="BB182" s="70"/>
      <c r="BD182" s="90"/>
      <c r="BF182" s="70"/>
      <c r="BH182" s="90"/>
      <c r="BJ182" s="70"/>
      <c r="BL182" s="90"/>
      <c r="BN182" s="70"/>
      <c r="BP182" s="90"/>
      <c r="BR182" s="70"/>
      <c r="BT182" s="90"/>
      <c r="BV182" s="70"/>
      <c r="BX182" s="90"/>
      <c r="BZ182" s="70"/>
      <c r="CB182" s="90"/>
      <c r="CD182" s="70"/>
      <c r="CF182" s="90"/>
      <c r="CH182" s="70"/>
      <c r="CJ182" s="90"/>
      <c r="CL182" s="70"/>
      <c r="CN182" s="90"/>
      <c r="CP182" s="70"/>
      <c r="CR182" s="90"/>
      <c r="CT182" s="70"/>
      <c r="CV182" s="90"/>
      <c r="CX182" s="70"/>
      <c r="CZ182" s="90"/>
      <c r="DB182" s="70"/>
    </row>
    <row r="183" spans="1:106" x14ac:dyDescent="0.3">
      <c r="A183" s="121" t="s">
        <v>325</v>
      </c>
      <c r="B183" s="94">
        <v>1</v>
      </c>
      <c r="C183" s="96" t="s">
        <v>318</v>
      </c>
      <c r="D183" s="98">
        <v>112</v>
      </c>
      <c r="E183" s="96" t="s">
        <v>319</v>
      </c>
      <c r="R183" s="90"/>
      <c r="T183" s="70"/>
      <c r="U183" s="90"/>
      <c r="W183" s="70"/>
      <c r="AB183" s="90"/>
      <c r="AD183" s="70"/>
      <c r="AF183" s="90"/>
      <c r="AH183" s="70"/>
      <c r="AN183" s="90"/>
      <c r="AP183" s="70"/>
      <c r="AR183" s="90"/>
      <c r="AT183" s="70"/>
      <c r="AV183" s="90"/>
      <c r="AX183" s="70"/>
      <c r="AZ183" s="90"/>
      <c r="BB183" s="70"/>
      <c r="BD183" s="90"/>
      <c r="BF183" s="70"/>
      <c r="BH183" s="90"/>
      <c r="BJ183" s="70"/>
      <c r="BL183" s="90"/>
      <c r="BN183" s="70"/>
      <c r="BP183" s="90"/>
      <c r="BR183" s="70"/>
      <c r="BT183" s="90"/>
      <c r="BV183" s="70"/>
      <c r="BX183" s="90"/>
      <c r="BZ183" s="70"/>
      <c r="CB183" s="90"/>
      <c r="CD183" s="70"/>
      <c r="CF183" s="90"/>
      <c r="CH183" s="70"/>
      <c r="CJ183" s="90"/>
      <c r="CL183" s="70"/>
      <c r="CN183" s="90"/>
      <c r="CP183" s="70"/>
      <c r="CR183" s="90"/>
      <c r="CT183" s="70"/>
      <c r="CV183" s="90"/>
      <c r="CX183" s="70"/>
      <c r="CZ183" s="90"/>
      <c r="DB183" s="70"/>
    </row>
    <row r="184" spans="1:106" x14ac:dyDescent="0.3">
      <c r="A184" s="121" t="s">
        <v>342</v>
      </c>
      <c r="B184" s="94">
        <v>1</v>
      </c>
      <c r="C184" s="96" t="s">
        <v>318</v>
      </c>
      <c r="D184" s="98">
        <f>1129531000/10165779</f>
        <v>111.11111111111111</v>
      </c>
      <c r="E184" s="96" t="s">
        <v>319</v>
      </c>
      <c r="R184" s="90"/>
      <c r="T184" s="70"/>
      <c r="U184" s="90"/>
      <c r="W184" s="70"/>
      <c r="AB184" s="90"/>
      <c r="AC184" s="134"/>
      <c r="AD184" s="101"/>
      <c r="AF184" s="90"/>
      <c r="AH184" s="70"/>
      <c r="AN184" s="90"/>
      <c r="AP184" s="70"/>
      <c r="AR184" s="90"/>
      <c r="AT184" s="70"/>
      <c r="AV184" s="90"/>
      <c r="AX184" s="70"/>
      <c r="AZ184" s="90"/>
      <c r="BB184" s="70"/>
      <c r="BD184" s="90"/>
      <c r="BF184" s="70"/>
      <c r="BH184" s="90"/>
      <c r="BJ184" s="70"/>
      <c r="BL184" s="90"/>
      <c r="BN184" s="70"/>
      <c r="BP184" s="90"/>
      <c r="BR184" s="70"/>
      <c r="BT184" s="90"/>
      <c r="BV184" s="70"/>
      <c r="BX184" s="90"/>
      <c r="BZ184" s="70"/>
      <c r="CB184" s="90"/>
      <c r="CD184" s="70"/>
      <c r="CF184" s="90"/>
      <c r="CH184" s="70"/>
      <c r="CJ184" s="90"/>
      <c r="CL184" s="70"/>
      <c r="CN184" s="90"/>
      <c r="CP184" s="70"/>
      <c r="CR184" s="90"/>
      <c r="CT184" s="70"/>
      <c r="CV184" s="90"/>
      <c r="CX184" s="70"/>
      <c r="CZ184" s="90"/>
      <c r="DB184" s="70"/>
    </row>
    <row r="185" spans="1:106" x14ac:dyDescent="0.3">
      <c r="A185" s="121" t="s">
        <v>341</v>
      </c>
      <c r="B185" s="94">
        <v>1</v>
      </c>
      <c r="C185" s="96" t="s">
        <v>318</v>
      </c>
      <c r="D185" s="98">
        <f>849705324/7647347</f>
        <v>111.11112442001128</v>
      </c>
      <c r="E185" s="70"/>
      <c r="R185" s="90"/>
      <c r="T185" s="70"/>
      <c r="U185" s="90"/>
      <c r="W185" s="70"/>
      <c r="AB185" s="90"/>
      <c r="AC185" s="134"/>
      <c r="AD185" s="101"/>
      <c r="AF185" s="90"/>
      <c r="AH185" s="70"/>
      <c r="AN185" s="90"/>
      <c r="AP185" s="70"/>
      <c r="AR185" s="90"/>
      <c r="AT185" s="70"/>
      <c r="AV185" s="90"/>
      <c r="AX185" s="70"/>
      <c r="AZ185" s="90"/>
      <c r="BB185" s="70"/>
      <c r="BD185" s="90"/>
      <c r="BF185" s="70"/>
      <c r="BH185" s="90"/>
      <c r="BJ185" s="70"/>
      <c r="BL185" s="90"/>
      <c r="BN185" s="70"/>
      <c r="BP185" s="90"/>
      <c r="BR185" s="70"/>
      <c r="BT185" s="90"/>
      <c r="BV185" s="70"/>
      <c r="BX185" s="90"/>
      <c r="BZ185" s="70"/>
      <c r="CB185" s="90"/>
      <c r="CD185" s="70"/>
      <c r="CF185" s="90"/>
      <c r="CH185" s="70"/>
      <c r="CJ185" s="90"/>
      <c r="CL185" s="70"/>
      <c r="CN185" s="90"/>
      <c r="CP185" s="70"/>
      <c r="CR185" s="90"/>
      <c r="CT185" s="70"/>
      <c r="CV185" s="90"/>
      <c r="CX185" s="70"/>
      <c r="CZ185" s="90"/>
      <c r="DB185" s="70"/>
    </row>
    <row r="186" spans="1:106" x14ac:dyDescent="0.3">
      <c r="E186" s="70"/>
      <c r="R186" s="90"/>
      <c r="T186" s="70"/>
      <c r="U186" s="90"/>
      <c r="W186" s="70"/>
      <c r="AB186" s="90"/>
      <c r="AD186" s="70"/>
      <c r="AF186" s="90"/>
      <c r="AH186" s="70"/>
      <c r="AN186" s="90"/>
      <c r="AP186" s="70"/>
      <c r="AR186" s="90"/>
      <c r="AT186" s="70"/>
      <c r="AV186" s="90"/>
      <c r="AX186" s="70"/>
      <c r="AZ186" s="90"/>
      <c r="BB186" s="70"/>
      <c r="BD186" s="90"/>
      <c r="BF186" s="70"/>
      <c r="BH186" s="90"/>
      <c r="BJ186" s="70"/>
      <c r="BL186" s="90"/>
      <c r="BN186" s="70"/>
      <c r="BP186" s="90"/>
      <c r="BR186" s="70"/>
      <c r="BT186" s="90"/>
      <c r="BV186" s="70"/>
      <c r="BX186" s="90"/>
      <c r="BZ186" s="70"/>
      <c r="CB186" s="90"/>
      <c r="CD186" s="70"/>
      <c r="CF186" s="90"/>
      <c r="CH186" s="70"/>
      <c r="CJ186" s="90"/>
      <c r="CL186" s="70"/>
      <c r="CN186" s="90"/>
      <c r="CP186" s="70"/>
      <c r="CR186" s="90"/>
      <c r="CT186" s="70"/>
      <c r="CV186" s="90"/>
      <c r="CX186" s="70"/>
      <c r="CZ186" s="90"/>
      <c r="DB186" s="70"/>
    </row>
    <row r="187" spans="1:106" x14ac:dyDescent="0.3">
      <c r="E187" s="70"/>
      <c r="R187" s="90"/>
      <c r="T187" s="70"/>
      <c r="U187" s="90"/>
      <c r="W187" s="70"/>
      <c r="AB187" s="90"/>
      <c r="AD187" s="70"/>
      <c r="AF187" s="90"/>
      <c r="AH187" s="70"/>
      <c r="AN187" s="90"/>
      <c r="AP187" s="70"/>
      <c r="AR187" s="90"/>
      <c r="AT187" s="70"/>
      <c r="AV187" s="90"/>
      <c r="AX187" s="70"/>
      <c r="AZ187" s="90"/>
      <c r="BB187" s="70"/>
      <c r="BD187" s="90"/>
      <c r="BF187" s="70"/>
      <c r="BH187" s="90"/>
      <c r="BJ187" s="70"/>
      <c r="BL187" s="90"/>
      <c r="BN187" s="70"/>
      <c r="BP187" s="90"/>
      <c r="BR187" s="70"/>
      <c r="BT187" s="90"/>
      <c r="BV187" s="70"/>
      <c r="BX187" s="90"/>
      <c r="BZ187" s="70"/>
      <c r="CB187" s="90"/>
      <c r="CD187" s="70"/>
      <c r="CF187" s="90"/>
      <c r="CH187" s="70"/>
      <c r="CJ187" s="90"/>
      <c r="CL187" s="70"/>
      <c r="CN187" s="90"/>
      <c r="CP187" s="70"/>
      <c r="CR187" s="90"/>
      <c r="CT187" s="70"/>
      <c r="CV187" s="90"/>
      <c r="CX187" s="70"/>
      <c r="CZ187" s="90"/>
      <c r="DB187" s="70"/>
    </row>
    <row r="188" spans="1:106" x14ac:dyDescent="0.3">
      <c r="E188" s="70"/>
      <c r="R188" s="90"/>
      <c r="T188" s="70"/>
      <c r="U188" s="90"/>
      <c r="W188" s="70"/>
      <c r="AB188" s="90"/>
      <c r="AD188" s="70"/>
      <c r="AF188" s="90"/>
      <c r="AH188" s="70"/>
      <c r="AN188" s="90"/>
      <c r="AP188" s="70"/>
      <c r="AR188" s="90"/>
      <c r="AT188" s="70"/>
      <c r="AV188" s="90"/>
      <c r="AX188" s="70"/>
      <c r="AZ188" s="90"/>
      <c r="BB188" s="70"/>
      <c r="BD188" s="90"/>
      <c r="BF188" s="70"/>
      <c r="BH188" s="90"/>
      <c r="BJ188" s="70"/>
      <c r="BL188" s="90"/>
      <c r="BN188" s="70"/>
      <c r="BP188" s="90"/>
      <c r="BR188" s="70"/>
      <c r="BT188" s="90"/>
      <c r="BV188" s="70"/>
      <c r="BX188" s="90"/>
      <c r="BZ188" s="70"/>
      <c r="CB188" s="90"/>
      <c r="CD188" s="70"/>
      <c r="CF188" s="90"/>
      <c r="CH188" s="70"/>
      <c r="CJ188" s="90"/>
      <c r="CL188" s="70"/>
      <c r="CN188" s="90"/>
      <c r="CP188" s="70"/>
      <c r="CR188" s="90"/>
      <c r="CT188" s="70"/>
      <c r="CV188" s="90"/>
      <c r="CX188" s="70"/>
      <c r="CZ188" s="90"/>
      <c r="DB188" s="70"/>
    </row>
    <row r="189" spans="1:106" x14ac:dyDescent="0.3">
      <c r="E189" s="70"/>
      <c r="R189" s="90"/>
      <c r="T189" s="70"/>
      <c r="U189" s="90"/>
      <c r="W189" s="70"/>
      <c r="AB189" s="90"/>
      <c r="AD189" s="70"/>
      <c r="AF189" s="90"/>
      <c r="AH189" s="70"/>
      <c r="AN189" s="90"/>
      <c r="AP189" s="70"/>
      <c r="AR189" s="90"/>
      <c r="AT189" s="70"/>
      <c r="AV189" s="90"/>
      <c r="AX189" s="70"/>
      <c r="AZ189" s="90"/>
      <c r="BB189" s="70"/>
      <c r="BD189" s="90"/>
      <c r="BF189" s="70"/>
      <c r="BH189" s="90"/>
      <c r="BJ189" s="70"/>
      <c r="BL189" s="90"/>
      <c r="BN189" s="70"/>
      <c r="BP189" s="90"/>
      <c r="BR189" s="70"/>
      <c r="BT189" s="90"/>
      <c r="BV189" s="70"/>
      <c r="BX189" s="90"/>
      <c r="BZ189" s="70"/>
      <c r="CB189" s="90"/>
      <c r="CD189" s="70"/>
      <c r="CF189" s="90"/>
      <c r="CH189" s="70"/>
      <c r="CJ189" s="90"/>
      <c r="CL189" s="70"/>
      <c r="CN189" s="90"/>
      <c r="CP189" s="70"/>
      <c r="CR189" s="90"/>
      <c r="CT189" s="70"/>
      <c r="CV189" s="90"/>
      <c r="CX189" s="70"/>
      <c r="CZ189" s="90"/>
      <c r="DB189" s="70"/>
    </row>
    <row r="190" spans="1:106" x14ac:dyDescent="0.3">
      <c r="E190" s="70"/>
      <c r="R190" s="90"/>
      <c r="T190" s="70"/>
      <c r="U190" s="90"/>
      <c r="W190" s="70"/>
      <c r="AB190" s="90"/>
      <c r="AD190" s="70"/>
      <c r="AF190" s="90"/>
      <c r="AH190" s="70"/>
      <c r="AN190" s="90"/>
      <c r="AP190" s="70"/>
      <c r="AR190" s="90"/>
      <c r="AT190" s="70"/>
      <c r="AV190" s="90"/>
      <c r="AX190" s="70"/>
      <c r="AZ190" s="90"/>
      <c r="BB190" s="70"/>
      <c r="BD190" s="90"/>
      <c r="BF190" s="70"/>
      <c r="BH190" s="90"/>
      <c r="BJ190" s="70"/>
      <c r="BL190" s="90"/>
      <c r="BN190" s="70"/>
      <c r="BP190" s="90"/>
      <c r="BR190" s="70"/>
      <c r="BT190" s="90"/>
      <c r="BV190" s="70"/>
      <c r="BX190" s="90"/>
      <c r="BZ190" s="70"/>
      <c r="CB190" s="90"/>
      <c r="CD190" s="70"/>
      <c r="CF190" s="90"/>
      <c r="CH190" s="70"/>
      <c r="CJ190" s="90"/>
      <c r="CL190" s="70"/>
      <c r="CN190" s="90"/>
      <c r="CP190" s="70"/>
      <c r="CR190" s="90"/>
      <c r="CT190" s="70"/>
      <c r="CV190" s="90"/>
      <c r="CX190" s="70"/>
      <c r="CZ190" s="90"/>
      <c r="DB190" s="70"/>
    </row>
    <row r="191" spans="1:106" x14ac:dyDescent="0.3">
      <c r="E191" s="70"/>
      <c r="R191" s="90"/>
      <c r="T191" s="70"/>
      <c r="U191" s="90"/>
      <c r="W191" s="70"/>
      <c r="AB191" s="90"/>
      <c r="AD191" s="70"/>
      <c r="AF191" s="90"/>
      <c r="AH191" s="70"/>
      <c r="AN191" s="90"/>
      <c r="AP191" s="70"/>
      <c r="AR191" s="90"/>
      <c r="AT191" s="70"/>
      <c r="AV191" s="90"/>
      <c r="AX191" s="70"/>
      <c r="AZ191" s="90"/>
      <c r="BB191" s="70"/>
      <c r="BD191" s="90"/>
      <c r="BF191" s="70"/>
      <c r="BH191" s="90"/>
      <c r="BJ191" s="70"/>
      <c r="BL191" s="90"/>
      <c r="BN191" s="70"/>
      <c r="BP191" s="90"/>
      <c r="BR191" s="70"/>
      <c r="BT191" s="90"/>
      <c r="BV191" s="70"/>
      <c r="BX191" s="90"/>
      <c r="BZ191" s="70"/>
      <c r="CB191" s="90"/>
      <c r="CD191" s="70"/>
      <c r="CF191" s="90"/>
      <c r="CH191" s="70"/>
      <c r="CJ191" s="90"/>
      <c r="CL191" s="70"/>
      <c r="CN191" s="90"/>
      <c r="CP191" s="70"/>
      <c r="CR191" s="90"/>
      <c r="CT191" s="70"/>
      <c r="CV191" s="90"/>
      <c r="CX191" s="70"/>
      <c r="CZ191" s="90"/>
      <c r="DB191" s="70"/>
    </row>
    <row r="192" spans="1:106" x14ac:dyDescent="0.3">
      <c r="E192" s="70"/>
      <c r="R192" s="90"/>
      <c r="T192" s="70"/>
      <c r="U192" s="90"/>
      <c r="W192" s="70"/>
      <c r="AB192" s="90"/>
      <c r="AC192" s="134"/>
      <c r="AD192" s="101"/>
      <c r="AF192" s="90"/>
      <c r="AG192" s="134"/>
      <c r="AH192" s="101"/>
      <c r="AK192" s="101"/>
      <c r="AL192" s="101"/>
      <c r="AN192" s="90"/>
      <c r="AP192" s="70"/>
      <c r="AR192" s="90"/>
      <c r="AT192" s="70"/>
      <c r="AV192" s="90"/>
      <c r="AX192" s="70"/>
      <c r="AZ192" s="90"/>
      <c r="BB192" s="70"/>
      <c r="BD192" s="90"/>
      <c r="BF192" s="70"/>
      <c r="BH192" s="90"/>
      <c r="BJ192" s="70"/>
      <c r="BL192" s="90"/>
      <c r="BN192" s="70"/>
      <c r="BP192" s="90"/>
      <c r="BR192" s="70"/>
      <c r="BT192" s="90"/>
      <c r="BV192" s="70"/>
      <c r="BX192" s="90"/>
      <c r="BZ192" s="70"/>
      <c r="CB192" s="90"/>
      <c r="CD192" s="70"/>
      <c r="CF192" s="90"/>
      <c r="CH192" s="70"/>
      <c r="CJ192" s="90"/>
      <c r="CL192" s="70"/>
      <c r="CN192" s="90"/>
      <c r="CP192" s="70"/>
      <c r="CR192" s="90"/>
      <c r="CT192" s="70"/>
      <c r="CV192" s="90"/>
      <c r="CX192" s="70"/>
      <c r="CZ192" s="90"/>
      <c r="DB192" s="70"/>
    </row>
    <row r="193" spans="5:106" x14ac:dyDescent="0.3">
      <c r="E193" s="70"/>
      <c r="R193" s="90"/>
      <c r="T193" s="70"/>
      <c r="U193" s="90"/>
      <c r="W193" s="70"/>
      <c r="AB193" s="90"/>
      <c r="AC193" s="134"/>
      <c r="AD193" s="101"/>
      <c r="AF193" s="90"/>
      <c r="AH193" s="70"/>
      <c r="AN193" s="90"/>
      <c r="AP193" s="70"/>
      <c r="AR193" s="90"/>
      <c r="AT193" s="70"/>
      <c r="AV193" s="90"/>
      <c r="AX193" s="70"/>
      <c r="AZ193" s="90"/>
      <c r="BB193" s="70"/>
      <c r="BD193" s="90"/>
      <c r="BF193" s="70"/>
      <c r="BH193" s="90"/>
      <c r="BJ193" s="70"/>
      <c r="BL193" s="90"/>
      <c r="BN193" s="70"/>
      <c r="BP193" s="90"/>
      <c r="BR193" s="70"/>
      <c r="BT193" s="90"/>
      <c r="BV193" s="70"/>
      <c r="BX193" s="90"/>
      <c r="BZ193" s="70"/>
      <c r="CB193" s="90"/>
      <c r="CD193" s="70"/>
      <c r="CF193" s="90"/>
      <c r="CH193" s="70"/>
      <c r="CJ193" s="90"/>
      <c r="CL193" s="70"/>
      <c r="CN193" s="90"/>
      <c r="CP193" s="70"/>
      <c r="CR193" s="90"/>
      <c r="CT193" s="70"/>
      <c r="CV193" s="90"/>
      <c r="CX193" s="70"/>
      <c r="CZ193" s="90"/>
      <c r="DB193" s="70"/>
    </row>
    <row r="194" spans="5:106" x14ac:dyDescent="0.3">
      <c r="E194" s="70"/>
      <c r="R194" s="90"/>
      <c r="T194" s="70"/>
      <c r="U194" s="90"/>
      <c r="W194" s="70"/>
      <c r="AB194" s="90"/>
      <c r="AD194" s="70"/>
      <c r="AF194" s="90"/>
      <c r="AH194" s="70"/>
      <c r="AN194" s="90"/>
      <c r="AP194" s="70"/>
      <c r="AR194" s="90"/>
      <c r="AT194" s="70"/>
      <c r="AV194" s="90"/>
      <c r="AX194" s="70"/>
      <c r="AZ194" s="90"/>
      <c r="BB194" s="70"/>
      <c r="BD194" s="90"/>
      <c r="BF194" s="70"/>
      <c r="BH194" s="90"/>
      <c r="BJ194" s="70"/>
      <c r="BL194" s="90"/>
      <c r="BN194" s="70"/>
      <c r="BP194" s="90"/>
      <c r="BR194" s="70"/>
      <c r="BT194" s="90"/>
      <c r="BV194" s="70"/>
      <c r="BX194" s="90"/>
      <c r="BZ194" s="70"/>
      <c r="CB194" s="90"/>
      <c r="CD194" s="70"/>
      <c r="CF194" s="90"/>
      <c r="CH194" s="70"/>
      <c r="CJ194" s="90"/>
      <c r="CL194" s="70"/>
      <c r="CN194" s="90"/>
      <c r="CP194" s="70"/>
      <c r="CR194" s="90"/>
      <c r="CT194" s="70"/>
      <c r="CV194" s="90"/>
      <c r="CX194" s="70"/>
      <c r="CZ194" s="90"/>
      <c r="DB194" s="70"/>
    </row>
    <row r="195" spans="5:106" x14ac:dyDescent="0.3">
      <c r="E195" s="70"/>
      <c r="R195" s="90"/>
      <c r="T195" s="70"/>
      <c r="U195" s="90"/>
      <c r="W195" s="70"/>
      <c r="AB195" s="90"/>
      <c r="AD195" s="70"/>
      <c r="AF195" s="90"/>
      <c r="AH195" s="70"/>
      <c r="AN195" s="90"/>
      <c r="AP195" s="70"/>
      <c r="AR195" s="90"/>
      <c r="AT195" s="70"/>
      <c r="AV195" s="90"/>
      <c r="AX195" s="70"/>
      <c r="AZ195" s="90"/>
      <c r="BB195" s="70"/>
      <c r="BD195" s="90"/>
      <c r="BF195" s="70"/>
      <c r="BH195" s="90"/>
      <c r="BJ195" s="70"/>
      <c r="BL195" s="90"/>
      <c r="BN195" s="70"/>
      <c r="BP195" s="90"/>
      <c r="BR195" s="70"/>
      <c r="BT195" s="90"/>
      <c r="BV195" s="70"/>
      <c r="BX195" s="90"/>
      <c r="BZ195" s="70"/>
      <c r="CB195" s="90"/>
      <c r="CD195" s="70"/>
      <c r="CF195" s="90"/>
      <c r="CH195" s="70"/>
      <c r="CJ195" s="90"/>
      <c r="CL195" s="70"/>
      <c r="CN195" s="90"/>
      <c r="CP195" s="70"/>
      <c r="CR195" s="90"/>
      <c r="CT195" s="70"/>
      <c r="CV195" s="90"/>
      <c r="CX195" s="70"/>
      <c r="CZ195" s="90"/>
      <c r="DB195" s="70"/>
    </row>
    <row r="196" spans="5:106" x14ac:dyDescent="0.3">
      <c r="E196" s="70"/>
      <c r="R196" s="90"/>
      <c r="T196" s="70"/>
      <c r="U196" s="90"/>
      <c r="W196" s="70"/>
      <c r="AB196" s="90"/>
      <c r="AD196" s="70"/>
      <c r="AF196" s="90"/>
      <c r="AH196" s="70"/>
      <c r="AN196" s="90"/>
      <c r="AP196" s="70"/>
      <c r="AR196" s="90"/>
      <c r="AT196" s="70"/>
      <c r="AV196" s="90"/>
      <c r="AX196" s="70"/>
      <c r="AZ196" s="90"/>
      <c r="BB196" s="70"/>
      <c r="BD196" s="90"/>
      <c r="BF196" s="70"/>
      <c r="BH196" s="90"/>
      <c r="BJ196" s="70"/>
      <c r="BL196" s="90"/>
      <c r="BN196" s="70"/>
      <c r="BP196" s="90"/>
      <c r="BR196" s="70"/>
      <c r="BT196" s="90"/>
      <c r="BV196" s="70"/>
      <c r="BX196" s="90"/>
      <c r="BZ196" s="70"/>
      <c r="CB196" s="90"/>
      <c r="CD196" s="70"/>
      <c r="CF196" s="90"/>
      <c r="CH196" s="70"/>
      <c r="CJ196" s="90"/>
      <c r="CL196" s="70"/>
      <c r="CN196" s="90"/>
      <c r="CP196" s="70"/>
      <c r="CR196" s="90"/>
      <c r="CT196" s="70"/>
      <c r="CV196" s="90"/>
      <c r="CX196" s="70"/>
      <c r="CZ196" s="90"/>
      <c r="DB196" s="70"/>
    </row>
    <row r="197" spans="5:106" x14ac:dyDescent="0.3">
      <c r="E197" s="70"/>
      <c r="R197" s="90"/>
      <c r="T197" s="70"/>
      <c r="U197" s="90"/>
      <c r="W197" s="70"/>
      <c r="AB197" s="90"/>
      <c r="AD197" s="70"/>
      <c r="AF197" s="90"/>
      <c r="AH197" s="70"/>
      <c r="AN197" s="90"/>
      <c r="AP197" s="70"/>
      <c r="AR197" s="90"/>
      <c r="AT197" s="70"/>
      <c r="AV197" s="90"/>
      <c r="AX197" s="70"/>
      <c r="AZ197" s="90"/>
      <c r="BB197" s="70"/>
      <c r="BD197" s="90"/>
      <c r="BF197" s="70"/>
      <c r="BH197" s="90"/>
      <c r="BJ197" s="70"/>
      <c r="BL197" s="90"/>
      <c r="BN197" s="70"/>
      <c r="BP197" s="90"/>
      <c r="BR197" s="70"/>
      <c r="BT197" s="90"/>
      <c r="BV197" s="70"/>
      <c r="BX197" s="90"/>
      <c r="BZ197" s="70"/>
      <c r="CB197" s="90"/>
      <c r="CD197" s="70"/>
      <c r="CF197" s="90"/>
      <c r="CH197" s="70"/>
      <c r="CJ197" s="90"/>
      <c r="CL197" s="70"/>
      <c r="CN197" s="90"/>
      <c r="CP197" s="70"/>
      <c r="CR197" s="90"/>
      <c r="CT197" s="70"/>
      <c r="CV197" s="90"/>
      <c r="CX197" s="70"/>
      <c r="CZ197" s="90"/>
      <c r="DB197" s="70"/>
    </row>
    <row r="198" spans="5:106" x14ac:dyDescent="0.3">
      <c r="E198" s="70"/>
      <c r="R198" s="90"/>
      <c r="T198" s="70"/>
      <c r="U198" s="90"/>
      <c r="W198" s="70"/>
      <c r="AB198" s="90"/>
      <c r="AD198" s="70"/>
      <c r="AF198" s="90"/>
      <c r="AH198" s="70"/>
      <c r="AK198" s="122"/>
      <c r="AL198" s="122"/>
      <c r="AN198" s="90"/>
      <c r="AP198" s="70"/>
      <c r="AR198" s="90"/>
      <c r="AT198" s="70"/>
      <c r="AV198" s="90"/>
      <c r="AX198" s="70"/>
      <c r="AZ198" s="90"/>
      <c r="BB198" s="70"/>
      <c r="BD198" s="90"/>
      <c r="BF198" s="70"/>
      <c r="BH198" s="90"/>
      <c r="BJ198" s="70"/>
      <c r="BL198" s="90"/>
      <c r="BN198" s="70"/>
      <c r="BP198" s="90"/>
      <c r="BR198" s="70"/>
      <c r="BT198" s="90"/>
      <c r="BV198" s="70"/>
      <c r="BX198" s="90"/>
      <c r="BZ198" s="70"/>
      <c r="CB198" s="90"/>
      <c r="CD198" s="70"/>
      <c r="CF198" s="90"/>
      <c r="CH198" s="70"/>
      <c r="CJ198" s="90"/>
      <c r="CL198" s="70"/>
      <c r="CN198" s="90"/>
      <c r="CP198" s="70"/>
      <c r="CR198" s="90"/>
      <c r="CT198" s="70"/>
      <c r="CV198" s="90"/>
      <c r="CX198" s="70"/>
      <c r="CZ198" s="90"/>
      <c r="DB198" s="70"/>
    </row>
    <row r="199" spans="5:106" x14ac:dyDescent="0.3">
      <c r="E199" s="70"/>
      <c r="R199" s="90"/>
      <c r="T199" s="70"/>
      <c r="U199" s="90"/>
      <c r="W199" s="70"/>
      <c r="AB199" s="90"/>
      <c r="AD199" s="70"/>
      <c r="AF199" s="90"/>
      <c r="AH199" s="70"/>
      <c r="AN199" s="90"/>
      <c r="AP199" s="70"/>
      <c r="AR199" s="90"/>
      <c r="AT199" s="70"/>
      <c r="AV199" s="90"/>
      <c r="AX199" s="70"/>
      <c r="AZ199" s="90"/>
      <c r="BB199" s="70"/>
      <c r="BD199" s="90"/>
      <c r="BF199" s="70"/>
      <c r="BH199" s="90"/>
      <c r="BJ199" s="70"/>
      <c r="BL199" s="90"/>
      <c r="BN199" s="70"/>
      <c r="BP199" s="90"/>
      <c r="BR199" s="70"/>
      <c r="BT199" s="90"/>
      <c r="BV199" s="70"/>
      <c r="BX199" s="90"/>
      <c r="BZ199" s="70"/>
      <c r="CB199" s="90"/>
      <c r="CD199" s="70"/>
      <c r="CF199" s="90"/>
      <c r="CH199" s="70"/>
      <c r="CJ199" s="90"/>
      <c r="CL199" s="70"/>
      <c r="CN199" s="90"/>
      <c r="CP199" s="70"/>
      <c r="CR199" s="90"/>
      <c r="CT199" s="70"/>
      <c r="CV199" s="90"/>
      <c r="CX199" s="70"/>
      <c r="CZ199" s="90"/>
      <c r="DB199" s="70"/>
    </row>
    <row r="200" spans="5:106" x14ac:dyDescent="0.3">
      <c r="E200" s="70"/>
      <c r="R200" s="90"/>
      <c r="T200" s="70"/>
      <c r="U200" s="90"/>
      <c r="W200" s="70"/>
      <c r="AB200" s="90"/>
      <c r="AD200" s="70"/>
      <c r="AF200" s="90"/>
      <c r="AH200" s="70"/>
      <c r="AN200" s="90"/>
      <c r="AP200" s="70"/>
      <c r="AR200" s="90"/>
      <c r="AT200" s="70"/>
      <c r="AV200" s="90"/>
      <c r="AX200" s="70"/>
      <c r="AZ200" s="90"/>
      <c r="BB200" s="70"/>
      <c r="BD200" s="90"/>
      <c r="BF200" s="70"/>
      <c r="BH200" s="90"/>
      <c r="BJ200" s="70"/>
      <c r="BL200" s="90"/>
      <c r="BN200" s="70"/>
      <c r="BP200" s="90"/>
      <c r="BR200" s="70"/>
      <c r="BT200" s="90"/>
      <c r="BV200" s="70"/>
      <c r="BX200" s="90"/>
      <c r="BZ200" s="70"/>
      <c r="CB200" s="90"/>
      <c r="CD200" s="70"/>
      <c r="CF200" s="90"/>
      <c r="CH200" s="70"/>
      <c r="CJ200" s="90"/>
      <c r="CL200" s="70"/>
      <c r="CN200" s="90"/>
      <c r="CP200" s="70"/>
      <c r="CR200" s="90"/>
      <c r="CT200" s="70"/>
      <c r="CV200" s="90"/>
      <c r="CX200" s="70"/>
      <c r="CZ200" s="90"/>
      <c r="DB200" s="70"/>
    </row>
    <row r="201" spans="5:106" x14ac:dyDescent="0.3">
      <c r="E201" s="70"/>
      <c r="R201" s="90"/>
      <c r="T201" s="70"/>
      <c r="U201" s="90"/>
      <c r="W201" s="70"/>
      <c r="AB201" s="90"/>
      <c r="AD201" s="70"/>
      <c r="AF201" s="90"/>
      <c r="AH201" s="70"/>
      <c r="AN201" s="90"/>
      <c r="AP201" s="70"/>
      <c r="AR201" s="90"/>
      <c r="AT201" s="70"/>
      <c r="AV201" s="90"/>
      <c r="AX201" s="70"/>
      <c r="AZ201" s="90"/>
      <c r="BB201" s="70"/>
      <c r="BD201" s="90"/>
      <c r="BF201" s="70"/>
      <c r="BH201" s="90"/>
      <c r="BJ201" s="70"/>
      <c r="BL201" s="90"/>
      <c r="BN201" s="70"/>
      <c r="BP201" s="90"/>
      <c r="BR201" s="70"/>
      <c r="BT201" s="90"/>
      <c r="BV201" s="70"/>
      <c r="BX201" s="90"/>
      <c r="BZ201" s="70"/>
      <c r="CB201" s="90"/>
      <c r="CD201" s="70"/>
      <c r="CF201" s="90"/>
      <c r="CH201" s="70"/>
      <c r="CJ201" s="90"/>
      <c r="CL201" s="70"/>
      <c r="CN201" s="90"/>
      <c r="CP201" s="70"/>
      <c r="CR201" s="90"/>
      <c r="CT201" s="70"/>
      <c r="CV201" s="90"/>
      <c r="CX201" s="70"/>
      <c r="CZ201" s="90"/>
      <c r="DB201" s="70"/>
    </row>
    <row r="202" spans="5:106" x14ac:dyDescent="0.3">
      <c r="E202" s="70"/>
    </row>
    <row r="203" spans="5:106" x14ac:dyDescent="0.3">
      <c r="E203" s="70"/>
    </row>
    <row r="204" spans="5:106" x14ac:dyDescent="0.3">
      <c r="E204" s="70"/>
      <c r="AH204" s="134"/>
      <c r="AI204" s="122"/>
      <c r="AL204" s="122"/>
      <c r="AM204" s="122"/>
    </row>
    <row r="211" spans="38:39" x14ac:dyDescent="0.3">
      <c r="AL211" s="100"/>
      <c r="AM211" s="100"/>
    </row>
  </sheetData>
  <mergeCells count="46">
    <mergeCell ref="CC2:CF2"/>
    <mergeCell ref="CG2:CJ2"/>
    <mergeCell ref="CK2:CN2"/>
    <mergeCell ref="CO2:CR2"/>
    <mergeCell ref="S2:V2"/>
    <mergeCell ref="Z2:AB2"/>
    <mergeCell ref="W2:Y2"/>
    <mergeCell ref="DA2:DD2"/>
    <mergeCell ref="CW2:CZ2"/>
    <mergeCell ref="AG2:AJ2"/>
    <mergeCell ref="AC2:AF2"/>
    <mergeCell ref="AK2:AN2"/>
    <mergeCell ref="AO2:AR2"/>
    <mergeCell ref="AS2:AV2"/>
    <mergeCell ref="AW2:AZ2"/>
    <mergeCell ref="BA2:BD2"/>
    <mergeCell ref="BE2:BH2"/>
    <mergeCell ref="BI2:BL2"/>
    <mergeCell ref="BM2:BP2"/>
    <mergeCell ref="BQ2:BT2"/>
    <mergeCell ref="BU1:BX2"/>
    <mergeCell ref="CS2:CV2"/>
    <mergeCell ref="BY2:CB2"/>
    <mergeCell ref="K2:N2"/>
    <mergeCell ref="O2:R2"/>
    <mergeCell ref="C2:F2"/>
    <mergeCell ref="B97:B98"/>
    <mergeCell ref="C97:C98"/>
    <mergeCell ref="D97:D98"/>
    <mergeCell ref="E97:E98"/>
    <mergeCell ref="G2:J2"/>
    <mergeCell ref="A171:A173"/>
    <mergeCell ref="A133:A134"/>
    <mergeCell ref="A135:A136"/>
    <mergeCell ref="A137:A139"/>
    <mergeCell ref="A144:A145"/>
    <mergeCell ref="A147:A149"/>
    <mergeCell ref="A150:A151"/>
    <mergeCell ref="A131:A132"/>
    <mergeCell ref="A111:A112"/>
    <mergeCell ref="A114:A115"/>
    <mergeCell ref="A159:A161"/>
    <mergeCell ref="A163:A164"/>
    <mergeCell ref="A125:A126"/>
    <mergeCell ref="A127:A128"/>
    <mergeCell ref="A129:A130"/>
  </mergeCells>
  <pageMargins left="0.75" right="0.75" top="1" bottom="1" header="0.5" footer="0.5"/>
  <pageSetup paperSize="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9"/>
  <sheetViews>
    <sheetView zoomScale="80" zoomScaleNormal="80" workbookViewId="0">
      <selection activeCell="J38" sqref="J38"/>
    </sheetView>
  </sheetViews>
  <sheetFormatPr defaultRowHeight="14.4" x14ac:dyDescent="0.3"/>
  <cols>
    <col min="2" max="2" width="14.44140625" customWidth="1"/>
    <col min="3" max="3" width="13" customWidth="1"/>
    <col min="5" max="5" width="14.33203125" customWidth="1"/>
    <col min="6" max="6" width="16.6640625" customWidth="1"/>
    <col min="7" max="7" width="17.77734375" customWidth="1"/>
    <col min="8" max="8" width="20.88671875" customWidth="1"/>
    <col min="10" max="10" width="12.109375" customWidth="1"/>
    <col min="11" max="11" width="13.77734375" customWidth="1"/>
  </cols>
  <sheetData>
    <row r="1" spans="1:3" x14ac:dyDescent="0.3">
      <c r="A1" s="71" t="s">
        <v>290</v>
      </c>
    </row>
    <row r="2" spans="1:3" x14ac:dyDescent="0.3">
      <c r="A2" s="70" t="s">
        <v>84</v>
      </c>
      <c r="B2" s="70" t="s">
        <v>289</v>
      </c>
      <c r="C2" s="70" t="s">
        <v>288</v>
      </c>
    </row>
    <row r="3" spans="1:3" x14ac:dyDescent="0.3">
      <c r="A3" s="70"/>
      <c r="B3" s="70" t="s">
        <v>2</v>
      </c>
      <c r="C3" s="70" t="s">
        <v>2</v>
      </c>
    </row>
    <row r="4" spans="1:3" x14ac:dyDescent="0.3">
      <c r="A4">
        <v>1879</v>
      </c>
      <c r="B4" s="72">
        <v>7964000</v>
      </c>
      <c r="C4" s="72">
        <v>17652000</v>
      </c>
    </row>
    <row r="5" spans="1:3" x14ac:dyDescent="0.3">
      <c r="A5">
        <v>1880</v>
      </c>
      <c r="B5" s="72">
        <v>7725000</v>
      </c>
      <c r="C5" s="72">
        <v>16225000</v>
      </c>
    </row>
    <row r="6" spans="1:3" x14ac:dyDescent="0.3">
      <c r="A6">
        <v>1881</v>
      </c>
      <c r="B6" s="72">
        <v>10268000</v>
      </c>
      <c r="C6" s="72">
        <v>17715000</v>
      </c>
    </row>
    <row r="7" spans="1:3" x14ac:dyDescent="0.3">
      <c r="A7">
        <v>1882</v>
      </c>
      <c r="B7" s="72">
        <v>9968000</v>
      </c>
      <c r="C7" s="72">
        <v>18357000</v>
      </c>
    </row>
    <row r="8" spans="1:3" x14ac:dyDescent="0.3">
      <c r="A8">
        <v>1883</v>
      </c>
      <c r="B8" s="72">
        <v>11264000</v>
      </c>
      <c r="C8" s="72">
        <v>17961000</v>
      </c>
    </row>
    <row r="9" spans="1:3" x14ac:dyDescent="0.3">
      <c r="A9">
        <v>1884</v>
      </c>
      <c r="B9" s="72">
        <v>11635000</v>
      </c>
      <c r="C9" s="72">
        <v>18761060</v>
      </c>
    </row>
    <row r="10" spans="1:3" x14ac:dyDescent="0.3">
      <c r="A10">
        <v>1885</v>
      </c>
      <c r="B10" s="72">
        <v>10978000</v>
      </c>
      <c r="C10" s="72">
        <v>18185000</v>
      </c>
    </row>
    <row r="11" spans="1:3" x14ac:dyDescent="0.3">
      <c r="A11">
        <v>1886</v>
      </c>
      <c r="B11" s="72">
        <v>11552000</v>
      </c>
      <c r="C11" s="72">
        <v>18821000</v>
      </c>
    </row>
    <row r="12" spans="1:3" x14ac:dyDescent="0.3">
      <c r="A12">
        <v>1887</v>
      </c>
      <c r="B12" s="72">
        <v>10263000</v>
      </c>
      <c r="C12" s="72">
        <v>18369000</v>
      </c>
    </row>
    <row r="13" spans="1:3" x14ac:dyDescent="0.3">
      <c r="A13">
        <v>1888</v>
      </c>
      <c r="B13" s="72">
        <v>12315000</v>
      </c>
      <c r="C13" s="72">
        <v>17688000</v>
      </c>
    </row>
    <row r="14" spans="1:3" x14ac:dyDescent="0.3">
      <c r="A14">
        <v>1889</v>
      </c>
      <c r="B14" s="72">
        <v>13884000</v>
      </c>
      <c r="C14" s="72">
        <v>19129000</v>
      </c>
    </row>
    <row r="15" spans="1:3" x14ac:dyDescent="0.3">
      <c r="A15">
        <v>1890</v>
      </c>
      <c r="B15" s="72">
        <v>11670000</v>
      </c>
      <c r="C15" s="72">
        <v>20831000</v>
      </c>
    </row>
    <row r="16" spans="1:3" x14ac:dyDescent="0.3">
      <c r="A16">
        <v>1891</v>
      </c>
      <c r="B16" s="72">
        <v>13973000</v>
      </c>
      <c r="C16" s="72">
        <v>22321000</v>
      </c>
    </row>
    <row r="17" spans="1:3" x14ac:dyDescent="0.3">
      <c r="A17">
        <v>1892</v>
      </c>
      <c r="B17" s="72">
        <v>14156000</v>
      </c>
      <c r="C17" s="72">
        <v>22242000</v>
      </c>
    </row>
    <row r="18" spans="1:3" x14ac:dyDescent="0.3">
      <c r="A18">
        <v>1893</v>
      </c>
      <c r="B18" s="72">
        <v>12057000</v>
      </c>
      <c r="C18" s="72">
        <v>21917000</v>
      </c>
    </row>
    <row r="19" spans="1:3" x14ac:dyDescent="0.3">
      <c r="A19">
        <v>1894</v>
      </c>
      <c r="B19" s="72">
        <v>12503000</v>
      </c>
      <c r="C19" s="72">
        <v>21887000</v>
      </c>
    </row>
    <row r="20" spans="1:3" x14ac:dyDescent="0.3">
      <c r="A20">
        <v>1895</v>
      </c>
      <c r="B20" s="72">
        <v>14123600</v>
      </c>
      <c r="C20" s="72">
        <v>18705000</v>
      </c>
    </row>
    <row r="21" spans="1:3" x14ac:dyDescent="0.3">
      <c r="A21">
        <v>1896</v>
      </c>
      <c r="B21" s="72">
        <v>14026000</v>
      </c>
      <c r="C21" s="72">
        <v>19418000</v>
      </c>
    </row>
    <row r="22" spans="1:3" x14ac:dyDescent="0.3">
      <c r="A22">
        <v>1897</v>
      </c>
      <c r="B22" s="72">
        <v>13404000</v>
      </c>
      <c r="C22" s="72">
        <v>21304000</v>
      </c>
    </row>
    <row r="23" spans="1:3" x14ac:dyDescent="0.3">
      <c r="A23">
        <v>1898</v>
      </c>
      <c r="B23" s="72">
        <v>12205000</v>
      </c>
      <c r="C23" s="72">
        <v>24201000</v>
      </c>
    </row>
    <row r="24" spans="1:3" x14ac:dyDescent="0.3">
      <c r="A24">
        <v>1899</v>
      </c>
      <c r="B24" s="72">
        <v>14174000</v>
      </c>
      <c r="C24" s="72">
        <v>22269000</v>
      </c>
    </row>
    <row r="25" spans="1:3" x14ac:dyDescent="0.3">
      <c r="A25">
        <v>1900</v>
      </c>
      <c r="B25" s="72">
        <v>13549000</v>
      </c>
      <c r="C25" s="72">
        <v>21674000</v>
      </c>
    </row>
    <row r="26" spans="1:3" x14ac:dyDescent="0.3">
      <c r="A26">
        <v>1901</v>
      </c>
      <c r="B26" s="72">
        <v>14335000</v>
      </c>
      <c r="C26" s="72">
        <v>24277060</v>
      </c>
    </row>
    <row r="27" spans="1:3" x14ac:dyDescent="0.3">
      <c r="A27">
        <v>1902</v>
      </c>
      <c r="B27" s="72">
        <v>14470000</v>
      </c>
      <c r="C27" s="72">
        <v>22717000</v>
      </c>
    </row>
    <row r="28" spans="1:3" x14ac:dyDescent="0.3">
      <c r="A28">
        <v>1903</v>
      </c>
      <c r="B28" s="72">
        <v>16472060</v>
      </c>
      <c r="C28" s="72">
        <v>24106000</v>
      </c>
    </row>
    <row r="29" spans="1:3" x14ac:dyDescent="0.3">
      <c r="A29">
        <v>1904</v>
      </c>
      <c r="B29" s="72">
        <v>15872000</v>
      </c>
      <c r="C29" s="72">
        <v>27751000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Intro</vt:lpstr>
      <vt:lpstr>Turkey - Prices (Imports)</vt:lpstr>
      <vt:lpstr>Turkey - Prices (Exports)</vt:lpstr>
      <vt:lpstr>Imports - Data (Raw&amp;Adj)</vt:lpstr>
      <vt:lpstr>Exports - Data (Raw&amp;Adj)</vt:lpstr>
      <vt:lpstr>Imports &amp; Exports - Totals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Rai Ghulam Mustafa</cp:lastModifiedBy>
  <dcterms:created xsi:type="dcterms:W3CDTF">2016-08-19T09:32:09Z</dcterms:created>
  <dcterms:modified xsi:type="dcterms:W3CDTF">2018-11-11T18:45:59Z</dcterms:modified>
</cp:coreProperties>
</file>